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3260"/>
  </bookViews>
  <sheets>
    <sheet name="STOCK" sheetId="1" r:id="rId1"/>
    <sheet name="VENTAS" sheetId="2" r:id="rId2"/>
  </sheets>
  <calcPr calcId="144525"/>
</workbook>
</file>

<file path=xl/comments1.xml><?xml version="1.0" encoding="utf-8"?>
<comments xmlns="http://schemas.openxmlformats.org/spreadsheetml/2006/main">
  <authors>
    <author>Microsoft Office User</author>
  </authors>
  <commentList>
    <comment ref="C752" authorId="0">
      <text>
        <r>
          <rPr>
            <sz val="1"/>
            <color indexed="8"/>
            <rFont val="Helvetica Neue"/>
            <charset val="134"/>
          </rPr>
          <t>Microsoft Office User:
por cobrar</t>
        </r>
      </text>
    </comment>
  </commentList>
</comments>
</file>

<file path=xl/sharedStrings.xml><?xml version="1.0" encoding="utf-8"?>
<sst xmlns="http://schemas.openxmlformats.org/spreadsheetml/2006/main" count="17369" uniqueCount="5074">
  <si>
    <t>Code</t>
  </si>
  <si>
    <t>Foto</t>
  </si>
  <si>
    <t>Type</t>
  </si>
  <si>
    <t>Category</t>
  </si>
  <si>
    <t>Nombre del artículo</t>
  </si>
  <si>
    <t>Talla</t>
  </si>
  <si>
    <t>Brand</t>
  </si>
  <si>
    <t>Precio</t>
  </si>
  <si>
    <t>Pricing 1</t>
  </si>
  <si>
    <t>Entradas</t>
  </si>
  <si>
    <t>Salidas</t>
  </si>
  <si>
    <t>Stock Actual</t>
  </si>
  <si>
    <t>Comisión 10%</t>
  </si>
  <si>
    <t>Costo Unitario (MXN)</t>
  </si>
  <si>
    <t>USD -&gt; MXN</t>
  </si>
  <si>
    <t>Costo Unitario (USD)</t>
  </si>
  <si>
    <t>Peso (g)</t>
  </si>
  <si>
    <t>Precio Envío Kilogramo (USD)</t>
  </si>
  <si>
    <t>Costo Envío (USD)</t>
  </si>
  <si>
    <t>Costo total</t>
  </si>
  <si>
    <t>Precio Venta Ideal (x1.5)</t>
  </si>
  <si>
    <t>Precio Final</t>
  </si>
  <si>
    <t>Ganancia Unitaria</t>
  </si>
  <si>
    <t>Ganancia x Cant Ventas</t>
  </si>
  <si>
    <t>Detalles de la Compra</t>
  </si>
  <si>
    <t>Comisión Bazar 25%</t>
  </si>
  <si>
    <t>Gastos totales</t>
  </si>
  <si>
    <t>Valor Stock Actual</t>
  </si>
  <si>
    <t>Precio Promocion</t>
  </si>
  <si>
    <t>Column1</t>
  </si>
  <si>
    <t>Diciembre</t>
  </si>
  <si>
    <t>UB0001</t>
  </si>
  <si>
    <t>PRODUCT</t>
  </si>
  <si>
    <t>trajes-de-bano /ofertas</t>
  </si>
  <si>
    <t xml:space="preserve">Pareo falda </t>
  </si>
  <si>
    <t>Talla Única Marca SHEIN</t>
  </si>
  <si>
    <t>SHEIN</t>
  </si>
  <si>
    <t>UB0002</t>
  </si>
  <si>
    <t>Trajes de baño</t>
  </si>
  <si>
    <t>Bikini Floral</t>
  </si>
  <si>
    <t>Talla XS</t>
  </si>
  <si>
    <t>UB0003</t>
  </si>
  <si>
    <t>Talla XL</t>
  </si>
  <si>
    <t>UB0004</t>
  </si>
  <si>
    <t>Vestidos</t>
  </si>
  <si>
    <t>Vestido camisero elegante</t>
  </si>
  <si>
    <t>Talla L</t>
  </si>
  <si>
    <t>UB0005</t>
  </si>
  <si>
    <t>Vestido Camisero Elegante</t>
  </si>
  <si>
    <t>Talla M</t>
  </si>
  <si>
    <t>V0003</t>
  </si>
  <si>
    <t>PA0001</t>
  </si>
  <si>
    <t>Pareo Pantalón</t>
  </si>
  <si>
    <t>Inventario Enero 2024</t>
  </si>
  <si>
    <t>PA0002</t>
  </si>
  <si>
    <t>Pareo pantalón</t>
  </si>
  <si>
    <t>PA0003</t>
  </si>
  <si>
    <t>Pareo pantalón en malla</t>
  </si>
  <si>
    <t>T0001</t>
  </si>
  <si>
    <t xml:space="preserve">Bañador con cremallera </t>
  </si>
  <si>
    <t>UB0006</t>
  </si>
  <si>
    <t>Bikini Mangas Fuccia</t>
  </si>
  <si>
    <t>Talla S</t>
  </si>
  <si>
    <t>UB0007</t>
  </si>
  <si>
    <t>UB0008</t>
  </si>
  <si>
    <t>Enguatada con protección UV</t>
  </si>
  <si>
    <t>UB0009</t>
  </si>
  <si>
    <t>Bañador Elegante con Lazo</t>
  </si>
  <si>
    <t>UB0010</t>
  </si>
  <si>
    <t>Bikini Elegante con Herrajes</t>
  </si>
  <si>
    <t>BI0004</t>
  </si>
  <si>
    <t>T0003</t>
  </si>
  <si>
    <t>Bañador de una pieza con degradado</t>
  </si>
  <si>
    <t>T0004</t>
  </si>
  <si>
    <t>Bañador con estampado floral</t>
  </si>
  <si>
    <t>UB0011</t>
  </si>
  <si>
    <t xml:space="preserve">Bañador floral </t>
  </si>
  <si>
    <t>UB0012</t>
  </si>
  <si>
    <t>Pareo pantalón de malla</t>
  </si>
  <si>
    <t>UB0013</t>
  </si>
  <si>
    <t>Bikini con cordón lateral</t>
  </si>
  <si>
    <t>UB0014</t>
  </si>
  <si>
    <t>trajes-de-bano /Curvy</t>
  </si>
  <si>
    <t>Talla XL Marca SHEIN</t>
  </si>
  <si>
    <t>UB0015</t>
  </si>
  <si>
    <t>Enguatada solera sin parte de abajo</t>
  </si>
  <si>
    <t>UB0016</t>
  </si>
  <si>
    <t>Bikini elegante con herrajes color humo</t>
  </si>
  <si>
    <t>Talla S Marca SHEIN</t>
  </si>
  <si>
    <t>UB0017</t>
  </si>
  <si>
    <t>UB0018</t>
  </si>
  <si>
    <t>Bañador con Cremallera</t>
  </si>
  <si>
    <t>Talla 2XL</t>
  </si>
  <si>
    <t>T0008</t>
  </si>
  <si>
    <t>Bañador una pieza de malla en contraste</t>
  </si>
  <si>
    <t>BI0008</t>
  </si>
  <si>
    <t>Sets de Bikini Casual</t>
  </si>
  <si>
    <t>T0009</t>
  </si>
  <si>
    <t xml:space="preserve">Bañador estampado de planta </t>
  </si>
  <si>
    <t>T0010</t>
  </si>
  <si>
    <t>Bañador estampado de planta</t>
  </si>
  <si>
    <t>T0011</t>
  </si>
  <si>
    <t>UB0019</t>
  </si>
  <si>
    <t>trajes-de-bano</t>
  </si>
  <si>
    <t>T0012</t>
  </si>
  <si>
    <t xml:space="preserve">Bañador con tira cruzada </t>
  </si>
  <si>
    <t>UB0020</t>
  </si>
  <si>
    <t>UB0021</t>
  </si>
  <si>
    <t>Bikini elegante con herrajes color negro</t>
  </si>
  <si>
    <t>T0013</t>
  </si>
  <si>
    <t>Bañador color combinado</t>
  </si>
  <si>
    <t>T0014</t>
  </si>
  <si>
    <t>Bañador de zíper en color combinado</t>
  </si>
  <si>
    <t>UB0022</t>
  </si>
  <si>
    <t>UB0023</t>
  </si>
  <si>
    <t>Bikini Mangas Negro</t>
  </si>
  <si>
    <t>BI0012</t>
  </si>
  <si>
    <t>T0017</t>
  </si>
  <si>
    <t>T0018</t>
  </si>
  <si>
    <t>Bañador en contraste con cremallera</t>
  </si>
  <si>
    <t>T0019</t>
  </si>
  <si>
    <t>Bañador color combinado con cremallera_S</t>
  </si>
  <si>
    <t>UB0024</t>
  </si>
  <si>
    <t>Bañador una pieza tropical</t>
  </si>
  <si>
    <t>TN0001</t>
  </si>
  <si>
    <t>Traje de baño niñas</t>
  </si>
  <si>
    <t>Bikini chicas estampado tropical</t>
  </si>
  <si>
    <t>Talla 11_Años</t>
  </si>
  <si>
    <t>TN0002</t>
  </si>
  <si>
    <t>Bañador chicas con estampado de letra con cremallera</t>
  </si>
  <si>
    <t>Talla 10_11Años</t>
  </si>
  <si>
    <t>UB0025</t>
  </si>
  <si>
    <t>Trajes de baño niñas /ofertas</t>
  </si>
  <si>
    <t>Bibiki niñita Pez</t>
  </si>
  <si>
    <t>Talla 4_Años</t>
  </si>
  <si>
    <t>UB0026</t>
  </si>
  <si>
    <t>Trajes de baño niñas</t>
  </si>
  <si>
    <t>Traje de baño Mariposa</t>
  </si>
  <si>
    <t>Talla 14_Años</t>
  </si>
  <si>
    <t>TN0005</t>
  </si>
  <si>
    <t>Bañador con estampado de girasol con cover up</t>
  </si>
  <si>
    <t>Talla 10_Años</t>
  </si>
  <si>
    <t>UB0028</t>
  </si>
  <si>
    <t>Bikini niñitas Sandía</t>
  </si>
  <si>
    <t>Talla 6_Años</t>
  </si>
  <si>
    <t>UB0029</t>
  </si>
  <si>
    <t>Traje de baño niñitas Pastel con diadema</t>
  </si>
  <si>
    <t>Talla 4_Años Marca SHEIN</t>
  </si>
  <si>
    <t>UB0030</t>
  </si>
  <si>
    <t>Bikini niñitas unicornio con Diadema</t>
  </si>
  <si>
    <t>Talla 7_Años Marca SHEIN</t>
  </si>
  <si>
    <t>UB0031</t>
  </si>
  <si>
    <t>Partes-de-abajo</t>
  </si>
  <si>
    <t>Jean Boyfriend con rotos</t>
  </si>
  <si>
    <t>UB0032</t>
  </si>
  <si>
    <t>Jeans</t>
  </si>
  <si>
    <t>Jeans de pierna recta desgarro</t>
  </si>
  <si>
    <t>UB0033</t>
  </si>
  <si>
    <t>P0004</t>
  </si>
  <si>
    <t>UB0034</t>
  </si>
  <si>
    <t>UB0035</t>
  </si>
  <si>
    <t>Bikini niñita Arcoíris</t>
  </si>
  <si>
    <t>UB0036</t>
  </si>
  <si>
    <t>Bañador una pieza con adorno de mariposas</t>
  </si>
  <si>
    <t>UB0037</t>
  </si>
  <si>
    <t>Traje de baño niñitas malla protectora</t>
  </si>
  <si>
    <t>V0004</t>
  </si>
  <si>
    <t>Vestido de manga farol con cordón delantero</t>
  </si>
  <si>
    <t>Yenma 19 Mayo</t>
  </si>
  <si>
    <t>UB0038</t>
  </si>
  <si>
    <t>Vestido con estampado floral con abertura alta</t>
  </si>
  <si>
    <t>V0006</t>
  </si>
  <si>
    <t>Vestido floral de cuello cuadrado</t>
  </si>
  <si>
    <t>B0001</t>
  </si>
  <si>
    <t>Tops</t>
  </si>
  <si>
    <t>Camiseta unicolor de malla</t>
  </si>
  <si>
    <t>UB0039</t>
  </si>
  <si>
    <t xml:space="preserve">Vestido cruzado con abertura con nudo delantero </t>
  </si>
  <si>
    <t>UB0040</t>
  </si>
  <si>
    <t>Vestido cruzado con abertura con nudo delantero</t>
  </si>
  <si>
    <t>UB0041</t>
  </si>
  <si>
    <t>Top de manga farol con abertura en espalda</t>
  </si>
  <si>
    <t>UB0042</t>
  </si>
  <si>
    <t>B0004</t>
  </si>
  <si>
    <t>Top de manga farol con abertura en espald</t>
  </si>
  <si>
    <t>UB0043</t>
  </si>
  <si>
    <t>Blusa espalda cruzada color rosa</t>
  </si>
  <si>
    <t>Talla XS Marca SHEIN</t>
  </si>
  <si>
    <t>UB0044</t>
  </si>
  <si>
    <t xml:space="preserve"> Top de espalda cruzada</t>
  </si>
  <si>
    <t>Talla M Color Rosa_Pálido</t>
  </si>
  <si>
    <t>P0005</t>
  </si>
  <si>
    <t>Pantalones de pierna ancha de talle alto con abertura</t>
  </si>
  <si>
    <t>UB0045</t>
  </si>
  <si>
    <t>UB0046</t>
  </si>
  <si>
    <t>UB0047</t>
  </si>
  <si>
    <t>Partes-de-abajo /ofertas</t>
  </si>
  <si>
    <t>Falda de trabajo entallada</t>
  </si>
  <si>
    <t>UB0048</t>
  </si>
  <si>
    <t>Partes-de-abajo /ofertas /curvy</t>
  </si>
  <si>
    <t>V0009</t>
  </si>
  <si>
    <t>Vestido ajustado de tirantes</t>
  </si>
  <si>
    <t>UB0049</t>
  </si>
  <si>
    <t>Vestidos /Curvy /ofertas</t>
  </si>
  <si>
    <t>Vestido moca ajustado</t>
  </si>
  <si>
    <t>Talla L Marca SHEIN</t>
  </si>
  <si>
    <t>UB0050</t>
  </si>
  <si>
    <t>Vestido de satén ajustado de tirantes fruncido</t>
  </si>
  <si>
    <t>UB0055</t>
  </si>
  <si>
    <t>Maxi vestido de bajo floral</t>
  </si>
  <si>
    <t>UB0056</t>
  </si>
  <si>
    <t>Talla M Marca SHEIN</t>
  </si>
  <si>
    <t>UB0057</t>
  </si>
  <si>
    <t>Vestidos /Curvy</t>
  </si>
  <si>
    <t>Maxi vestido con bajo floral</t>
  </si>
  <si>
    <t>UB0058</t>
  </si>
  <si>
    <t>Vestidos /ofertas</t>
  </si>
  <si>
    <t>Vestido de solapa y abertura</t>
  </si>
  <si>
    <t>UB0059</t>
  </si>
  <si>
    <t>UB0060</t>
  </si>
  <si>
    <t>Camisetaen contraste tejido canalé</t>
  </si>
  <si>
    <t>UB0061</t>
  </si>
  <si>
    <t>Vestido slip abertura de espalda abierta de cuello desbocado</t>
  </si>
  <si>
    <t>UB0062</t>
  </si>
  <si>
    <t>Vestido ajustado de tirantes con abertura</t>
  </si>
  <si>
    <t>UB0063</t>
  </si>
  <si>
    <t>UB0064</t>
  </si>
  <si>
    <t xml:space="preserve"> Pantalón ancho con cinturón</t>
  </si>
  <si>
    <t>Talla S Color Negro</t>
  </si>
  <si>
    <t>UB0065</t>
  </si>
  <si>
    <t>Pantalón pierna ancha con cinturón</t>
  </si>
  <si>
    <t>V0020</t>
  </si>
  <si>
    <t>Vestido Esmeralda Fruncido</t>
  </si>
  <si>
    <t>B0008</t>
  </si>
  <si>
    <t>Top estampado de cuello con cordón</t>
  </si>
  <si>
    <t>UB0066</t>
  </si>
  <si>
    <t>Top de cuello con cordón de lunares</t>
  </si>
  <si>
    <t>B0010</t>
  </si>
  <si>
    <t>UB0067</t>
  </si>
  <si>
    <t>Vestido tank tejido de canalé con cinturón</t>
  </si>
  <si>
    <t>UB0068</t>
  </si>
  <si>
    <t>UB0069</t>
  </si>
  <si>
    <t>Vestido de cuello cuadrado de espalda abierta</t>
  </si>
  <si>
    <t>V0025</t>
  </si>
  <si>
    <t>UB0070</t>
  </si>
  <si>
    <t>Blusa de manga mariposa escote V</t>
  </si>
  <si>
    <t>UB0071</t>
  </si>
  <si>
    <t>Tops /Curvy</t>
  </si>
  <si>
    <t>Top de mangas anchas y lentejuelas amarillo</t>
  </si>
  <si>
    <t>UB0072</t>
  </si>
  <si>
    <t>Vestido con abertura con botón floral de margarita</t>
  </si>
  <si>
    <t>UB0073</t>
  </si>
  <si>
    <t>Vestido flor y botones</t>
  </si>
  <si>
    <t>UB0074</t>
  </si>
  <si>
    <t>UB0075</t>
  </si>
  <si>
    <t>Blusa espalda cruzada blanca</t>
  </si>
  <si>
    <t>UB0076</t>
  </si>
  <si>
    <t>Top de espalda cruzada</t>
  </si>
  <si>
    <t>Talla M Color Blanco</t>
  </si>
  <si>
    <t>UB0077</t>
  </si>
  <si>
    <t>Top unicolor de hombros con almohadilla</t>
  </si>
  <si>
    <t>UB0078</t>
  </si>
  <si>
    <t>Blusas Botón Floral Casual</t>
  </si>
  <si>
    <t>UB0079</t>
  </si>
  <si>
    <t>UB0080</t>
  </si>
  <si>
    <t>V0029</t>
  </si>
  <si>
    <t>Vestido de  lunares de cintura con cordó</t>
  </si>
  <si>
    <t>UB0081</t>
  </si>
  <si>
    <t>Vestido Malla en contraste Lunares Elegante</t>
  </si>
  <si>
    <t>UB0082</t>
  </si>
  <si>
    <t>UB0083</t>
  </si>
  <si>
    <t>Vestido playera oversize</t>
  </si>
  <si>
    <t>UB0084</t>
  </si>
  <si>
    <t>Vestido camiseta bajo con abertura</t>
  </si>
  <si>
    <t>UB0085</t>
  </si>
  <si>
    <t>V0035</t>
  </si>
  <si>
    <t>UB0086</t>
  </si>
  <si>
    <t>Falda larga viniletto</t>
  </si>
  <si>
    <t>recibido yenma correos 8mayo</t>
  </si>
  <si>
    <t>UB0087</t>
  </si>
  <si>
    <t>Top de cuello V media manga</t>
  </si>
  <si>
    <t>Talla XXL</t>
  </si>
  <si>
    <t>UB0088</t>
  </si>
  <si>
    <t>Conjuntos /ofertas</t>
  </si>
  <si>
    <t>Conjunto cuadros</t>
  </si>
  <si>
    <t>UB0089</t>
  </si>
  <si>
    <t>Vestido lápiz de manga con malla fina</t>
  </si>
  <si>
    <t>C0002</t>
  </si>
  <si>
    <t>Conjuntos</t>
  </si>
  <si>
    <t>Conjunto de cuello profundo con girante delantero con falda</t>
  </si>
  <si>
    <t>C0003</t>
  </si>
  <si>
    <t>UB0090</t>
  </si>
  <si>
    <t xml:space="preserve"> Conjunto elegante acanalado </t>
  </si>
  <si>
    <t>UB0091</t>
  </si>
  <si>
    <t>Tops /ofertas</t>
  </si>
  <si>
    <t>Blusa elegante con diseño geométrico</t>
  </si>
  <si>
    <t>UB0092</t>
  </si>
  <si>
    <t>Conjunto falda y blusa</t>
  </si>
  <si>
    <t>UB0093</t>
  </si>
  <si>
    <t>Monos /ofertas</t>
  </si>
  <si>
    <t>Jumpsuit palazzo con lazo delantero</t>
  </si>
  <si>
    <t>UB0094</t>
  </si>
  <si>
    <t>Monos</t>
  </si>
  <si>
    <t>Jumpsuit palazzo de tie dye</t>
  </si>
  <si>
    <t>eUB0094Ω</t>
  </si>
  <si>
    <t>UB0096</t>
  </si>
  <si>
    <t>Conjunto short, camisa y top</t>
  </si>
  <si>
    <t>UB0097</t>
  </si>
  <si>
    <t>UB0098</t>
  </si>
  <si>
    <t>Conjunto de top y pantalón</t>
  </si>
  <si>
    <t>UB0099</t>
  </si>
  <si>
    <t>Vestido ajustado de titrantes finos</t>
  </si>
  <si>
    <t>UB0100</t>
  </si>
  <si>
    <t>UB0101</t>
  </si>
  <si>
    <t>Vestido línea A elegante</t>
  </si>
  <si>
    <t>UB0102</t>
  </si>
  <si>
    <t>UB0103</t>
  </si>
  <si>
    <t>Conjunto Top y Falda con textura</t>
  </si>
  <si>
    <t>UB0104</t>
  </si>
  <si>
    <t>Conjuntot Top corto &amp; Pantalones</t>
  </si>
  <si>
    <t>P0013</t>
  </si>
  <si>
    <t>Falda en mezclilla de talle alto con abertura</t>
  </si>
  <si>
    <t>UB0105</t>
  </si>
  <si>
    <t>Conjunto top corto y pantalones</t>
  </si>
  <si>
    <t>V0041</t>
  </si>
  <si>
    <t>Vestido Tie-Dye Bohemio</t>
  </si>
  <si>
    <t>UB0106</t>
  </si>
  <si>
    <t>Vestido camisero con cinturón</t>
  </si>
  <si>
    <t>V0043</t>
  </si>
  <si>
    <t>Vestido tubo con abertura de muslo con abertura</t>
  </si>
  <si>
    <t>UB0107</t>
  </si>
  <si>
    <t>Vestido ajustado con abertura</t>
  </si>
  <si>
    <t>UB0108</t>
  </si>
  <si>
    <t>Vestido floral con cinturón</t>
  </si>
  <si>
    <t>V0046</t>
  </si>
  <si>
    <t xml:space="preserve">Vestido cruzado de lunares </t>
  </si>
  <si>
    <t>V0047</t>
  </si>
  <si>
    <t>UB0109</t>
  </si>
  <si>
    <t>Vestido healter dama de honor</t>
  </si>
  <si>
    <t xml:space="preserve">Talla XS </t>
  </si>
  <si>
    <t>UB0110</t>
  </si>
  <si>
    <t>UB0111</t>
  </si>
  <si>
    <t>UB0112</t>
  </si>
  <si>
    <t xml:space="preserve"> Body de encaje</t>
  </si>
  <si>
    <t>UB0113</t>
  </si>
  <si>
    <t>Vestido ajustado</t>
  </si>
  <si>
    <t>V0052</t>
  </si>
  <si>
    <t>SHEIN Belle Vestido de dama de honor de hombros descubiertos fruncido cruzado de satén</t>
  </si>
  <si>
    <t>UB0114</t>
  </si>
  <si>
    <t>Vestido bajo cruzado de tie dye</t>
  </si>
  <si>
    <t>UB0115</t>
  </si>
  <si>
    <t>Accesorios</t>
  </si>
  <si>
    <t>Pañuelo con estampado de paisley</t>
  </si>
  <si>
    <t>Talla única Marca SHEIN</t>
  </si>
  <si>
    <t>UB0116</t>
  </si>
  <si>
    <t>Vestido de espalda cruzada</t>
  </si>
  <si>
    <t>V0055</t>
  </si>
  <si>
    <t>EMERY ROSE Vestido maxi floral con estampado de pañuelo de manga farol bajo con fruncido</t>
  </si>
  <si>
    <t>UB0117</t>
  </si>
  <si>
    <t>Vestido elegante de espalda corrida</t>
  </si>
  <si>
    <t>UB0118</t>
  </si>
  <si>
    <t xml:space="preserve">Pantalón tejido de rayas </t>
  </si>
  <si>
    <t>UB0119</t>
  </si>
  <si>
    <t xml:space="preserve">Pantalones tejido de rayas </t>
  </si>
  <si>
    <t>UB0120</t>
  </si>
  <si>
    <t>Vestido satinado elegante</t>
  </si>
  <si>
    <t>UB0121</t>
  </si>
  <si>
    <t>Vestido manga larga con cinturón</t>
  </si>
  <si>
    <t>V0059</t>
  </si>
  <si>
    <t>Vestido de un hombro con nudo</t>
  </si>
  <si>
    <t>VN0001</t>
  </si>
  <si>
    <t>Vestido Niñas</t>
  </si>
  <si>
    <t>SHEIN Vestido niña ceremonia de tirantes bajo con malla con lazo grande_98CM</t>
  </si>
  <si>
    <t>V0060</t>
  </si>
  <si>
    <t>SHEIN VCAY Vestido ajustado con estampado de corazón de confeti de hombros descubiertos ribete fruncido_S</t>
  </si>
  <si>
    <t>V0061</t>
  </si>
  <si>
    <t>SHEIN Belle Vestido de dama de honor de hombros descubiertos fruncido cruzado_S</t>
  </si>
  <si>
    <t>V0062</t>
  </si>
  <si>
    <t>SHEIN Felegant Vestido ajustado con estampado de leopardo_M</t>
  </si>
  <si>
    <t>V0063</t>
  </si>
  <si>
    <t>Elegant Vestido ajustado con estampado de leopardo</t>
  </si>
  <si>
    <t>UB0122</t>
  </si>
  <si>
    <t xml:space="preserve">Vestido corto de puntos </t>
  </si>
  <si>
    <t>A0002</t>
  </si>
  <si>
    <t>Cinturón con hebilla_Unitalla</t>
  </si>
  <si>
    <t>Talla única</t>
  </si>
  <si>
    <t>A0004</t>
  </si>
  <si>
    <t>Bolsa cartera con manija_Negro</t>
  </si>
  <si>
    <t>Talla Chico</t>
  </si>
  <si>
    <t>A0005</t>
  </si>
  <si>
    <t>Bolsa cartera con solapa con lagartija_Caqui</t>
  </si>
  <si>
    <t>UB0123</t>
  </si>
  <si>
    <t>Belleza</t>
  </si>
  <si>
    <t>Brocha para maquillaje</t>
  </si>
  <si>
    <t>Talla Única</t>
  </si>
  <si>
    <t>A0006</t>
  </si>
  <si>
    <t>Bolsa cartera de cocodrilo_Naranja Quemada</t>
  </si>
  <si>
    <t>UB0124</t>
  </si>
  <si>
    <t>Cinturones Casual</t>
  </si>
  <si>
    <t>V0065</t>
  </si>
  <si>
    <t>EMERY ROSE Vestido Volante rígido Floral Sencillo_L</t>
  </si>
  <si>
    <t>UB0125</t>
  </si>
  <si>
    <t xml:space="preserve">Vestido Volante rígido Floral </t>
  </si>
  <si>
    <t>UB0126</t>
  </si>
  <si>
    <t>Vestido Floreado corte de sirena</t>
  </si>
  <si>
    <t>UB0127</t>
  </si>
  <si>
    <t>Vestido Bohemio</t>
  </si>
  <si>
    <t>UB0128</t>
  </si>
  <si>
    <t xml:space="preserve">Bañador una pieza de color combinado </t>
  </si>
  <si>
    <t>UB0129</t>
  </si>
  <si>
    <t>UB0130</t>
  </si>
  <si>
    <t>UB0131</t>
  </si>
  <si>
    <t>UB0132</t>
  </si>
  <si>
    <t>UB0133</t>
  </si>
  <si>
    <t>BI0016</t>
  </si>
  <si>
    <t>Bañador bikini tropical con estampado de hoja de talle alto_L</t>
  </si>
  <si>
    <t>BI0017</t>
  </si>
  <si>
    <t>Bañador bikini tropical con estampado de hoja de talle alto_M</t>
  </si>
  <si>
    <t>UB0134</t>
  </si>
  <si>
    <t>Bikini tropical con estampado de hoja</t>
  </si>
  <si>
    <t>T0026</t>
  </si>
  <si>
    <t>Bañador una pieza tropical_XL</t>
  </si>
  <si>
    <t>T0027</t>
  </si>
  <si>
    <t>Bañador una pieza tropical_M</t>
  </si>
  <si>
    <t>T0028</t>
  </si>
  <si>
    <t>Bañador una pieza tropical_L</t>
  </si>
  <si>
    <t>UB0135</t>
  </si>
  <si>
    <t xml:space="preserve">Mono Bohemiocon cinturón </t>
  </si>
  <si>
    <t>UB0136</t>
  </si>
  <si>
    <t xml:space="preserve">Mono Bohemio con cinturón </t>
  </si>
  <si>
    <t>V0069</t>
  </si>
  <si>
    <t>Vestido con cordón de espalda cruzada</t>
  </si>
  <si>
    <t>UB0137</t>
  </si>
  <si>
    <t>V0071</t>
  </si>
  <si>
    <t xml:space="preserve">Vestido con cordón de espalda abierta </t>
  </si>
  <si>
    <t>UB0138</t>
  </si>
  <si>
    <t xml:space="preserve">Camisa amplia multicolor </t>
  </si>
  <si>
    <t>UB0139</t>
  </si>
  <si>
    <t>Bañador bikini floral</t>
  </si>
  <si>
    <t>T0029</t>
  </si>
  <si>
    <t>UB0140</t>
  </si>
  <si>
    <t>Blusa de cuello cisne</t>
  </si>
  <si>
    <t>UB0141</t>
  </si>
  <si>
    <t xml:space="preserve">Top corto de cuello cuadrado </t>
  </si>
  <si>
    <t>Talla XXS</t>
  </si>
  <si>
    <t>UB0142</t>
  </si>
  <si>
    <t>Vestido Amanecer</t>
  </si>
  <si>
    <t>UB0143</t>
  </si>
  <si>
    <t xml:space="preserve">Skort asimétrico floral </t>
  </si>
  <si>
    <t>T0030</t>
  </si>
  <si>
    <t>UB0144</t>
  </si>
  <si>
    <t>T0032</t>
  </si>
  <si>
    <t>UB0145</t>
  </si>
  <si>
    <t>Bañador bikini de manga raglán con cordón floral</t>
  </si>
  <si>
    <t>UB0146</t>
  </si>
  <si>
    <t>UB0147</t>
  </si>
  <si>
    <t>Bikini de manga y short floreado</t>
  </si>
  <si>
    <t>UB0148</t>
  </si>
  <si>
    <t>Bolso pequeño guateado con perla artificial</t>
  </si>
  <si>
    <t>BI0020</t>
  </si>
  <si>
    <t>Bañador bikini con estampado tropical_M</t>
  </si>
  <si>
    <t>BI0021</t>
  </si>
  <si>
    <t>Bañador bikini con estampado tropical con nudo de talle alto_M</t>
  </si>
  <si>
    <t>UB0149</t>
  </si>
  <si>
    <t>Vestido cruzado de lunares</t>
  </si>
  <si>
    <t>UB0150</t>
  </si>
  <si>
    <t>Vestido escote de corazón</t>
  </si>
  <si>
    <t>UB0151</t>
  </si>
  <si>
    <t>UB0152</t>
  </si>
  <si>
    <t>Vestidos /ofertas /curvy</t>
  </si>
  <si>
    <t>Vestido plisado</t>
  </si>
  <si>
    <t>Talla 3XL</t>
  </si>
  <si>
    <t>UB0153</t>
  </si>
  <si>
    <t>V0078</t>
  </si>
  <si>
    <t>SHEIN Vestido de hombros descubiertos con botón falso de cintura fruncido de manga farol_S</t>
  </si>
  <si>
    <t>BI0022</t>
  </si>
  <si>
    <t>Bañador bikini push up de cuadros girante_M</t>
  </si>
  <si>
    <t>UB0154</t>
  </si>
  <si>
    <t>Vestido asimétrico</t>
  </si>
  <si>
    <t>UB0155</t>
  </si>
  <si>
    <t xml:space="preserve">Bolsa cuadrada mini geométrico </t>
  </si>
  <si>
    <t>UB0156</t>
  </si>
  <si>
    <t>Bikini estampado cebra</t>
  </si>
  <si>
    <t>UB0157</t>
  </si>
  <si>
    <t>Trajes de baño /ofertas</t>
  </si>
  <si>
    <t>UB0158</t>
  </si>
  <si>
    <t>Bolsa cartera con manija</t>
  </si>
  <si>
    <t>UB0159</t>
  </si>
  <si>
    <t>bolsos /accesorios</t>
  </si>
  <si>
    <t>Bolsa bandolera</t>
  </si>
  <si>
    <t>Talla Chico Marca SHEIN</t>
  </si>
  <si>
    <t>A0011</t>
  </si>
  <si>
    <t>Bolso cartera con solapa transparente</t>
  </si>
  <si>
    <t>UB0160</t>
  </si>
  <si>
    <t>Bañador de talle alto con vuelos</t>
  </si>
  <si>
    <t>BI0026</t>
  </si>
  <si>
    <t>Bañador bikini con nudo delantero bajo fruncido tropical_S</t>
  </si>
  <si>
    <t>UB0161</t>
  </si>
  <si>
    <t>Bikini estampado de cebra</t>
  </si>
  <si>
    <t>V0080</t>
  </si>
  <si>
    <t>UB0162</t>
  </si>
  <si>
    <t>SB0001</t>
  </si>
  <si>
    <t>3 piezas Bañador bikini push up con estampado tropical con falda de playa</t>
  </si>
  <si>
    <t>UB0163</t>
  </si>
  <si>
    <t xml:space="preserve">Bikini push up tropical </t>
  </si>
  <si>
    <t>UB0164</t>
  </si>
  <si>
    <t>Hombres /Curvy</t>
  </si>
  <si>
    <t>Capucha de dos tonos</t>
  </si>
  <si>
    <t>SB0003</t>
  </si>
  <si>
    <t>3 piezas Bañador bikini triángulo halter con estampado geométrico con pantalones cover up</t>
  </si>
  <si>
    <t>UB0165</t>
  </si>
  <si>
    <t>Set 3 piezas bikini</t>
  </si>
  <si>
    <t>UB0166</t>
  </si>
  <si>
    <t>Estuche para gafas transparente</t>
  </si>
  <si>
    <t>UB0167</t>
  </si>
  <si>
    <t>Calzado</t>
  </si>
  <si>
    <t xml:space="preserve">Zapatillas con cordón </t>
  </si>
  <si>
    <t>Talla 36</t>
  </si>
  <si>
    <t>UB0168</t>
  </si>
  <si>
    <t>Calcetines unicolor</t>
  </si>
  <si>
    <t>UB0169</t>
  </si>
  <si>
    <t xml:space="preserve"> Mocasines con puntada</t>
  </si>
  <si>
    <t>UB0170</t>
  </si>
  <si>
    <t>belleza /ofertas</t>
  </si>
  <si>
    <t xml:space="preserve">Almohadilla de maquillaje </t>
  </si>
  <si>
    <t>Talla Unitalla</t>
  </si>
  <si>
    <t>UB0171</t>
  </si>
  <si>
    <t>belleza</t>
  </si>
  <si>
    <t>Alisador</t>
  </si>
  <si>
    <t>Talla Unitalla Marca SHEIN</t>
  </si>
  <si>
    <t>UB0172</t>
  </si>
  <si>
    <t xml:space="preserve">Esponja de maquillaje </t>
  </si>
  <si>
    <t>UB0173</t>
  </si>
  <si>
    <t>Rizador de pelo de color al azar 10 piezas</t>
  </si>
  <si>
    <t>UB0174</t>
  </si>
  <si>
    <t>Vestido corrugado de vuelos</t>
  </si>
  <si>
    <t>UB0175</t>
  </si>
  <si>
    <t xml:space="preserve">Gafas minimalista de moda </t>
  </si>
  <si>
    <t>CA0003</t>
  </si>
  <si>
    <t>Sandalias de tiras con diseño de diamante de imitación con tacón grueso Plateado_MX24</t>
  </si>
  <si>
    <t>Talla 38</t>
  </si>
  <si>
    <t>P0017</t>
  </si>
  <si>
    <t>SHEIN Felegant Shorts PU de cintura con volante con cordón Negro_5</t>
  </si>
  <si>
    <t>UB0176</t>
  </si>
  <si>
    <t xml:space="preserve">Body de un hombro manga farol </t>
  </si>
  <si>
    <t>L0001</t>
  </si>
  <si>
    <t>Lencería</t>
  </si>
  <si>
    <t>Cubierta de pezón de metal vinculado</t>
  </si>
  <si>
    <t>Talla C</t>
  </si>
  <si>
    <t>UB0177</t>
  </si>
  <si>
    <t xml:space="preserve">Shorts bajo de doblez de cintura </t>
  </si>
  <si>
    <t>CA0004</t>
  </si>
  <si>
    <t>Botines con tacón con cordón</t>
  </si>
  <si>
    <t>P0019</t>
  </si>
  <si>
    <t>Falda con abertura alta_XS</t>
  </si>
  <si>
    <t>UB0178</t>
  </si>
  <si>
    <t>Calzado /ofertas</t>
  </si>
  <si>
    <t>Sandalias plateadas con pedrería</t>
  </si>
  <si>
    <t>UB0179</t>
  </si>
  <si>
    <t>Vestido Azul Rey de tela faja</t>
  </si>
  <si>
    <t>UB0180</t>
  </si>
  <si>
    <t>Shorts de cintura con cordón</t>
  </si>
  <si>
    <t>UB0181</t>
  </si>
  <si>
    <t>Vestido de muslo con abertura .</t>
  </si>
  <si>
    <t>V0083</t>
  </si>
  <si>
    <t>Vestido de espalda abierta de manga farol_S</t>
  </si>
  <si>
    <t>V0084</t>
  </si>
  <si>
    <t>Vestido de espalda abierta de manga farol_XS</t>
  </si>
  <si>
    <t>V0085</t>
  </si>
  <si>
    <t>Vestido de manga farol de cuello cuadrado_L</t>
  </si>
  <si>
    <t>V0086</t>
  </si>
  <si>
    <t>Vestido de manga farol de cuello cuadrado_M</t>
  </si>
  <si>
    <t>V0087</t>
  </si>
  <si>
    <t>Vestido de manga farol de cuello cuadrado_S</t>
  </si>
  <si>
    <t>V0088</t>
  </si>
  <si>
    <t>Vestido de manga farol de cuello cuadrado_XS</t>
  </si>
  <si>
    <t>B0057</t>
  </si>
  <si>
    <t>Top de hombros descubiertos unicolor ribete con fruncido_S</t>
  </si>
  <si>
    <t>B0023</t>
  </si>
  <si>
    <t>SHEIN SXY Camiseta corta unicolor con abertura_XS</t>
  </si>
  <si>
    <t>B0024</t>
  </si>
  <si>
    <t>Camiseta corta unicolor con abertura</t>
  </si>
  <si>
    <t>B0025</t>
  </si>
  <si>
    <t>SHEIN SXY Camiseta corta unicolor con abertura</t>
  </si>
  <si>
    <t>UB0182</t>
  </si>
  <si>
    <t>Top cruzado blanco</t>
  </si>
  <si>
    <t>Talla XS Color Blanco Marca SHEIN</t>
  </si>
  <si>
    <t>UB0183</t>
  </si>
  <si>
    <t>UB0184</t>
  </si>
  <si>
    <t>Top corto manga farol</t>
  </si>
  <si>
    <t>B0029</t>
  </si>
  <si>
    <t>SHEIN SXY Top corto con nudo con abertura de manga farol_S</t>
  </si>
  <si>
    <t>B0030</t>
  </si>
  <si>
    <t>SHEIN SXY Top corto con nudo con abertura de manga farol_M</t>
  </si>
  <si>
    <t>UB0185</t>
  </si>
  <si>
    <t>Top cruzado naranja</t>
  </si>
  <si>
    <t>UB0186</t>
  </si>
  <si>
    <t>UB0187</t>
  </si>
  <si>
    <t>UB0188</t>
  </si>
  <si>
    <t>Top corsetero asimétrico</t>
  </si>
  <si>
    <t>UB0189</t>
  </si>
  <si>
    <t>UB0190</t>
  </si>
  <si>
    <t>UB0191</t>
  </si>
  <si>
    <t>Vestido floral de mangas farol</t>
  </si>
  <si>
    <t>UB0192</t>
  </si>
  <si>
    <t>UB0193</t>
  </si>
  <si>
    <t>V0092</t>
  </si>
  <si>
    <t>SHEIN Vestido con estampado floral pecho con fruncido con nudo delantero bajo con fruncido_L</t>
  </si>
  <si>
    <t>UB0194</t>
  </si>
  <si>
    <t>Camiseta corta de cuadros</t>
  </si>
  <si>
    <t>V0093</t>
  </si>
  <si>
    <t>SHEIN Vestido fruncido de cuello con cordón de manga con volante de lunares_XS</t>
  </si>
  <si>
    <t>V0094</t>
  </si>
  <si>
    <t>SHEIN Vestido fruncido de cuello con cordón de manga con volante de lunares_M</t>
  </si>
  <si>
    <t>UB0195</t>
  </si>
  <si>
    <t>Camiseta corta de manga farol</t>
  </si>
  <si>
    <t>UB0196</t>
  </si>
  <si>
    <t>UB0197</t>
  </si>
  <si>
    <t xml:space="preserve">Cinturón trenzado </t>
  </si>
  <si>
    <t>UB0198</t>
  </si>
  <si>
    <t xml:space="preserve">Vestido pecho con fruncido </t>
  </si>
  <si>
    <t>V0096</t>
  </si>
  <si>
    <t>Vestido pecho con fruncido cruzado cintura con estampado floral_S</t>
  </si>
  <si>
    <t>V0097</t>
  </si>
  <si>
    <t>Vestido pecho con fruncido cruzado cintura con estampado floral_M</t>
  </si>
  <si>
    <t>V0098</t>
  </si>
  <si>
    <t>Vestido pecho con fruncido cruzado cintura con estampado floral_L</t>
  </si>
  <si>
    <t>UB0199</t>
  </si>
  <si>
    <t>Vestido vaporoso</t>
  </si>
  <si>
    <t>UB0200</t>
  </si>
  <si>
    <t>Vestido ajustado de malla en contraste</t>
  </si>
  <si>
    <t>UB0201</t>
  </si>
  <si>
    <t>Vestido floral con abertura trasera</t>
  </si>
  <si>
    <t>V0102</t>
  </si>
  <si>
    <t>UB0202</t>
  </si>
  <si>
    <t>UB0203</t>
  </si>
  <si>
    <t>Vestido floral escote corazón</t>
  </si>
  <si>
    <t>UB0204</t>
  </si>
  <si>
    <t>V0106</t>
  </si>
  <si>
    <t>SHEIN Vestido con estampado floral con nudo delantero de manga farol_L</t>
  </si>
  <si>
    <t>UB0205</t>
  </si>
  <si>
    <t>Vestido con estampado floral</t>
  </si>
  <si>
    <t>UB0206</t>
  </si>
  <si>
    <t>V0109</t>
  </si>
  <si>
    <t>Vestido floral de manga farol escote corazón con cordón lateral_S</t>
  </si>
  <si>
    <t>UB0207</t>
  </si>
  <si>
    <t>Vestido con estampado jungla</t>
  </si>
  <si>
    <t>UB0208</t>
  </si>
  <si>
    <t>UB0209</t>
  </si>
  <si>
    <t>Vestidos /Curvy /oferta</t>
  </si>
  <si>
    <t>V0113</t>
  </si>
  <si>
    <t>Vestido floral de manga farol de espalda abierta con cordón bajo con fruncido_XS</t>
  </si>
  <si>
    <t>V0114</t>
  </si>
  <si>
    <t>Vestido floral de manga farol de espalda abierta con cordón bajo con fruncido_S</t>
  </si>
  <si>
    <t>V0115</t>
  </si>
  <si>
    <t>Vestido floral de manga farol de espalda abierta con cordón bajo con fruncido_M</t>
  </si>
  <si>
    <t>V0116</t>
  </si>
  <si>
    <t>Vestido floral de manga farol de espalda abierta con cordón bajo con fruncido_L</t>
  </si>
  <si>
    <t>V0117</t>
  </si>
  <si>
    <t>SHEIN Vestido lencero floral de muslo con abertura_XS</t>
  </si>
  <si>
    <t>V0118</t>
  </si>
  <si>
    <t>SHEIN Vestido lencero floral de muslo con abertura_S</t>
  </si>
  <si>
    <t>UB0210</t>
  </si>
  <si>
    <t>Top Cruzado negro</t>
  </si>
  <si>
    <t>UB0211</t>
  </si>
  <si>
    <t>UB0212</t>
  </si>
  <si>
    <t>B0043</t>
  </si>
  <si>
    <t>SHEIN SXY Camiseta con abertura de malla_M</t>
  </si>
  <si>
    <t>B0044</t>
  </si>
  <si>
    <t>SHEIN SXY Camiseta con abertura de malla_S</t>
  </si>
  <si>
    <t>B0045</t>
  </si>
  <si>
    <t>SHEIN SXY Camiseta con abertura de malla_XS</t>
  </si>
  <si>
    <t>UB0213</t>
  </si>
  <si>
    <t>Top Cruzado azul</t>
  </si>
  <si>
    <t>UB0214</t>
  </si>
  <si>
    <t>V0119</t>
  </si>
  <si>
    <t>SHEIN Frenchy Vestido de leopardo &amp; piel de tigre con estampado de manga mariposa sin cinturón_S</t>
  </si>
  <si>
    <t>UB0215</t>
  </si>
  <si>
    <t>Blusa corta de manga farol</t>
  </si>
  <si>
    <t>UB0216</t>
  </si>
  <si>
    <t>Tops /Curvy /ofertas</t>
  </si>
  <si>
    <t>V0120</t>
  </si>
  <si>
    <t>Vestido de espalda abierta de manga farol_L</t>
  </si>
  <si>
    <t>V0121</t>
  </si>
  <si>
    <t>Vestido de espalda abierta de manga farol_M</t>
  </si>
  <si>
    <t>B0050</t>
  </si>
  <si>
    <t>Top de cuello cruzado con nudo lateral</t>
  </si>
  <si>
    <t>UB0217</t>
  </si>
  <si>
    <t>Vestido ajustado con diseño de cadena</t>
  </si>
  <si>
    <t>UB02183</t>
  </si>
  <si>
    <t>Falda ajustada animal print</t>
  </si>
  <si>
    <t>UB0218</t>
  </si>
  <si>
    <t>UB0219</t>
  </si>
  <si>
    <t>Vestido con estampado de cereza</t>
  </si>
  <si>
    <t>UB0220</t>
  </si>
  <si>
    <t>Vestido slip de rayas de cebra</t>
  </si>
  <si>
    <t>UB0221</t>
  </si>
  <si>
    <t>Vestido slip cebra</t>
  </si>
  <si>
    <t>UB0222</t>
  </si>
  <si>
    <t xml:space="preserve"> Vestido ajustado con estampado de dragón</t>
  </si>
  <si>
    <t>UB0223</t>
  </si>
  <si>
    <t xml:space="preserve"> Vestido slip dragón</t>
  </si>
  <si>
    <t>UB0224</t>
  </si>
  <si>
    <t>Vestido corto de punto</t>
  </si>
  <si>
    <t>H&amp;M</t>
  </si>
  <si>
    <t>UB0225</t>
  </si>
  <si>
    <t>Tops /hm /ofertas</t>
  </si>
  <si>
    <t>Body tong H&amp;M</t>
  </si>
  <si>
    <t>UB0226</t>
  </si>
  <si>
    <t>Top bandeau</t>
  </si>
  <si>
    <t>UB0227</t>
  </si>
  <si>
    <t>Partes-de-abajo /hm /ofertas</t>
  </si>
  <si>
    <t>Pantalón elegante de tela brillosa H&amp;M</t>
  </si>
  <si>
    <t>UB0228</t>
  </si>
  <si>
    <t>Vestidos /hm /ofertas</t>
  </si>
  <si>
    <t>Vestido con cordón de ajuste H&amp;M</t>
  </si>
  <si>
    <t xml:space="preserve">Talla M </t>
  </si>
  <si>
    <t>UB0229</t>
  </si>
  <si>
    <t>UB0230</t>
  </si>
  <si>
    <t>Vestido bodycon</t>
  </si>
  <si>
    <t>Talla XS Marca H&amp;M</t>
  </si>
  <si>
    <t>UB0231</t>
  </si>
  <si>
    <t>Top acanalado sin mangas</t>
  </si>
  <si>
    <t>B0054</t>
  </si>
  <si>
    <t>UB0232</t>
  </si>
  <si>
    <t>UB234</t>
  </si>
  <si>
    <t>Accesorios /hm</t>
  </si>
  <si>
    <t>gafas azules con cadena H&amp;M</t>
  </si>
  <si>
    <t>B0056</t>
  </si>
  <si>
    <t>V0132</t>
  </si>
  <si>
    <t>Vestido acanalado de un hombro</t>
  </si>
  <si>
    <t>UB0233</t>
  </si>
  <si>
    <t>Vestido de un hombro</t>
  </si>
  <si>
    <t>Talla S Color Blanco Marca H&amp;M</t>
  </si>
  <si>
    <t>UB0234</t>
  </si>
  <si>
    <t>Vestidos /hm</t>
  </si>
  <si>
    <t>Vestido corto azul real</t>
  </si>
  <si>
    <t>UB0235</t>
  </si>
  <si>
    <t>UB0236</t>
  </si>
  <si>
    <t>Sostén Push-up</t>
  </si>
  <si>
    <t>Talla 34B</t>
  </si>
  <si>
    <t>UB0237</t>
  </si>
  <si>
    <t>UB0238</t>
  </si>
  <si>
    <t>Hombres</t>
  </si>
  <si>
    <t>Pants ajustados</t>
  </si>
  <si>
    <t>UB0239</t>
  </si>
  <si>
    <t>Short denim</t>
  </si>
  <si>
    <t>Talla 32 Marca H&amp;M</t>
  </si>
  <si>
    <t>UB0240</t>
  </si>
  <si>
    <t>Hombres /hm</t>
  </si>
  <si>
    <t>Jean slim fit</t>
  </si>
  <si>
    <t>Talla 30X32</t>
  </si>
  <si>
    <t>UB0241</t>
  </si>
  <si>
    <t>Sandalias trenzadas</t>
  </si>
  <si>
    <t>Talla 41</t>
  </si>
  <si>
    <t>UB0242</t>
  </si>
  <si>
    <t>Sandalias Rojas</t>
  </si>
  <si>
    <t>UB0243</t>
  </si>
  <si>
    <t>Sandalias Trenzadas</t>
  </si>
  <si>
    <t>Talla 40</t>
  </si>
  <si>
    <t>UB0244</t>
  </si>
  <si>
    <t>UB0245</t>
  </si>
  <si>
    <t>Calzado /hm /ofertas</t>
  </si>
  <si>
    <t>Sandalias anudadas</t>
  </si>
  <si>
    <t>Talla 39</t>
  </si>
  <si>
    <t>UB0246</t>
  </si>
  <si>
    <t>Talla 37</t>
  </si>
  <si>
    <t>UB0247</t>
  </si>
  <si>
    <t>Talla 35</t>
  </si>
  <si>
    <t>UB0248</t>
  </si>
  <si>
    <t>Alpargatas a cuadros</t>
  </si>
  <si>
    <t>UB0249</t>
  </si>
  <si>
    <t xml:space="preserve">Sandalias atadas </t>
  </si>
  <si>
    <t>CA0015</t>
  </si>
  <si>
    <t>Sandalias prácticas</t>
  </si>
  <si>
    <t>UB0250</t>
  </si>
  <si>
    <t>B00058</t>
  </si>
  <si>
    <t>Top berry en tela de algodón</t>
  </si>
  <si>
    <t>Talla S Marca H&amp;M</t>
  </si>
  <si>
    <t>UB0251</t>
  </si>
  <si>
    <t>Tops /hm</t>
  </si>
  <si>
    <t>UB0252</t>
  </si>
  <si>
    <t>Top Amarillo en tela de algodón</t>
  </si>
  <si>
    <t>UB0253</t>
  </si>
  <si>
    <t>UB0254</t>
  </si>
  <si>
    <t>Top Negro en tela de algodón</t>
  </si>
  <si>
    <t>UB0255</t>
  </si>
  <si>
    <t>Top Manga Corta Negro</t>
  </si>
  <si>
    <t>UB0256</t>
  </si>
  <si>
    <t>Gorra de Malla</t>
  </si>
  <si>
    <t>UB0257</t>
  </si>
  <si>
    <t>Visera rosa</t>
  </si>
  <si>
    <t>UB0258</t>
  </si>
  <si>
    <t>Bermuda denim</t>
  </si>
  <si>
    <t>P0024</t>
  </si>
  <si>
    <t>UB0259</t>
  </si>
  <si>
    <t>Bañador atado a los lados</t>
  </si>
  <si>
    <t>UB0260</t>
  </si>
  <si>
    <t>Bañador floreado</t>
  </si>
  <si>
    <t>UB0261</t>
  </si>
  <si>
    <t>Bañador  animal print</t>
  </si>
  <si>
    <t>UB0262</t>
  </si>
  <si>
    <t>Partes-de-abajo /Precios Bajos</t>
  </si>
  <si>
    <t>Short de cordón lateral</t>
  </si>
  <si>
    <t>UB0263</t>
  </si>
  <si>
    <t>Vestido slip satinado</t>
  </si>
  <si>
    <t>UB0264</t>
  </si>
  <si>
    <t xml:space="preserve"> Bañador espalda descubierta</t>
  </si>
  <si>
    <t>UB0265</t>
  </si>
  <si>
    <t>Bañador a rayas con lazo</t>
  </si>
  <si>
    <t>UB0266</t>
  </si>
  <si>
    <t>Bañador estampado en contraste</t>
  </si>
  <si>
    <t>UB0267</t>
  </si>
  <si>
    <t>Vestido slip de espalda corrida</t>
  </si>
  <si>
    <t>UB0268</t>
  </si>
  <si>
    <t>Tops /Precios Bajos</t>
  </si>
  <si>
    <t>Top de cuello asimétrico</t>
  </si>
  <si>
    <t>UB0269</t>
  </si>
  <si>
    <t>Blusa verde menta vuelos</t>
  </si>
  <si>
    <t xml:space="preserve">Talla XL </t>
  </si>
  <si>
    <t>BU0270</t>
  </si>
  <si>
    <t>Tops /precios bajos</t>
  </si>
  <si>
    <t>Blusa atada bohemia</t>
  </si>
  <si>
    <t>BU0271</t>
  </si>
  <si>
    <t>Blusa estampada amplia</t>
  </si>
  <si>
    <t>BU0272</t>
  </si>
  <si>
    <t xml:space="preserve">Bikini Rosa Viejo Satinado </t>
  </si>
  <si>
    <t>BU0273</t>
  </si>
  <si>
    <t>Trajes de baño /Curvy /precios bajos</t>
  </si>
  <si>
    <t>Bikini cintura alta</t>
  </si>
  <si>
    <t>BU0274</t>
  </si>
  <si>
    <t>Set de bikini malva</t>
  </si>
  <si>
    <t>BU0275</t>
  </si>
  <si>
    <t>Vestido estampado malva</t>
  </si>
  <si>
    <t>BU0276</t>
  </si>
  <si>
    <t xml:space="preserve">Belleza </t>
  </si>
  <si>
    <t>Rubor rosa</t>
  </si>
  <si>
    <t>BU0277</t>
  </si>
  <si>
    <t>Vestido pasión</t>
  </si>
  <si>
    <t>BU0278</t>
  </si>
  <si>
    <t>Blusa naranja electra</t>
  </si>
  <si>
    <t>BU0279</t>
  </si>
  <si>
    <t>Pareo corazón</t>
  </si>
  <si>
    <t>BU0280</t>
  </si>
  <si>
    <t>Top de malla sexy</t>
  </si>
  <si>
    <t>BU0281</t>
  </si>
  <si>
    <t>Top escote corazón</t>
  </si>
  <si>
    <t>BU0282</t>
  </si>
  <si>
    <t>BU0283</t>
  </si>
  <si>
    <t>Falda rosa brillante</t>
  </si>
  <si>
    <t>BU0284</t>
  </si>
  <si>
    <t>Kimono Maxi elegante</t>
  </si>
  <si>
    <t>BU0285</t>
  </si>
  <si>
    <t>Vestido esmeralda</t>
  </si>
  <si>
    <t>A0018</t>
  </si>
  <si>
    <t>Cinturón ancho casual</t>
  </si>
  <si>
    <t>BU0286</t>
  </si>
  <si>
    <t>Accesorios /ofertas</t>
  </si>
  <si>
    <t>Gafas anchas de moda</t>
  </si>
  <si>
    <t>BU0287</t>
  </si>
  <si>
    <t>Vestido Ajustado brillo</t>
  </si>
  <si>
    <t>BU0288</t>
  </si>
  <si>
    <t>Vestido venturina</t>
  </si>
  <si>
    <t>BU0289</t>
  </si>
  <si>
    <t>Bikini Rosa canalé</t>
  </si>
  <si>
    <t>BU0290</t>
  </si>
  <si>
    <t>Bikini rosa canalé</t>
  </si>
  <si>
    <t>BU0291</t>
  </si>
  <si>
    <t>Vestido puerina</t>
  </si>
  <si>
    <t>BU0292</t>
  </si>
  <si>
    <t>Bikini push up</t>
  </si>
  <si>
    <t>BU0293</t>
  </si>
  <si>
    <t>Sandalias tacón grueso BAZAR</t>
  </si>
  <si>
    <t>UB0295</t>
  </si>
  <si>
    <t>Calzado hombre dos tonos</t>
  </si>
  <si>
    <t>UB0296</t>
  </si>
  <si>
    <t>Sandalias animal print de tacón</t>
  </si>
  <si>
    <t>UB0297</t>
  </si>
  <si>
    <t>Brasier de encaje_Negro Unitalla</t>
  </si>
  <si>
    <t>BU0298</t>
  </si>
  <si>
    <t>Lencería /ofertas</t>
  </si>
  <si>
    <t>Brasier de encaje blanco</t>
  </si>
  <si>
    <t>Talla unitalla</t>
  </si>
  <si>
    <t>BU0299</t>
  </si>
  <si>
    <t>Bragas sin costuras</t>
  </si>
  <si>
    <t>BU0300</t>
  </si>
  <si>
    <t>Base para maquillaje</t>
  </si>
  <si>
    <t>Color Nude</t>
  </si>
  <si>
    <t>BU0301</t>
  </si>
  <si>
    <t>Falda ajustada (hacer foto)</t>
  </si>
  <si>
    <t>BU0302</t>
  </si>
  <si>
    <t>BU0303</t>
  </si>
  <si>
    <t>Top Cuello encaje y mangas abombadas</t>
  </si>
  <si>
    <t>Recibido Freddy 12Mayo (2u)</t>
  </si>
  <si>
    <t>BU0304</t>
  </si>
  <si>
    <t>Top Cisne Blanco</t>
  </si>
  <si>
    <t>Recibido Freddy 12Mayo</t>
  </si>
  <si>
    <t>BU0305</t>
  </si>
  <si>
    <t>T0047</t>
  </si>
  <si>
    <t>Bañador con adorno de malla</t>
  </si>
  <si>
    <t>BU0306</t>
  </si>
  <si>
    <t>BU0307</t>
  </si>
  <si>
    <t>BU0308</t>
  </si>
  <si>
    <t>Maxi Vestido Fruncido</t>
  </si>
  <si>
    <t>BU0309</t>
  </si>
  <si>
    <t>BU0310</t>
  </si>
  <si>
    <t>BU0311</t>
  </si>
  <si>
    <t>BU0312</t>
  </si>
  <si>
    <t>BU0313</t>
  </si>
  <si>
    <t xml:space="preserve"> Top Cuello V Verde</t>
  </si>
  <si>
    <t>T0052</t>
  </si>
  <si>
    <t>Bañador Surf</t>
  </si>
  <si>
    <t>ENCARGOS/Recibido Freddy 12Mayo</t>
  </si>
  <si>
    <t>BU0314</t>
  </si>
  <si>
    <t>Bañador de pierna alta</t>
  </si>
  <si>
    <t>B0084</t>
  </si>
  <si>
    <t>Camiseta con figura</t>
  </si>
  <si>
    <t>BU0315</t>
  </si>
  <si>
    <t>Camiseta con Dibujo</t>
  </si>
  <si>
    <t>BU0316</t>
  </si>
  <si>
    <t xml:space="preserve">Vestido de lunares </t>
  </si>
  <si>
    <t>Talla M Color Marrón Marca SHEIN</t>
  </si>
  <si>
    <t>BU0317</t>
  </si>
  <si>
    <t>Vestido de lunares</t>
  </si>
  <si>
    <t>Talla L Color Marrón Marca SHEIN</t>
  </si>
  <si>
    <t>P0028</t>
  </si>
  <si>
    <t>Pantaloneta Roja</t>
  </si>
  <si>
    <t>BU0318</t>
  </si>
  <si>
    <t>Recibido Freddy 24Mayo</t>
  </si>
  <si>
    <t>P0030</t>
  </si>
  <si>
    <t>BU0319</t>
  </si>
  <si>
    <t>Falda de trabajo</t>
  </si>
  <si>
    <t>BU0320</t>
  </si>
  <si>
    <t>BU0321</t>
  </si>
  <si>
    <t>BU0322</t>
  </si>
  <si>
    <t>Partes-de-abajo /Curvy</t>
  </si>
  <si>
    <t>BU0323</t>
  </si>
  <si>
    <t>BU0324</t>
  </si>
  <si>
    <t>Bañador con zíper de pierna alta</t>
  </si>
  <si>
    <t>BU0325</t>
  </si>
  <si>
    <t>Vestido tropical</t>
  </si>
  <si>
    <t>BU0326</t>
  </si>
  <si>
    <t>Vestido Tropical</t>
  </si>
  <si>
    <t>V00117</t>
  </si>
  <si>
    <t>BU0327</t>
  </si>
  <si>
    <t>BU0328</t>
  </si>
  <si>
    <t xml:space="preserve"> Top Básico Business Crema</t>
  </si>
  <si>
    <t>BU0329</t>
  </si>
  <si>
    <t xml:space="preserve"> Top Básico Business </t>
  </si>
  <si>
    <t>Talla S Color Chantillí</t>
  </si>
  <si>
    <t>BU0330</t>
  </si>
  <si>
    <t xml:space="preserve"> Pantaloneta Verde</t>
  </si>
  <si>
    <t>BU0331</t>
  </si>
  <si>
    <t>P0037</t>
  </si>
  <si>
    <t>BU0332</t>
  </si>
  <si>
    <t>Niñas 3 piezas Bañador bikini de rayas combinadas con abertura con kimono</t>
  </si>
  <si>
    <t>Talla 140CM Color Multicolor</t>
  </si>
  <si>
    <t>T0057</t>
  </si>
  <si>
    <t>Bañador una pieza con mariposa aplique fruncido</t>
  </si>
  <si>
    <t>P0038</t>
  </si>
  <si>
    <t>Pantalón Business Básico</t>
  </si>
  <si>
    <t>BU0333</t>
  </si>
  <si>
    <t>Pantalón business básico</t>
  </si>
  <si>
    <t>BU0334</t>
  </si>
  <si>
    <t>BU0335</t>
  </si>
  <si>
    <t>partes-de-abajo</t>
  </si>
  <si>
    <t>BU0336</t>
  </si>
  <si>
    <t>Tops /precios-bajos</t>
  </si>
  <si>
    <t>BU0337</t>
  </si>
  <si>
    <t xml:space="preserve"> Top Básico Business</t>
  </si>
  <si>
    <t>Talla M Color Rosa Marca SHEIN</t>
  </si>
  <si>
    <t>BU0338</t>
  </si>
  <si>
    <t>Talla L Color Rosa Marca SHEIN</t>
  </si>
  <si>
    <t>BU0339</t>
  </si>
  <si>
    <t>Bañador Cisne Espalda descubierta</t>
  </si>
  <si>
    <t>BU0340</t>
  </si>
  <si>
    <t>Trajes de baño /Curvy</t>
  </si>
  <si>
    <t>Bañador despalda descubierta</t>
  </si>
  <si>
    <t>BU0341</t>
  </si>
  <si>
    <t>Bikini niña 3 piezas</t>
  </si>
  <si>
    <t>ENCARGOSRecibido Freddy 24Mayo</t>
  </si>
  <si>
    <t>B0091</t>
  </si>
  <si>
    <t xml:space="preserve"> Top Mangas Fruncidas</t>
  </si>
  <si>
    <t>BU0342</t>
  </si>
  <si>
    <t>B0093</t>
  </si>
  <si>
    <t>BU0343</t>
  </si>
  <si>
    <t>Vestido con abertura</t>
  </si>
  <si>
    <t>V00121</t>
  </si>
  <si>
    <t>BU0344</t>
  </si>
  <si>
    <t>Vestido con doble abertura</t>
  </si>
  <si>
    <t>BU0345</t>
  </si>
  <si>
    <t xml:space="preserve"> Top Básico Business Negro</t>
  </si>
  <si>
    <t>BU0346</t>
  </si>
  <si>
    <t>BU0347</t>
  </si>
  <si>
    <t>Talla XS Color Negro Marca SHEIN</t>
  </si>
  <si>
    <t>V00123</t>
  </si>
  <si>
    <t>Vestido Girasol</t>
  </si>
  <si>
    <t>Talla 1XL</t>
  </si>
  <si>
    <t>BU0348</t>
  </si>
  <si>
    <t>Top Acanalado</t>
  </si>
  <si>
    <t>BU0349</t>
  </si>
  <si>
    <t>BU0350</t>
  </si>
  <si>
    <t>Top cisne acanalado</t>
  </si>
  <si>
    <t>BU0351</t>
  </si>
  <si>
    <t>Vestido frenchy de puntos</t>
  </si>
  <si>
    <t>BU0352</t>
  </si>
  <si>
    <t>Talla M Color Negro Marca Frenchy</t>
  </si>
  <si>
    <t>BU0353</t>
  </si>
  <si>
    <t>Bañador una pieza con estampado de planta cremallera</t>
  </si>
  <si>
    <t>BU0354</t>
  </si>
  <si>
    <t>vestidos /Curvy /oferta</t>
  </si>
  <si>
    <t>Maxi Vestido con Bolsillo</t>
  </si>
  <si>
    <t>BU0355</t>
  </si>
  <si>
    <t>BU0356</t>
  </si>
  <si>
    <t>Vestidos /oferta</t>
  </si>
  <si>
    <t>BU0357</t>
  </si>
  <si>
    <t>Set de sujetador con tira ajustable 2 paquetes</t>
  </si>
  <si>
    <t>B0070</t>
  </si>
  <si>
    <t>Top Dreamer Negro</t>
  </si>
  <si>
    <t>BU0358</t>
  </si>
  <si>
    <t>BU0359</t>
  </si>
  <si>
    <t>BU0360</t>
  </si>
  <si>
    <t>Falda margarita de corte A</t>
  </si>
  <si>
    <t>P0043</t>
  </si>
  <si>
    <t>Falda Margarita</t>
  </si>
  <si>
    <t>BU0361</t>
  </si>
  <si>
    <t>BU0362</t>
  </si>
  <si>
    <t>Top Dreamer Blanco</t>
  </si>
  <si>
    <t>BU0363</t>
  </si>
  <si>
    <t>B0097</t>
  </si>
  <si>
    <t>BU0364</t>
  </si>
  <si>
    <t>Top cuello V Blanco</t>
  </si>
  <si>
    <t>BU0365</t>
  </si>
  <si>
    <t>Sujetador Básico</t>
  </si>
  <si>
    <t>BU0366</t>
  </si>
  <si>
    <t>Jenas Ajustados Oscuro</t>
  </si>
  <si>
    <t>BU0367</t>
  </si>
  <si>
    <t>BU0368</t>
  </si>
  <si>
    <t xml:space="preserve">Falda Fruncida </t>
  </si>
  <si>
    <t>BU0369</t>
  </si>
  <si>
    <t>Falda plisada</t>
  </si>
  <si>
    <t>BU0370</t>
  </si>
  <si>
    <t>Jeans Elastizados Pierna Ancha</t>
  </si>
  <si>
    <t>BU0371</t>
  </si>
  <si>
    <t>P0051</t>
  </si>
  <si>
    <t>BU0372</t>
  </si>
  <si>
    <t>Jeans Ajustados Claro</t>
  </si>
  <si>
    <t xml:space="preserve">Talla S </t>
  </si>
  <si>
    <t>BU0373</t>
  </si>
  <si>
    <t>P0054</t>
  </si>
  <si>
    <t>Pantaloneta Camel</t>
  </si>
  <si>
    <t>BU0374</t>
  </si>
  <si>
    <t>BU0375</t>
  </si>
  <si>
    <t>BU0376</t>
  </si>
  <si>
    <t>Vestido en punto Rosa</t>
  </si>
  <si>
    <t>BU0377</t>
  </si>
  <si>
    <t>BU0378</t>
  </si>
  <si>
    <t>vestidos /Curvy /ofertas</t>
  </si>
  <si>
    <t>BU0379</t>
  </si>
  <si>
    <t>Falda plisada con cadena</t>
  </si>
  <si>
    <t>BU0380</t>
  </si>
  <si>
    <t>Top de cuadros</t>
  </si>
  <si>
    <t>BU0382</t>
  </si>
  <si>
    <t>Top corto blanco</t>
  </si>
  <si>
    <t>BU0383</t>
  </si>
  <si>
    <t>Top cami carrera</t>
  </si>
  <si>
    <t>P0057</t>
  </si>
  <si>
    <t>Pantalones ajustados con cadena</t>
  </si>
  <si>
    <t>P0058</t>
  </si>
  <si>
    <t>B00063</t>
  </si>
  <si>
    <t>Blusa camisa colores</t>
  </si>
  <si>
    <t>B00064</t>
  </si>
  <si>
    <t>T0061</t>
  </si>
  <si>
    <t>Trusa Leopardo</t>
  </si>
  <si>
    <t>T0062</t>
  </si>
  <si>
    <t>Encargo</t>
  </si>
  <si>
    <t>Malla paredo set 2 piezas</t>
  </si>
  <si>
    <t>TN0015</t>
  </si>
  <si>
    <t>Traje de baño niña</t>
  </si>
  <si>
    <t>14 años</t>
  </si>
  <si>
    <t>V0142</t>
  </si>
  <si>
    <t>Vestido floreado a un hombro</t>
  </si>
  <si>
    <t>BU0384</t>
  </si>
  <si>
    <t>BU0385</t>
  </si>
  <si>
    <t>Vestido elegante ajustado corte sirena</t>
  </si>
  <si>
    <t>BU386</t>
  </si>
  <si>
    <t>Camisero blanco con pinzas</t>
  </si>
  <si>
    <t>Recibido Freddy 12 junio</t>
  </si>
  <si>
    <t>BU0387</t>
  </si>
  <si>
    <t>Cobertor de traje de baño</t>
  </si>
  <si>
    <t>BU0388</t>
  </si>
  <si>
    <t>Malla fina Pareo</t>
  </si>
  <si>
    <t>BU0389</t>
  </si>
  <si>
    <t>Bikini Short con cordón de ajuste</t>
  </si>
  <si>
    <t>BU0390</t>
  </si>
  <si>
    <t>BU391</t>
  </si>
  <si>
    <t>Jean con roto sencillo</t>
  </si>
  <si>
    <t>BU0392</t>
  </si>
  <si>
    <t>Bañador en contraste azul</t>
  </si>
  <si>
    <t>BU0393</t>
  </si>
  <si>
    <t>BU0394</t>
  </si>
  <si>
    <t>Sandalias crema</t>
  </si>
  <si>
    <t>BU0395</t>
  </si>
  <si>
    <t>BU0396</t>
  </si>
  <si>
    <t>BU0397</t>
  </si>
  <si>
    <t>Mono Oblicuo con bolsillo</t>
  </si>
  <si>
    <t>BU0398</t>
  </si>
  <si>
    <t>BU0399</t>
  </si>
  <si>
    <t>Jumpsuit Palazzo Oliva</t>
  </si>
  <si>
    <t>Talla XS Color Verde Marca SHEIN</t>
  </si>
  <si>
    <t>BU0400</t>
  </si>
  <si>
    <t>Jumpsuit culotte</t>
  </si>
  <si>
    <t>BU0401</t>
  </si>
  <si>
    <t>BU0402</t>
  </si>
  <si>
    <t>Bolso de mimbre</t>
  </si>
  <si>
    <t>BU0403</t>
  </si>
  <si>
    <t>Lencería /Curvy</t>
  </si>
  <si>
    <t xml:space="preserve">Set de lencería </t>
  </si>
  <si>
    <t>BU0404</t>
  </si>
  <si>
    <t>Set de lencería sexy y  cómodo</t>
  </si>
  <si>
    <t>BU0405</t>
  </si>
  <si>
    <t>BU0406</t>
  </si>
  <si>
    <t>Set de lencería de encaje</t>
  </si>
  <si>
    <t>BU0407</t>
  </si>
  <si>
    <t>BU0408</t>
  </si>
  <si>
    <t xml:space="preserve">Sandalias de tacón con tiras </t>
  </si>
  <si>
    <t>BU0409</t>
  </si>
  <si>
    <t>Blusa elegante de cuello negro</t>
  </si>
  <si>
    <t>BU0410</t>
  </si>
  <si>
    <t>Blusa elegante de cuello blanco</t>
  </si>
  <si>
    <t>BU0411</t>
  </si>
  <si>
    <t>Maxi vestido floreado con abertura</t>
  </si>
  <si>
    <t>BU0412</t>
  </si>
  <si>
    <t>Maxi Vestido espalda corrida</t>
  </si>
  <si>
    <t>BU0413</t>
  </si>
  <si>
    <t>Bolso grande de playa</t>
  </si>
  <si>
    <t>BU0414</t>
  </si>
  <si>
    <t>Vestido ajustado Mora</t>
  </si>
  <si>
    <t>BU0415</t>
  </si>
  <si>
    <t>Vestido rojo con aberturas H&amp;M</t>
  </si>
  <si>
    <t>BU0416</t>
  </si>
  <si>
    <t>Babydoll</t>
  </si>
  <si>
    <t>BU0417</t>
  </si>
  <si>
    <t>Top traslúcido de encaje</t>
  </si>
  <si>
    <t>BU0418</t>
  </si>
  <si>
    <t xml:space="preserve">Short de playa </t>
  </si>
  <si>
    <t>BU0419</t>
  </si>
  <si>
    <t>Playera de animados</t>
  </si>
  <si>
    <t>BU0420</t>
  </si>
  <si>
    <t>Camisa MTV</t>
  </si>
  <si>
    <t>BU0421</t>
  </si>
  <si>
    <t>Sandalias de tacón grueso</t>
  </si>
  <si>
    <t>BU0422</t>
  </si>
  <si>
    <t>Sandalias de tiras de tacón cuadrado</t>
  </si>
  <si>
    <t>BU0423</t>
  </si>
  <si>
    <t>Top negro tipo cami</t>
  </si>
  <si>
    <t>Talla Xs</t>
  </si>
  <si>
    <t>BU0424</t>
  </si>
  <si>
    <t>Pullover negro cuello redondo</t>
  </si>
  <si>
    <t>Viaje Agosto</t>
  </si>
  <si>
    <t>BU0425</t>
  </si>
  <si>
    <t>BU0426</t>
  </si>
  <si>
    <t>Pezoneras de silicona</t>
  </si>
  <si>
    <t>BU0427</t>
  </si>
  <si>
    <t>Short de mezclilla oscura con doblez</t>
  </si>
  <si>
    <t>BU0428</t>
  </si>
  <si>
    <t>Short de mezclilla con doblez (no elastiza)</t>
  </si>
  <si>
    <t>BU0429</t>
  </si>
  <si>
    <t>Short de mezclilla clara (no elastiza)</t>
  </si>
  <si>
    <t>Talla S Color Denim_claro Marca SHEIN</t>
  </si>
  <si>
    <t>BU0430</t>
  </si>
  <si>
    <t>Pullover Dazy cuello redondo Blanco</t>
  </si>
  <si>
    <t>BU0431</t>
  </si>
  <si>
    <t>BU0432</t>
  </si>
  <si>
    <t>Vestido camisero con estampado y cinturón </t>
  </si>
  <si>
    <t>BU0433</t>
  </si>
  <si>
    <t>BU0434</t>
  </si>
  <si>
    <t>BU0435</t>
  </si>
  <si>
    <t>Vestido niña encargo KarlaGarage</t>
  </si>
  <si>
    <t>BU0436</t>
  </si>
  <si>
    <t>BU0437</t>
  </si>
  <si>
    <t>Vestido encaje amarillo KarlaGarage</t>
  </si>
  <si>
    <t>BU0438</t>
  </si>
  <si>
    <t>Short de mezclilla clara con doblez</t>
  </si>
  <si>
    <t>BU0439</t>
  </si>
  <si>
    <t>BU0440</t>
  </si>
  <si>
    <t>Vestido niña KarlaGarage</t>
  </si>
  <si>
    <t>BU0441</t>
  </si>
  <si>
    <t>Top healter en capas color beige</t>
  </si>
  <si>
    <t>BU0442</t>
  </si>
  <si>
    <t>Tops /nuevo</t>
  </si>
  <si>
    <t>Camisa negra con estampado floral </t>
  </si>
  <si>
    <t>BU0443</t>
  </si>
  <si>
    <t>Vestido ajustado con adorno de plumas</t>
  </si>
  <si>
    <t>BU0444</t>
  </si>
  <si>
    <t>BU0445</t>
  </si>
  <si>
    <t>BU0446</t>
  </si>
  <si>
    <t>Conjunto de top y falda cruzada</t>
  </si>
  <si>
    <t>BU0447</t>
  </si>
  <si>
    <t>Conjunto blanco top healter y falda cruzada</t>
  </si>
  <si>
    <t>BU0448</t>
  </si>
  <si>
    <t>Sujetador adhesivo de silicona</t>
  </si>
  <si>
    <t>BU0449</t>
  </si>
  <si>
    <t>Camisa Blanca</t>
  </si>
  <si>
    <t>BU0450</t>
  </si>
  <si>
    <t>BU0451</t>
  </si>
  <si>
    <t>BU0455</t>
  </si>
  <si>
    <t>Pantaloneta de zíper</t>
  </si>
  <si>
    <t>BU0456</t>
  </si>
  <si>
    <t>Pantaloneta roja</t>
  </si>
  <si>
    <t>BU0457</t>
  </si>
  <si>
    <t>BU0458</t>
  </si>
  <si>
    <t>Partes-de-abajo /nuevo</t>
  </si>
  <si>
    <t>Falda negra con flores y abertura</t>
  </si>
  <si>
    <t>BU0459</t>
  </si>
  <si>
    <t>BU0460</t>
  </si>
  <si>
    <t>Talla 2_años</t>
  </si>
  <si>
    <t>BU0461</t>
  </si>
  <si>
    <t>BU0462</t>
  </si>
  <si>
    <t>BU0463</t>
  </si>
  <si>
    <t>Cortina plateada encargo Day</t>
  </si>
  <si>
    <t>BU0464</t>
  </si>
  <si>
    <t>Cartel para cake Day</t>
  </si>
  <si>
    <t>BU0465</t>
  </si>
  <si>
    <t>Letrero de cumpleaños Day</t>
  </si>
  <si>
    <t>BU0466</t>
  </si>
  <si>
    <t>Calzado /nuevo</t>
  </si>
  <si>
    <t>Calzado tacón negro</t>
  </si>
  <si>
    <t>Talla 36 Marca SHEIN</t>
  </si>
  <si>
    <t>BU0467</t>
  </si>
  <si>
    <t>Diadema con tira decorativa Day</t>
  </si>
  <si>
    <t>BU0468</t>
  </si>
  <si>
    <t>Globo número Day</t>
  </si>
  <si>
    <t>BU0469</t>
  </si>
  <si>
    <t xml:space="preserve">Short elegante de pierna ancha con doblez </t>
  </si>
  <si>
    <t>BU0470</t>
  </si>
  <si>
    <t>Short beich de pierna ancha </t>
  </si>
  <si>
    <t>BU0471</t>
  </si>
  <si>
    <t>Accesorios /Cintos</t>
  </si>
  <si>
    <t>Cinturón de hebilla dorada</t>
  </si>
  <si>
    <t>Talla Unitalla Color Carmelita Marca SHEIN</t>
  </si>
  <si>
    <t>BU0472</t>
  </si>
  <si>
    <t>Cinturón negro con hebilla dorada</t>
  </si>
  <si>
    <t>BU0473</t>
  </si>
  <si>
    <t>BU0474</t>
  </si>
  <si>
    <t>Pantalón Corte Recto</t>
  </si>
  <si>
    <t>Talla L Color Carmelita Marca SHEIN</t>
  </si>
  <si>
    <t>BU0475</t>
  </si>
  <si>
    <t>Blusa amarilla Greter encargo</t>
  </si>
  <si>
    <t>BU0476</t>
  </si>
  <si>
    <t>Blusa Verde Greter  encargo</t>
  </si>
  <si>
    <t>BU0477</t>
  </si>
  <si>
    <t>Blusa roja Greter encargo</t>
  </si>
  <si>
    <t>BU0479</t>
  </si>
  <si>
    <t>Pantaloneta verde</t>
  </si>
  <si>
    <t>BU0480</t>
  </si>
  <si>
    <t>BU0481</t>
  </si>
  <si>
    <t>BU0482</t>
  </si>
  <si>
    <t>Maxi vestido playero rojo</t>
  </si>
  <si>
    <t>BU0483</t>
  </si>
  <si>
    <t>Maxi vestido de espalda cruzada</t>
  </si>
  <si>
    <t>Talla M Color Naranja_Quemada Marca SHEIN</t>
  </si>
  <si>
    <t>BU0484</t>
  </si>
  <si>
    <t>Maxi vestido playero naranja quemada</t>
  </si>
  <si>
    <t>BU0485</t>
  </si>
  <si>
    <t>BU0487</t>
  </si>
  <si>
    <t>Pantaloneta negra con abertura</t>
  </si>
  <si>
    <t>BU0489</t>
  </si>
  <si>
    <t>Top asimétrico blanco</t>
  </si>
  <si>
    <t>BU0490</t>
  </si>
  <si>
    <t xml:space="preserve">Top corto asimétrico </t>
  </si>
  <si>
    <t>BU0491</t>
  </si>
  <si>
    <t>Top blanco cuello V con encaje</t>
  </si>
  <si>
    <t>BU0492</t>
  </si>
  <si>
    <t>BU0493</t>
  </si>
  <si>
    <t>Top de cuello V con encaje</t>
  </si>
  <si>
    <t>Talla M Color Blanco Marca SHEIN</t>
  </si>
  <si>
    <t>BU0494</t>
  </si>
  <si>
    <t>Top negro de cuello V con encaje</t>
  </si>
  <si>
    <t>BU0495</t>
  </si>
  <si>
    <t>Top negro  cuello V con encaje</t>
  </si>
  <si>
    <t>BU0496</t>
  </si>
  <si>
    <t>Short beiche de pierna ancha </t>
  </si>
  <si>
    <t>BU0497</t>
  </si>
  <si>
    <t>Pantalón beige de pierna ancha</t>
  </si>
  <si>
    <t>BU0498</t>
  </si>
  <si>
    <t>Pantalón de corte recto</t>
  </si>
  <si>
    <t>BU0499</t>
  </si>
  <si>
    <t>BU0500</t>
  </si>
  <si>
    <t>Pantalón rosado fuccia</t>
  </si>
  <si>
    <t>BU0502</t>
  </si>
  <si>
    <t>BU05021</t>
  </si>
  <si>
    <t>Top negro corto asimétrico</t>
  </si>
  <si>
    <t>BU0503</t>
  </si>
  <si>
    <t xml:space="preserve">Jean skinny oscuro </t>
  </si>
  <si>
    <t xml:space="preserve">Talla 27-S </t>
  </si>
  <si>
    <t>F21</t>
  </si>
  <si>
    <t>BU0505</t>
  </si>
  <si>
    <t>Pantaloneta con cinturón</t>
  </si>
  <si>
    <t>BU0506</t>
  </si>
  <si>
    <t>Sandalias rosadas Forever21</t>
  </si>
  <si>
    <t>BU0507</t>
  </si>
  <si>
    <t>Sandalias negras de hebilla </t>
  </si>
  <si>
    <t>BU0508</t>
  </si>
  <si>
    <t>Jean ajustado Claro</t>
  </si>
  <si>
    <t>Talla S Marca F21</t>
  </si>
  <si>
    <t>BU0509</t>
  </si>
  <si>
    <t>Jean ajustado claro</t>
  </si>
  <si>
    <t>BU0510</t>
  </si>
  <si>
    <t>BU0511</t>
  </si>
  <si>
    <t>Sandalias blancas</t>
  </si>
  <si>
    <t>BU0512</t>
  </si>
  <si>
    <t>Short de mezclilla suave con cinturón</t>
  </si>
  <si>
    <t>BU0514</t>
  </si>
  <si>
    <t>Blusa de manga larga cruzada</t>
  </si>
  <si>
    <t>BU0515</t>
  </si>
  <si>
    <t>Blazer Crema</t>
  </si>
  <si>
    <t>BU0516</t>
  </si>
  <si>
    <t>Blazer con textura (hacer foto)</t>
  </si>
  <si>
    <t>Talla EG Marca H&amp;M</t>
  </si>
  <si>
    <t>BU0517</t>
  </si>
  <si>
    <t>Blazer Carmelita oscuro (hacer foto)</t>
  </si>
  <si>
    <t>BU0518</t>
  </si>
  <si>
    <t>Camisa rayas verde Extra Grande</t>
  </si>
  <si>
    <t>BU0519</t>
  </si>
  <si>
    <t>Camisa Azul Extra Grande</t>
  </si>
  <si>
    <t>BU0520</t>
  </si>
  <si>
    <t xml:space="preserve">Camisa Blanca </t>
  </si>
  <si>
    <t>BU0522</t>
  </si>
  <si>
    <t xml:space="preserve">Blusa de manga acampanada </t>
  </si>
  <si>
    <t>Talla M Color Negro Marca SHEIN</t>
  </si>
  <si>
    <t>BU0523</t>
  </si>
  <si>
    <t>Blusa de manga acampanada blanca</t>
  </si>
  <si>
    <t>BU0524</t>
  </si>
  <si>
    <t>Blusa de manga acampanada negra</t>
  </si>
  <si>
    <t>BU0525</t>
  </si>
  <si>
    <t>Blusa de manga acampanada</t>
  </si>
  <si>
    <t>BU0526</t>
  </si>
  <si>
    <t>Blusa Camisa de puño largo</t>
  </si>
  <si>
    <t>BU0527</t>
  </si>
  <si>
    <t>Blusa camisa de puño largo</t>
  </si>
  <si>
    <t>BU0528</t>
  </si>
  <si>
    <t>Camisa entallada dazy</t>
  </si>
  <si>
    <t>BU0529</t>
  </si>
  <si>
    <t>BU0530</t>
  </si>
  <si>
    <t>falta foto</t>
  </si>
  <si>
    <t>Body traslúcido floreado (hacer foto)</t>
  </si>
  <si>
    <t>Talla XS Color Verde Marca H&amp;M</t>
  </si>
  <si>
    <t>BU0531</t>
  </si>
  <si>
    <t>Cardigan Amarillo</t>
  </si>
  <si>
    <t>BU0532</t>
  </si>
  <si>
    <t>BU0533</t>
  </si>
  <si>
    <t xml:space="preserve">Pullover oversize estampado </t>
  </si>
  <si>
    <t>BU0534</t>
  </si>
  <si>
    <t>Sweater rosa con mangas abiertas</t>
  </si>
  <si>
    <t>BU0535</t>
  </si>
  <si>
    <t>Chaleco Tejido</t>
  </si>
  <si>
    <t>BU0536</t>
  </si>
  <si>
    <t>Chaleco de traje gris talla pequeña H&amp;M</t>
  </si>
  <si>
    <t>BU0537</t>
  </si>
  <si>
    <t>Sweater de Lana naranja quemada</t>
  </si>
  <si>
    <t>BU0538</t>
  </si>
  <si>
    <t>Tops /Curvy /hm</t>
  </si>
  <si>
    <t>Sweater de lana H&amp;M</t>
  </si>
  <si>
    <t>BU0539</t>
  </si>
  <si>
    <t>BU0540</t>
  </si>
  <si>
    <t>Vestido de flecos</t>
  </si>
  <si>
    <t>BU0541</t>
  </si>
  <si>
    <t>BU0542</t>
  </si>
  <si>
    <t>Falda plisada de cuadros</t>
  </si>
  <si>
    <t>BU0543</t>
  </si>
  <si>
    <t>BU0544</t>
  </si>
  <si>
    <t>Pajarita en forma de flor</t>
  </si>
  <si>
    <t>BU0545</t>
  </si>
  <si>
    <t>Corbatín de mujer</t>
  </si>
  <si>
    <t>BU0547</t>
  </si>
  <si>
    <t>Camisa blanca entallada H&amp;M</t>
  </si>
  <si>
    <t>BU0548</t>
  </si>
  <si>
    <t xml:space="preserve">Ajustador beige </t>
  </si>
  <si>
    <t>Talla 34 Marca F21</t>
  </si>
  <si>
    <t>BUI000</t>
  </si>
  <si>
    <t>Conjunto Skort &amp; top Floreado</t>
  </si>
  <si>
    <t>BU0550</t>
  </si>
  <si>
    <t>Medias pantys</t>
  </si>
  <si>
    <t>Talla Unitalla Marca H&amp;M</t>
  </si>
  <si>
    <t>BU0551</t>
  </si>
  <si>
    <t>Medias de mallas</t>
  </si>
  <si>
    <t>BU0552</t>
  </si>
  <si>
    <t>Partes-de-abajo /hm</t>
  </si>
  <si>
    <t>Leggings negros acanalados</t>
  </si>
  <si>
    <t>BU0553</t>
  </si>
  <si>
    <t>Playera negra de cuello cisne</t>
  </si>
  <si>
    <t>BU0554</t>
  </si>
  <si>
    <t> Vestido Rojo con eberturas</t>
  </si>
  <si>
    <t>BU0555</t>
  </si>
  <si>
    <t>BU0556</t>
  </si>
  <si>
    <t>Playera de cuello cisne</t>
  </si>
  <si>
    <t>BU0557</t>
  </si>
  <si>
    <t>Camiseta acanalada de bajo asimétrico blanco</t>
  </si>
  <si>
    <t>BU0558</t>
  </si>
  <si>
    <t>BU0559</t>
  </si>
  <si>
    <t>Camiseta acanalada de bajo asimétrico naranja</t>
  </si>
  <si>
    <t>BU0560</t>
  </si>
  <si>
    <t>Camiseta acanalada oblicua naranja</t>
  </si>
  <si>
    <t>BU0561</t>
  </si>
  <si>
    <t>Top bustier corsetero</t>
  </si>
  <si>
    <t>Compra 11 dic 2023</t>
  </si>
  <si>
    <t>BU0562</t>
  </si>
  <si>
    <t xml:space="preserve">Talla L </t>
  </si>
  <si>
    <t>BU0563</t>
  </si>
  <si>
    <t>Pantaloneta con abertura y bolsillos</t>
  </si>
  <si>
    <t>BU0564</t>
  </si>
  <si>
    <t>Pantaloneta con abertura</t>
  </si>
  <si>
    <t>BU0565</t>
  </si>
  <si>
    <t>Jean MOM con rotos</t>
  </si>
  <si>
    <t>Talla 27-M</t>
  </si>
  <si>
    <t>BU0566</t>
  </si>
  <si>
    <t>Talla 25_S Marca F21</t>
  </si>
  <si>
    <t>BU0568</t>
  </si>
  <si>
    <t>Vestido acanalado cruzado color crema</t>
  </si>
  <si>
    <t>BU0569</t>
  </si>
  <si>
    <t>BU0570</t>
  </si>
  <si>
    <t>Short de tela suave con cinturón</t>
  </si>
  <si>
    <t>BU0571</t>
  </si>
  <si>
    <t>Pantalón de traje</t>
  </si>
  <si>
    <t>Talla L Color Negro Marca H&amp;M</t>
  </si>
  <si>
    <t>BU0572</t>
  </si>
  <si>
    <t>Vestido espalda escotada</t>
  </si>
  <si>
    <t>BU0573</t>
  </si>
  <si>
    <t>BU0574</t>
  </si>
  <si>
    <t>Sandalias blancas cruzadas</t>
  </si>
  <si>
    <t>COMPRA F21</t>
  </si>
  <si>
    <t>BU0575</t>
  </si>
  <si>
    <t>BU0576</t>
  </si>
  <si>
    <t>BU0577</t>
  </si>
  <si>
    <t>Pantalón de viscosa y zíper</t>
  </si>
  <si>
    <t>BU0578</t>
  </si>
  <si>
    <t>Sandalias de velcro</t>
  </si>
  <si>
    <t>BU0579</t>
  </si>
  <si>
    <t>BU0580</t>
  </si>
  <si>
    <t>BU0581</t>
  </si>
  <si>
    <t>Sandalias negras acolchadas Marca F21</t>
  </si>
  <si>
    <t>Talla 37.5</t>
  </si>
  <si>
    <t>BU0582</t>
  </si>
  <si>
    <t>Sandalias negras acolchadas</t>
  </si>
  <si>
    <t>BU0583</t>
  </si>
  <si>
    <t>BU0584</t>
  </si>
  <si>
    <t>Mocasín con herrajes</t>
  </si>
  <si>
    <t>BU0585</t>
  </si>
  <si>
    <t>BU0586</t>
  </si>
  <si>
    <t>BU0587</t>
  </si>
  <si>
    <t>Sandalias minimalistas de plataforma</t>
  </si>
  <si>
    <t>BU0588</t>
  </si>
  <si>
    <t>Talla 40 Marca F21</t>
  </si>
  <si>
    <t>BU0589</t>
  </si>
  <si>
    <t>BU0590</t>
  </si>
  <si>
    <t>Vestido Orquídea de botones y tirantes de pétalos</t>
  </si>
  <si>
    <t>BU0591</t>
  </si>
  <si>
    <t>BU0592</t>
  </si>
  <si>
    <t>BU0593</t>
  </si>
  <si>
    <t>Pantalón alto de bajo elegante</t>
  </si>
  <si>
    <t>BU0594</t>
  </si>
  <si>
    <t>BU0595</t>
  </si>
  <si>
    <t>BU0596</t>
  </si>
  <si>
    <t>BU0597</t>
  </si>
  <si>
    <t xml:space="preserve">Pantalón cargo verde </t>
  </si>
  <si>
    <t>BU0600</t>
  </si>
  <si>
    <t>Bermuda negra denim</t>
  </si>
  <si>
    <t>Talla S-M</t>
  </si>
  <si>
    <t>BU0601</t>
  </si>
  <si>
    <t>Sandalias de tacón triangular</t>
  </si>
  <si>
    <t>Talla 37 Color Rosado Marca F21</t>
  </si>
  <si>
    <t>Compra 7/12/2023</t>
  </si>
  <si>
    <t>BU0602</t>
  </si>
  <si>
    <t>Camiseta Dazy Negro</t>
  </si>
  <si>
    <t>BU0603</t>
  </si>
  <si>
    <t>Vestido Dazy con abertura</t>
  </si>
  <si>
    <t>BU0604</t>
  </si>
  <si>
    <t>Camiseta Dazy Blanco</t>
  </si>
  <si>
    <t>BU0605</t>
  </si>
  <si>
    <t>Pantalón negro acampanado</t>
  </si>
  <si>
    <t>BU06061</t>
  </si>
  <si>
    <t>calzado</t>
  </si>
  <si>
    <t>Botas negras de zíper</t>
  </si>
  <si>
    <t>Talla 37 Marca SHEIN</t>
  </si>
  <si>
    <t>BU0607</t>
  </si>
  <si>
    <t>Sandalias de tacón fino</t>
  </si>
  <si>
    <t>BU0608</t>
  </si>
  <si>
    <t>Vestido Camisero flores</t>
  </si>
  <si>
    <t>BU0609</t>
  </si>
  <si>
    <t xml:space="preserve">Falda satinada negra línea A </t>
  </si>
  <si>
    <t>BU0610</t>
  </si>
  <si>
    <t>Pullover cuello redondo</t>
  </si>
  <si>
    <t>BU0611</t>
  </si>
  <si>
    <t>Blusa corta Blanca bordada Girasol</t>
  </si>
  <si>
    <t>BU0612</t>
  </si>
  <si>
    <t>Sandalias Albaricoque</t>
  </si>
  <si>
    <t>BU0613</t>
  </si>
  <si>
    <t>Zapato de Tacón Cuadrado</t>
  </si>
  <si>
    <t>BU0615</t>
  </si>
  <si>
    <t>Pullover Dazy cuello redondo Negro</t>
  </si>
  <si>
    <t>BU0616</t>
  </si>
  <si>
    <t>BU0617</t>
  </si>
  <si>
    <t>Chaleco blanco botones</t>
  </si>
  <si>
    <t>BU0618</t>
  </si>
  <si>
    <t>BU0619</t>
  </si>
  <si>
    <t>BU0621</t>
  </si>
  <si>
    <t>Vestido Frenchy Ajustado</t>
  </si>
  <si>
    <t>BU0622</t>
  </si>
  <si>
    <t>BU0623</t>
  </si>
  <si>
    <t>Pantalón acampanado Blanco</t>
  </si>
  <si>
    <t>BU0624</t>
  </si>
  <si>
    <t>BU0625</t>
  </si>
  <si>
    <t>Pantalón Negro Acampanado</t>
  </si>
  <si>
    <t>BU0626</t>
  </si>
  <si>
    <t>Top bustier corset de encaje</t>
  </si>
  <si>
    <t>Talla S_M</t>
  </si>
  <si>
    <t>BU0630</t>
  </si>
  <si>
    <t>BU0632</t>
  </si>
  <si>
    <t>Chaleco de traje</t>
  </si>
  <si>
    <t>BU0633</t>
  </si>
  <si>
    <t>BU0634</t>
  </si>
  <si>
    <t>Saya de Mezclilla a la Cintura</t>
  </si>
  <si>
    <t>BU0635</t>
  </si>
  <si>
    <t>BU0636</t>
  </si>
  <si>
    <t>Zapato de punta fina y Tacón Cuadrado</t>
  </si>
  <si>
    <t>BU0637</t>
  </si>
  <si>
    <t>BU0638</t>
  </si>
  <si>
    <t>Top Bustier encaje</t>
  </si>
  <si>
    <t>BU0639</t>
  </si>
  <si>
    <t>BU0640</t>
  </si>
  <si>
    <t>BU0641</t>
  </si>
  <si>
    <t>Accesorios /bolsos</t>
  </si>
  <si>
    <t>Bolso de Mimbre</t>
  </si>
  <si>
    <t>Talla Mediano</t>
  </si>
  <si>
    <t>BU0642</t>
  </si>
  <si>
    <t>Top de encaje</t>
  </si>
  <si>
    <t>BU0643</t>
  </si>
  <si>
    <t>BU0645</t>
  </si>
  <si>
    <t>Falda de mezclilla negra a la cintura</t>
  </si>
  <si>
    <t>BU0646</t>
  </si>
  <si>
    <t>Gafas de sol Dama</t>
  </si>
  <si>
    <t>BU0647</t>
  </si>
  <si>
    <t xml:space="preserve">Gafas de Sol </t>
  </si>
  <si>
    <t>BU0648</t>
  </si>
  <si>
    <t>Lentes de Sol</t>
  </si>
  <si>
    <t>BU0649</t>
  </si>
  <si>
    <t xml:space="preserve">Partes-de-abajo </t>
  </si>
  <si>
    <t>BU0650</t>
  </si>
  <si>
    <t>Encargo Baby</t>
  </si>
  <si>
    <t>Limpia botellas</t>
  </si>
  <si>
    <t>BU0651</t>
  </si>
  <si>
    <t>Batidor</t>
  </si>
  <si>
    <t>BU0652</t>
  </si>
  <si>
    <t>Calzado /ofertas /hm</t>
  </si>
  <si>
    <t>Mocasín de punta fina Marca H&amp;M</t>
  </si>
  <si>
    <t>BU0653</t>
  </si>
  <si>
    <t>Botas Chalsesa</t>
  </si>
  <si>
    <t>BU0654</t>
  </si>
  <si>
    <t>Blusa corta abombada</t>
  </si>
  <si>
    <t>BU0655</t>
  </si>
  <si>
    <t>Pantalón recto de traje de pata ancha H&amp;M</t>
  </si>
  <si>
    <t>BU0656</t>
  </si>
  <si>
    <t>Vestido negro ajustado estilo corset</t>
  </si>
  <si>
    <t>BU0657</t>
  </si>
  <si>
    <t>Jean skinny de cintura alta y bajo descosido</t>
  </si>
  <si>
    <t>BU0658</t>
  </si>
  <si>
    <t>Leggins bikers</t>
  </si>
  <si>
    <t>BU0659</t>
  </si>
  <si>
    <t>Blazer azul Rey</t>
  </si>
  <si>
    <t>BU0660</t>
  </si>
  <si>
    <t>Calzado /Precios Bajos</t>
  </si>
  <si>
    <t>Sandalias de tiras</t>
  </si>
  <si>
    <t>BU0661</t>
  </si>
  <si>
    <t>Talla 38 Marca F21</t>
  </si>
  <si>
    <t>BU0662</t>
  </si>
  <si>
    <t>Calzado /Forever21</t>
  </si>
  <si>
    <t>Sandalias de nudos</t>
  </si>
  <si>
    <t>Talla 39 Marca F21</t>
  </si>
  <si>
    <t>BU0663</t>
  </si>
  <si>
    <t>BU0664</t>
  </si>
  <si>
    <t xml:space="preserve">Sandalias Pop </t>
  </si>
  <si>
    <t>BU0665</t>
  </si>
  <si>
    <t>Sandalias Pop</t>
  </si>
  <si>
    <t>BU0666</t>
  </si>
  <si>
    <t>Sandalias de hebilla</t>
  </si>
  <si>
    <t>BU0667</t>
  </si>
  <si>
    <t>BU0668</t>
  </si>
  <si>
    <t>Sandalias flip de plataforma Rosadas Marca F21</t>
  </si>
  <si>
    <t xml:space="preserve">Talla 37-38 </t>
  </si>
  <si>
    <t>BU0669</t>
  </si>
  <si>
    <t>Sandalias flip de plataforma Naranja Marca F21</t>
  </si>
  <si>
    <t>Talla 39-40</t>
  </si>
  <si>
    <t>BU0670</t>
  </si>
  <si>
    <t>Talla 36-37-38</t>
  </si>
  <si>
    <t>BU0671</t>
  </si>
  <si>
    <t>Sandalias flip de plataforma Negro</t>
  </si>
  <si>
    <t>BU0672</t>
  </si>
  <si>
    <t>Sandalias flip de plataforma</t>
  </si>
  <si>
    <t>BU0673</t>
  </si>
  <si>
    <t>Cardigan classy</t>
  </si>
  <si>
    <t>SHEiN</t>
  </si>
  <si>
    <t>Compra 9/12/2023</t>
  </si>
  <si>
    <t>BU06741</t>
  </si>
  <si>
    <t>Sandalias minimalistas de tacón</t>
  </si>
  <si>
    <t>BU0674</t>
  </si>
  <si>
    <t>BU0675</t>
  </si>
  <si>
    <t>Vestido camisa modely</t>
  </si>
  <si>
    <t>BU0676</t>
  </si>
  <si>
    <t>BU0677</t>
  </si>
  <si>
    <t>Vestidos /Curvy /precios bajos</t>
  </si>
  <si>
    <t xml:space="preserve">Vestido camisero con estampado floral </t>
  </si>
  <si>
    <t>BU0678</t>
  </si>
  <si>
    <t>Camisa Modely</t>
  </si>
  <si>
    <t>BU0679</t>
  </si>
  <si>
    <t>BU0680</t>
  </si>
  <si>
    <t>BU0681</t>
  </si>
  <si>
    <t>Vestido largo estampado</t>
  </si>
  <si>
    <t>BU0682</t>
  </si>
  <si>
    <t>BU0683</t>
  </si>
  <si>
    <t>Vestido Becka</t>
  </si>
  <si>
    <t>BU0684</t>
  </si>
  <si>
    <t>BU0685</t>
  </si>
  <si>
    <t>BU0686</t>
  </si>
  <si>
    <t>BU0687</t>
  </si>
  <si>
    <t>Vestido Tarsha</t>
  </si>
  <si>
    <t>BU0688</t>
  </si>
  <si>
    <t>BU0689</t>
  </si>
  <si>
    <t>BU0690</t>
  </si>
  <si>
    <t xml:space="preserve">Vestido Burdeos </t>
  </si>
  <si>
    <t>Talla XS Color Rojo_Intenso Marca SHEIN</t>
  </si>
  <si>
    <t>BU0691</t>
  </si>
  <si>
    <t>Vestidos Burdeos</t>
  </si>
  <si>
    <t>BU0692</t>
  </si>
  <si>
    <t xml:space="preserve">Vestido Privé </t>
  </si>
  <si>
    <t>BU0693</t>
  </si>
  <si>
    <t xml:space="preserve">Vestido Privé  </t>
  </si>
  <si>
    <t>BU0694</t>
  </si>
  <si>
    <t>BU0695</t>
  </si>
  <si>
    <t>Vestido Privé</t>
  </si>
  <si>
    <t>BU0696</t>
  </si>
  <si>
    <t>Top Asimétrico Acanalado</t>
  </si>
  <si>
    <t>BU0697</t>
  </si>
  <si>
    <t>BU0698</t>
  </si>
  <si>
    <t>Kimono floral</t>
  </si>
  <si>
    <t>BU0699</t>
  </si>
  <si>
    <t>Kimono fLoral</t>
  </si>
  <si>
    <t>BU0700</t>
  </si>
  <si>
    <t>Mono palazzo</t>
  </si>
  <si>
    <t>BU0701</t>
  </si>
  <si>
    <t>BU0702</t>
  </si>
  <si>
    <t>Vestido Frenchy Azul</t>
  </si>
  <si>
    <t>BU0703</t>
  </si>
  <si>
    <t>Vestido Frenchy Rojo</t>
  </si>
  <si>
    <t>BU0704</t>
  </si>
  <si>
    <t>Vestido Margarita</t>
  </si>
  <si>
    <t>BU0705</t>
  </si>
  <si>
    <t>Vestido margarita</t>
  </si>
  <si>
    <t>BU0707</t>
  </si>
  <si>
    <t>Suéter cuello de Cisne</t>
  </si>
  <si>
    <t>BU0708</t>
  </si>
  <si>
    <t>BU0709</t>
  </si>
  <si>
    <t>BU0710</t>
  </si>
  <si>
    <t>Top healter negro</t>
  </si>
  <si>
    <t>BU0711</t>
  </si>
  <si>
    <t>Top Healter negro</t>
  </si>
  <si>
    <t>BU0712</t>
  </si>
  <si>
    <t>Mono Con Botón Delantero</t>
  </si>
  <si>
    <t>BU0713</t>
  </si>
  <si>
    <t xml:space="preserve">Vestido cruzado </t>
  </si>
  <si>
    <t>BU0714</t>
  </si>
  <si>
    <t>Conjunto Albaricoque</t>
  </si>
  <si>
    <t>BU0715</t>
  </si>
  <si>
    <t>BU0716</t>
  </si>
  <si>
    <t>Conjunto Beis satinado</t>
  </si>
  <si>
    <t>BU0717</t>
  </si>
  <si>
    <t>Conjunto Beis</t>
  </si>
  <si>
    <t>BU0718</t>
  </si>
  <si>
    <t>Talla 38 Marca SHEIN</t>
  </si>
  <si>
    <t>BU0719</t>
  </si>
  <si>
    <t>Talla 39 Marca SHEIN</t>
  </si>
  <si>
    <t>BU0720</t>
  </si>
  <si>
    <t>Vestido Frenchy</t>
  </si>
  <si>
    <t>Talla M Color Verde Marca SHEIN</t>
  </si>
  <si>
    <t>BU0722</t>
  </si>
  <si>
    <t>Vestido de mangas en contraste</t>
  </si>
  <si>
    <t>BU0723</t>
  </si>
  <si>
    <t>Mono con cinturón</t>
  </si>
  <si>
    <t>BU0724</t>
  </si>
  <si>
    <t>Monos /Curvy</t>
  </si>
  <si>
    <t>Mono elegante con mangas de vuelo</t>
  </si>
  <si>
    <t>Talla L Color Verde Marca SHEIN</t>
  </si>
  <si>
    <t>BU0725</t>
  </si>
  <si>
    <t>Blusa Lettuche</t>
  </si>
  <si>
    <t>BU0726</t>
  </si>
  <si>
    <t>Chaleco corto de traje cuadros</t>
  </si>
  <si>
    <t>BU0727</t>
  </si>
  <si>
    <t>Jean Mom con bajo descosido</t>
  </si>
  <si>
    <t>BU0728</t>
  </si>
  <si>
    <t>BU0729</t>
  </si>
  <si>
    <t>Shorts con rotos y detalle de encajes</t>
  </si>
  <si>
    <t>BU0730</t>
  </si>
  <si>
    <t>Vestido Frente Drapeado Negro y Blanco</t>
  </si>
  <si>
    <t>BU0731</t>
  </si>
  <si>
    <t>BU0732</t>
  </si>
  <si>
    <t>BU0733</t>
  </si>
  <si>
    <t>Vestido ajustado con abertura de manga larga</t>
  </si>
  <si>
    <t>BU0734</t>
  </si>
  <si>
    <t>BU0735</t>
  </si>
  <si>
    <t>Vestido acanalado de manga larga</t>
  </si>
  <si>
    <t>Talla S Color Crema Marca SHEIN</t>
  </si>
  <si>
    <t>BU0736</t>
  </si>
  <si>
    <t>Vestido Asimétrico con cuerdas</t>
  </si>
  <si>
    <t>Talla S color Blanco Marca SHEIN</t>
  </si>
  <si>
    <t>BU0737</t>
  </si>
  <si>
    <t>BU0738</t>
  </si>
  <si>
    <t>Vestidos /ofertas /hm</t>
  </si>
  <si>
    <t>Vestido Denim</t>
  </si>
  <si>
    <t>BU0739</t>
  </si>
  <si>
    <t xml:space="preserve">Vestido ajustado de puntos </t>
  </si>
  <si>
    <t>BU0740</t>
  </si>
  <si>
    <t>Vestido de botones y manga abullonada</t>
  </si>
  <si>
    <t>BU0741</t>
  </si>
  <si>
    <t>Vestido ajustado en rosas</t>
  </si>
  <si>
    <t>BU0742</t>
  </si>
  <si>
    <t>Vestido negro corte A</t>
  </si>
  <si>
    <t>BU0743</t>
  </si>
  <si>
    <t>Vestido Terciopelo</t>
  </si>
  <si>
    <t>BU06361</t>
  </si>
  <si>
    <t>BU06371</t>
  </si>
  <si>
    <t>Tops /chalecos-blazers</t>
  </si>
  <si>
    <t>Chaleco de traje Crema</t>
  </si>
  <si>
    <t>Compra Shein22012024</t>
  </si>
  <si>
    <t>BU06381</t>
  </si>
  <si>
    <t>Talla M Color Crema Marca SHEIN</t>
  </si>
  <si>
    <t>BU06391</t>
  </si>
  <si>
    <t>Chaleco de traje Negro</t>
  </si>
  <si>
    <t>BU06401</t>
  </si>
  <si>
    <t>BU06411</t>
  </si>
  <si>
    <t>Chaleco de traje Blanco</t>
  </si>
  <si>
    <t>BU06421</t>
  </si>
  <si>
    <t>Nuevo /chalecos-blazers</t>
  </si>
  <si>
    <t>BU06431</t>
  </si>
  <si>
    <t>Nuevo /Tops</t>
  </si>
  <si>
    <t>Kimono Dazy Elegante</t>
  </si>
  <si>
    <t>BU06441</t>
  </si>
  <si>
    <t>BU06451</t>
  </si>
  <si>
    <t xml:space="preserve">Traje de baño blanco sexy </t>
  </si>
  <si>
    <t>BU06461</t>
  </si>
  <si>
    <t>Traje de baño Oliva</t>
  </si>
  <si>
    <t>BU06471</t>
  </si>
  <si>
    <t>Trajes de Baño /Curvy /nuevo</t>
  </si>
  <si>
    <t>Traje de baño de mangas estampadas</t>
  </si>
  <si>
    <t>Talla XXL Marca SHEIN</t>
  </si>
  <si>
    <t>BU064412</t>
  </si>
  <si>
    <t>nuevo /Tops</t>
  </si>
  <si>
    <t>BU06491</t>
  </si>
  <si>
    <t>Zapatillas blanco casual</t>
  </si>
  <si>
    <t>Talla 41 Marca SHEIN</t>
  </si>
  <si>
    <t>BU06501</t>
  </si>
  <si>
    <t>Talla 40 Marca SHEIN</t>
  </si>
  <si>
    <t>BU06511</t>
  </si>
  <si>
    <t>BU06521</t>
  </si>
  <si>
    <t>BU06531</t>
  </si>
  <si>
    <t>nuevo /Accesorios</t>
  </si>
  <si>
    <t>Calcetines al tobillo beige</t>
  </si>
  <si>
    <t>BU06541</t>
  </si>
  <si>
    <t>Calcetines al tobillo negro</t>
  </si>
  <si>
    <t>BU06551</t>
  </si>
  <si>
    <t>Nuevo /Accesorios</t>
  </si>
  <si>
    <t>Calcetines bajos</t>
  </si>
  <si>
    <t>BU06561</t>
  </si>
  <si>
    <t>Nuevo /Blusas /Curvy</t>
  </si>
  <si>
    <t>BU06571</t>
  </si>
  <si>
    <t>Bikini negro sexy pequeño</t>
  </si>
  <si>
    <t>BU06581</t>
  </si>
  <si>
    <t>BU06591</t>
  </si>
  <si>
    <t>BU06601</t>
  </si>
  <si>
    <t>Conjunto de bikini</t>
  </si>
  <si>
    <t>BU06611</t>
  </si>
  <si>
    <t>Conjunto de bikini moca</t>
  </si>
  <si>
    <t>BU06621</t>
  </si>
  <si>
    <t>BU06651</t>
  </si>
  <si>
    <t>nuevo /Cintos /Accesorios</t>
  </si>
  <si>
    <t>Cinturón de hebilla redonda</t>
  </si>
  <si>
    <t>BU06661</t>
  </si>
  <si>
    <t>BU06671</t>
  </si>
  <si>
    <t>Traje de baño blanco sexy</t>
  </si>
  <si>
    <t>BU06681</t>
  </si>
  <si>
    <t>Nuevo /Cintos /Accesorios</t>
  </si>
  <si>
    <t>Cinturón básico grueso Negro</t>
  </si>
  <si>
    <t xml:space="preserve">Talla Unitalla </t>
  </si>
  <si>
    <t>BU066912</t>
  </si>
  <si>
    <t>Cinturón básico grueso Camel</t>
  </si>
  <si>
    <t>BU06701</t>
  </si>
  <si>
    <t>Nuevo</t>
  </si>
  <si>
    <t>Horquillas en forma de lazo</t>
  </si>
  <si>
    <t>Talla Unitalla Color Negro</t>
  </si>
  <si>
    <t>BU06711</t>
  </si>
  <si>
    <t>nuevo /accesorios</t>
  </si>
  <si>
    <t>BU06721</t>
  </si>
  <si>
    <t>Talla Unitalla Color Rosa_palo</t>
  </si>
  <si>
    <t>BU06731</t>
  </si>
  <si>
    <t>Camisa blanca estampado de ave</t>
  </si>
  <si>
    <t>BU067409</t>
  </si>
  <si>
    <t>Vestido frenchy botones marrón</t>
  </si>
  <si>
    <t>Talla 2XL Marca SHEIN</t>
  </si>
  <si>
    <t>BU06751</t>
  </si>
  <si>
    <t>Accesorios /nuevo</t>
  </si>
  <si>
    <t>Pasador de cabello en forma de lazo</t>
  </si>
  <si>
    <t>BU06761</t>
  </si>
  <si>
    <t>Lazo para coletas</t>
  </si>
  <si>
    <t>Shein</t>
  </si>
  <si>
    <t>BU06771</t>
  </si>
  <si>
    <t xml:space="preserve">Vestido chaleco blazer </t>
  </si>
  <si>
    <t>BU06781</t>
  </si>
  <si>
    <t>accesorios</t>
  </si>
  <si>
    <t>Cinto ancho de hebilla dorada</t>
  </si>
  <si>
    <t>BU06782</t>
  </si>
  <si>
    <t>nuevo /vestidos</t>
  </si>
  <si>
    <t>Vestido Midi Elegante</t>
  </si>
  <si>
    <t>Talla S Color Vainilla Marca F21</t>
  </si>
  <si>
    <t>Compra F2119022024</t>
  </si>
  <si>
    <t>BU06783</t>
  </si>
  <si>
    <t>Talla M Color Vainilla Marca F21</t>
  </si>
  <si>
    <t>BU06784</t>
  </si>
  <si>
    <t>Talla XL Color Vainilla Marca F21</t>
  </si>
  <si>
    <t>BU06785</t>
  </si>
  <si>
    <t>Bolso Crossbody en detalle de cocodrilo</t>
  </si>
  <si>
    <t>BU06786</t>
  </si>
  <si>
    <t>nuevo /partes de abajo</t>
  </si>
  <si>
    <t xml:space="preserve">Pantalón Palazzo </t>
  </si>
  <si>
    <t>BU06787</t>
  </si>
  <si>
    <t xml:space="preserve">Pantalón en piel </t>
  </si>
  <si>
    <t>BU06788</t>
  </si>
  <si>
    <t>BU06789</t>
  </si>
  <si>
    <t>Curvy Skinny Jeans</t>
  </si>
  <si>
    <t>Talla 12_XL</t>
  </si>
  <si>
    <t>BU06790</t>
  </si>
  <si>
    <t xml:space="preserve">Maxi Vestido Bodycon </t>
  </si>
  <si>
    <t>Talla XS Color Negro Marca F21</t>
  </si>
  <si>
    <t>BU06791</t>
  </si>
  <si>
    <t>Talla M Color Negro Marca F21</t>
  </si>
  <si>
    <t>BU067911</t>
  </si>
  <si>
    <t>Talla L Color Negro Marca F21</t>
  </si>
  <si>
    <t>BU06792</t>
  </si>
  <si>
    <t>Vestido Midi de espalda oblicua</t>
  </si>
  <si>
    <t>BU06793</t>
  </si>
  <si>
    <t>Crossbody Bag con hebilla</t>
  </si>
  <si>
    <t>BU06794</t>
  </si>
  <si>
    <t xml:space="preserve">Crossbody Bag </t>
  </si>
  <si>
    <t>BU06795</t>
  </si>
  <si>
    <t>Mochila de lana sintética</t>
  </si>
  <si>
    <t>BU06796</t>
  </si>
  <si>
    <t>Crossbody Bag Negro Lacado</t>
  </si>
  <si>
    <t>Talla Unitalla Marca F21</t>
  </si>
  <si>
    <t>BU06797</t>
  </si>
  <si>
    <t>Crossbody Bag Blanco Lacado</t>
  </si>
  <si>
    <t>BU06798</t>
  </si>
  <si>
    <t>Crossbody Bag Guateado</t>
  </si>
  <si>
    <t>BU06799</t>
  </si>
  <si>
    <t>Bolso Baguette Rojo</t>
  </si>
  <si>
    <t>BU06800</t>
  </si>
  <si>
    <t>Bolso Baguette Negro</t>
  </si>
  <si>
    <t>BU06801</t>
  </si>
  <si>
    <t>Crossbody bag Denim</t>
  </si>
  <si>
    <t>BU06802</t>
  </si>
  <si>
    <t>nuevo /tops</t>
  </si>
  <si>
    <t>Blazer entallado</t>
  </si>
  <si>
    <t>BU06803</t>
  </si>
  <si>
    <t>Talla M Color Piedra_Azul Marca F21</t>
  </si>
  <si>
    <t>BU06804</t>
  </si>
  <si>
    <t>Próximamente /tops</t>
  </si>
  <si>
    <t>BU06805</t>
  </si>
  <si>
    <t>BU06806</t>
  </si>
  <si>
    <t>Vestido Chic Primavera</t>
  </si>
  <si>
    <t>Temu</t>
  </si>
  <si>
    <t>Compra Temu18022024</t>
  </si>
  <si>
    <t>BU06807</t>
  </si>
  <si>
    <t>BU06808</t>
  </si>
  <si>
    <t>BU06809</t>
  </si>
  <si>
    <t>bolsos /nuevo</t>
  </si>
  <si>
    <t>Bolso Vintage Marrón</t>
  </si>
  <si>
    <t>Talla Unitalla Marca TEMU</t>
  </si>
  <si>
    <t>BU06810</t>
  </si>
  <si>
    <t>Bolso Vintage Negro</t>
  </si>
  <si>
    <t>BU068101</t>
  </si>
  <si>
    <t>Vestido Camisero de Rayas</t>
  </si>
  <si>
    <t>Talla XL Color azul_y_blanco Marca TEMU</t>
  </si>
  <si>
    <t>BU068102</t>
  </si>
  <si>
    <t>Vestido Camisero de Bolas</t>
  </si>
  <si>
    <t>BU06811</t>
  </si>
  <si>
    <t>Bolso estampado de Lona</t>
  </si>
  <si>
    <t>Talla Unitalla Color Multicolor Marca TEMU</t>
  </si>
  <si>
    <t>BU06812</t>
  </si>
  <si>
    <t>Set de bolso minimalista negro</t>
  </si>
  <si>
    <t>BU06813</t>
  </si>
  <si>
    <t>Set de bolso minimalista amarillo</t>
  </si>
  <si>
    <t>BU06814</t>
  </si>
  <si>
    <t>Bolso mochila estampado</t>
  </si>
  <si>
    <t>BU06815</t>
  </si>
  <si>
    <t>Bolso mochila Rojo</t>
  </si>
  <si>
    <t>BU06816</t>
  </si>
  <si>
    <t>Blusa estampada de Lunares</t>
  </si>
  <si>
    <t>Talla S Color Blanco Marca TEMU</t>
  </si>
  <si>
    <t>BU06817</t>
  </si>
  <si>
    <t>BU06818</t>
  </si>
  <si>
    <t>BU06819</t>
  </si>
  <si>
    <t>Crossbody Cromado</t>
  </si>
  <si>
    <t>BU06820</t>
  </si>
  <si>
    <t>Nuevo /accesorios</t>
  </si>
  <si>
    <t>Gafas de Sol Retro Blanco</t>
  </si>
  <si>
    <t>Talla Unitalla Marca Temu</t>
  </si>
  <si>
    <t>BU06821</t>
  </si>
  <si>
    <t>Gafas de Sol Retro Carey</t>
  </si>
  <si>
    <t>BU06822</t>
  </si>
  <si>
    <t>Gafas de Sol Retro Negro</t>
  </si>
  <si>
    <t>BU06823</t>
  </si>
  <si>
    <t>Próximamente /vestidos</t>
  </si>
  <si>
    <t>Vestido Fresco Verano</t>
  </si>
  <si>
    <t>Talla XL Color Albaricoque</t>
  </si>
  <si>
    <t>Compra Shein03032024</t>
  </si>
  <si>
    <t>BU068231</t>
  </si>
  <si>
    <t>Nuevo /vestidos</t>
  </si>
  <si>
    <t>Talla L Color Albaricoque</t>
  </si>
  <si>
    <t>BU068232</t>
  </si>
  <si>
    <t>Vestido Fresco Verano en Bloque de Color</t>
  </si>
  <si>
    <t>BU068241</t>
  </si>
  <si>
    <t xml:space="preserve"> lenceria</t>
  </si>
  <si>
    <t>Sujetador Invisible Suave sin tirantes</t>
  </si>
  <si>
    <t>Talla XS Color Morado_platinado</t>
  </si>
  <si>
    <t>BU068242</t>
  </si>
  <si>
    <t>Talla S Color Morado_platinado</t>
  </si>
  <si>
    <t>BU06824</t>
  </si>
  <si>
    <t>Talla M Color Morado_platinado</t>
  </si>
  <si>
    <t>BU06825</t>
  </si>
  <si>
    <t>Talla L Color Morado_platinado</t>
  </si>
  <si>
    <t>BU06826</t>
  </si>
  <si>
    <t xml:space="preserve"> lenceria /ofertas</t>
  </si>
  <si>
    <t>Sujetador suave de encaje y satén Beige</t>
  </si>
  <si>
    <t>BU06827</t>
  </si>
  <si>
    <t>Sujetador suave de encaje y satén Negro</t>
  </si>
  <si>
    <t>BU06828</t>
  </si>
  <si>
    <t>BU06829</t>
  </si>
  <si>
    <t>Próximamente /calzado</t>
  </si>
  <si>
    <t>Talla 37 Color Blanco</t>
  </si>
  <si>
    <t>BU06830</t>
  </si>
  <si>
    <t>Vestido a Media Pierna Elegante y Versátil</t>
  </si>
  <si>
    <t>BLETTA1</t>
  </si>
  <si>
    <t>Bazar /precios-bajos</t>
  </si>
  <si>
    <t>Pantalón corto blanco de rayas</t>
  </si>
  <si>
    <t>Talla S Color Blanco_y_Negro</t>
  </si>
  <si>
    <t>Bershka</t>
  </si>
  <si>
    <t>Bazar</t>
  </si>
  <si>
    <t>BLETTA2</t>
  </si>
  <si>
    <t>Vestido Chaleco con botones</t>
  </si>
  <si>
    <t>none</t>
  </si>
  <si>
    <t>BLETTA3</t>
  </si>
  <si>
    <t>Vestido verde Overall (Nuevo)</t>
  </si>
  <si>
    <t>Talla S Color Verde</t>
  </si>
  <si>
    <t>BLETTA4</t>
  </si>
  <si>
    <t xml:space="preserve">Falda con fajín </t>
  </si>
  <si>
    <t>Talla S Color Multicolor</t>
  </si>
  <si>
    <t>bebé</t>
  </si>
  <si>
    <t>BLETTA5</t>
  </si>
  <si>
    <t>Blusa de puntos</t>
  </si>
  <si>
    <t>Talla S Color Marrón</t>
  </si>
  <si>
    <t>BLETTA6</t>
  </si>
  <si>
    <t>Vestido de una manga en vuelo (Nuevo)</t>
  </si>
  <si>
    <t>Talla S Color Combinado</t>
  </si>
  <si>
    <t>BLETTA7</t>
  </si>
  <si>
    <t xml:space="preserve">Vestido chino de satín </t>
  </si>
  <si>
    <t>Talla S Color Rojo</t>
  </si>
  <si>
    <t>BLETTA8</t>
  </si>
  <si>
    <t>Body strapless (Nuevo)</t>
  </si>
  <si>
    <t>BLETTA9</t>
  </si>
  <si>
    <t>Short de talle bajo</t>
  </si>
  <si>
    <t>Talla S/M Color Fresa</t>
  </si>
  <si>
    <t>Roxy</t>
  </si>
  <si>
    <t>BLETTA10</t>
  </si>
  <si>
    <t>Vestido rojo a media pierna con cinturón</t>
  </si>
  <si>
    <t>BLETTA11</t>
  </si>
  <si>
    <t>Bermuda denim curvy</t>
  </si>
  <si>
    <t>Talla M Color Negro</t>
  </si>
  <si>
    <t>BLETTA12</t>
  </si>
  <si>
    <t>Solera de manga corta</t>
  </si>
  <si>
    <t>Talla S Color Blanco</t>
  </si>
  <si>
    <t>BLETTA13</t>
  </si>
  <si>
    <t>Vestido mangas de vuelo</t>
  </si>
  <si>
    <t>BLETTA14</t>
  </si>
  <si>
    <t>Mono Camisero de rayas (Nuevo)</t>
  </si>
  <si>
    <t>BLETTA15</t>
  </si>
  <si>
    <t>Falda Lentejuelas (Nuevo)</t>
  </si>
  <si>
    <t>Talla S Color Rosa</t>
  </si>
  <si>
    <t>BLETTA16</t>
  </si>
  <si>
    <t>Bermuda denim SHEIN</t>
  </si>
  <si>
    <t>Talla S/M Color Blanco</t>
  </si>
  <si>
    <t>BLETTA17</t>
  </si>
  <si>
    <t>Bermuda denim H&amp;M</t>
  </si>
  <si>
    <t>Talla XS Color Blanco Marca H&amp;M</t>
  </si>
  <si>
    <t>BLETTA18</t>
  </si>
  <si>
    <t>Short estampado</t>
  </si>
  <si>
    <t>Talla S Color Azul Marca GAP</t>
  </si>
  <si>
    <t>GAP</t>
  </si>
  <si>
    <t>BLETTA19</t>
  </si>
  <si>
    <t>Blusa de picos (Nuevo)</t>
  </si>
  <si>
    <t>BLETTA20</t>
  </si>
  <si>
    <t>Blusa manga 3/4</t>
  </si>
  <si>
    <t>Talla S Color Fresa</t>
  </si>
  <si>
    <t>BLETTA21</t>
  </si>
  <si>
    <t>Pantalón corto estampado (Nuevo)</t>
  </si>
  <si>
    <t>Talla L Color Azul</t>
  </si>
  <si>
    <t>BLETTA22</t>
  </si>
  <si>
    <t>Blusa corta de espalda escotada</t>
  </si>
  <si>
    <t>Talla M Color Rojo</t>
  </si>
  <si>
    <t>BLETTA23</t>
  </si>
  <si>
    <t>Falda ajustada de zíper</t>
  </si>
  <si>
    <t>Talla S Color Rojo Marca Bershka</t>
  </si>
  <si>
    <t>BDANIELA1</t>
  </si>
  <si>
    <t>Jogger afelpado de talle alto (Nuevo)</t>
  </si>
  <si>
    <t>Talla L Color Negro</t>
  </si>
  <si>
    <t>BDANIELA2</t>
  </si>
  <si>
    <t>partes de abajo</t>
  </si>
  <si>
    <t xml:space="preserve">Jogger afelpado de talle alto </t>
  </si>
  <si>
    <t>BDANIELA3</t>
  </si>
  <si>
    <t>Talla L Color Chantillí Marca SHEIN</t>
  </si>
  <si>
    <t>BKAREN1</t>
  </si>
  <si>
    <t>Blusa bajo con bordados</t>
  </si>
  <si>
    <t>Talla S Color Rojo_Intenso</t>
  </si>
  <si>
    <t>BKAREN2</t>
  </si>
  <si>
    <t>Blusa de bolas cuello con lazo</t>
  </si>
  <si>
    <t>Talla XS Color Azul_y_blanco Marca MANGO</t>
  </si>
  <si>
    <t>MANGO</t>
  </si>
  <si>
    <t>BKAREN3</t>
  </si>
  <si>
    <t>Blusa corta de manga 3/4</t>
  </si>
  <si>
    <t>BKAREN4</t>
  </si>
  <si>
    <t>Blusa bordada de cuello healter</t>
  </si>
  <si>
    <t>Talla S Color Albaricoque</t>
  </si>
  <si>
    <t>Monteau</t>
  </si>
  <si>
    <t>BKAREN5</t>
  </si>
  <si>
    <t xml:space="preserve">Blusa de manga corta </t>
  </si>
  <si>
    <t>Talla S Color Amarillo</t>
  </si>
  <si>
    <t>BKAREN6</t>
  </si>
  <si>
    <t>Blusa estampada geométrica</t>
  </si>
  <si>
    <t>BKAREN7</t>
  </si>
  <si>
    <t>Blusa floreada con bajo bordado</t>
  </si>
  <si>
    <t>BKAREN8</t>
  </si>
  <si>
    <t>Blusa naranja abombada</t>
  </si>
  <si>
    <t>Talla S Color Naranja</t>
  </si>
  <si>
    <t>BKAREN9</t>
  </si>
  <si>
    <t>Blusa blanca mangas en contraste</t>
  </si>
  <si>
    <t>Talla S Color Blanco Marca SHEIN</t>
  </si>
  <si>
    <t>BKAREN10</t>
  </si>
  <si>
    <t>Blusa negra mangas de vuelo</t>
  </si>
  <si>
    <t>Talla S Color Negro Marca VERTICHE</t>
  </si>
  <si>
    <t>VERTICHE</t>
  </si>
  <si>
    <t>BKAREN11</t>
  </si>
  <si>
    <t>Conjunto Playera y short bikers (devolución)</t>
  </si>
  <si>
    <t>Talla S Color Negro Marca SHEIN</t>
  </si>
  <si>
    <t>BU06831</t>
  </si>
  <si>
    <t>Pantalón Blanco de pierna ancha</t>
  </si>
  <si>
    <t>BU06832</t>
  </si>
  <si>
    <t xml:space="preserve"> Short de media pierna</t>
  </si>
  <si>
    <t>Talla S Color Baby_Blue</t>
  </si>
  <si>
    <t>BU06833</t>
  </si>
  <si>
    <t>Jean Skinny costura en contraste</t>
  </si>
  <si>
    <t>Talla 32 Color Blanco_Crema</t>
  </si>
  <si>
    <t>BU06834</t>
  </si>
  <si>
    <t>Jean Skinny floreado</t>
  </si>
  <si>
    <t>Talla XS Marca ONLY</t>
  </si>
  <si>
    <t>ONLY</t>
  </si>
  <si>
    <t>BU06835</t>
  </si>
  <si>
    <t>Jean corte mom de remaches finos</t>
  </si>
  <si>
    <t>BU06836</t>
  </si>
  <si>
    <t xml:space="preserve">Jean con doblez estampado </t>
  </si>
  <si>
    <t>BU06837</t>
  </si>
  <si>
    <t xml:space="preserve">Jean skinny de corte bajo </t>
  </si>
  <si>
    <t>BU06838</t>
  </si>
  <si>
    <t>Jean Oscuro desteñido</t>
  </si>
  <si>
    <t>Talla S Marca ONLY</t>
  </si>
  <si>
    <t>BLETTA46</t>
  </si>
  <si>
    <t>Jean corte ancho de bajo descosido</t>
  </si>
  <si>
    <t>BLETTA47</t>
  </si>
  <si>
    <t xml:space="preserve">Jean skinny corto </t>
  </si>
  <si>
    <t>BLETTA48</t>
  </si>
  <si>
    <t>Falda de vuelos con zíper</t>
  </si>
  <si>
    <t>BU07192</t>
  </si>
  <si>
    <t>Botín de punta cuadrada y zíper</t>
  </si>
  <si>
    <t>BU068181</t>
  </si>
  <si>
    <t>BU068182</t>
  </si>
  <si>
    <t>Tops /curvy</t>
  </si>
  <si>
    <t>Top rosa acanalado</t>
  </si>
  <si>
    <t>Talla XL Color Rosa</t>
  </si>
  <si>
    <t>BU068183</t>
  </si>
  <si>
    <t>hacer foto</t>
  </si>
  <si>
    <t>Body traslúcido floreado</t>
  </si>
  <si>
    <t>BU068184</t>
  </si>
  <si>
    <t>Corset negro elegante de encaje</t>
  </si>
  <si>
    <t>BU068185</t>
  </si>
  <si>
    <t>BU07351</t>
  </si>
  <si>
    <t>BU07352</t>
  </si>
  <si>
    <t>Vestido Ajustado estilo pullover</t>
  </si>
  <si>
    <t>BU07353</t>
  </si>
  <si>
    <t>Vestido Rojo de botones</t>
  </si>
  <si>
    <t>BU05781</t>
  </si>
  <si>
    <t>BU06691</t>
  </si>
  <si>
    <t>BU06692</t>
  </si>
  <si>
    <t>Fashion TOTE bag tamaño de gran capacidad</t>
  </si>
  <si>
    <t>Talla Grande</t>
  </si>
  <si>
    <t>CompraTemu16042024</t>
  </si>
  <si>
    <t>BU06693</t>
  </si>
  <si>
    <t>bolsos /nuevo /accesorios</t>
  </si>
  <si>
    <t xml:space="preserve">The Cat TOTE bag tamaño de Gran Capacidad </t>
  </si>
  <si>
    <t>CompraTemu16042025</t>
  </si>
  <si>
    <t>BU06694</t>
  </si>
  <si>
    <t>Flor TOTE fashion bag</t>
  </si>
  <si>
    <t>CompraTemu16042026</t>
  </si>
  <si>
    <t>BU06695</t>
  </si>
  <si>
    <t>vestidos /nuevo</t>
  </si>
  <si>
    <t>Vestido Estampado floral de moda</t>
  </si>
  <si>
    <t>CompraTemu16042027</t>
  </si>
  <si>
    <t>BU06696</t>
  </si>
  <si>
    <t>CompraTemu16042028</t>
  </si>
  <si>
    <t>BU06697</t>
  </si>
  <si>
    <t>Set de traje de baño elegante 2 piezas con adorno en forma de V</t>
  </si>
  <si>
    <t>CompraTemu16042029</t>
  </si>
  <si>
    <t>BU06698</t>
  </si>
  <si>
    <t>Trajes de baño /nuevo</t>
  </si>
  <si>
    <t>CompraTemu16042030</t>
  </si>
  <si>
    <t>BU06699</t>
  </si>
  <si>
    <t>Set de traje de baño 3 piezas Azul metalizado</t>
  </si>
  <si>
    <t>CompraTemu16042031</t>
  </si>
  <si>
    <t>BU06700</t>
  </si>
  <si>
    <t>Conjuntos /nuevo</t>
  </si>
  <si>
    <t xml:space="preserve">Set Chic de conjunto de 2 piezas </t>
  </si>
  <si>
    <t>CompraTemu16042032</t>
  </si>
  <si>
    <t>BU067012</t>
  </si>
  <si>
    <t>Partes-de-abajo /Curvy /nuevo</t>
  </si>
  <si>
    <t>Falda Bohemia de mezclilla de cintura alta con detalles de botón</t>
  </si>
  <si>
    <t>Talla XL-12</t>
  </si>
  <si>
    <t>CompraTemu16042033</t>
  </si>
  <si>
    <t>BU06702</t>
  </si>
  <si>
    <t>Talla M_6</t>
  </si>
  <si>
    <t>CompraTemu16042034</t>
  </si>
  <si>
    <t>BU06703</t>
  </si>
  <si>
    <t>Talla S-4</t>
  </si>
  <si>
    <t>CompraTemu16042035</t>
  </si>
  <si>
    <t>BU06704</t>
  </si>
  <si>
    <t>Set de 3 piezas de bikini con estampado floral</t>
  </si>
  <si>
    <t>CompraTemu16042036</t>
  </si>
  <si>
    <t>BU06705</t>
  </si>
  <si>
    <t>CompraTemu16042037</t>
  </si>
  <si>
    <t>BU06706</t>
  </si>
  <si>
    <t>CompraTemu16042038</t>
  </si>
  <si>
    <t>BU06707</t>
  </si>
  <si>
    <t>Set de bikini 3 piezas estampado navy</t>
  </si>
  <si>
    <t>CompraTemu16042039</t>
  </si>
  <si>
    <t>BU06708</t>
  </si>
  <si>
    <t>Set de bikini estampado de flor de 3 piezas de cintura alta</t>
  </si>
  <si>
    <t>CompraTemu16042040</t>
  </si>
  <si>
    <t>BU06709</t>
  </si>
  <si>
    <t>CompraTemu16042041</t>
  </si>
  <si>
    <t>BU06710</t>
  </si>
  <si>
    <t xml:space="preserve">Bañador en color sólido sexy-elegante </t>
  </si>
  <si>
    <t>CompraTemu16042042</t>
  </si>
  <si>
    <t>BU067112</t>
  </si>
  <si>
    <t>CompraTemu16042043</t>
  </si>
  <si>
    <t>BU06712</t>
  </si>
  <si>
    <t>CompraTemu16042044</t>
  </si>
  <si>
    <t>BU06713</t>
  </si>
  <si>
    <t>Bañador clásico cuello V</t>
  </si>
  <si>
    <t>CompraTemu16042045</t>
  </si>
  <si>
    <t>BU06714</t>
  </si>
  <si>
    <t>CompraTemu16042046</t>
  </si>
  <si>
    <t>BU06715</t>
  </si>
  <si>
    <t>CompraTemu16042047</t>
  </si>
  <si>
    <t>BU06716</t>
  </si>
  <si>
    <t>Set de bikini 2 piezas estampado de colores con adorno de aro</t>
  </si>
  <si>
    <t>CompraTemu16042048</t>
  </si>
  <si>
    <t>BU06717</t>
  </si>
  <si>
    <t>Bikini sexy de pierna alta en tendencia</t>
  </si>
  <si>
    <t>CompraTemu16042049</t>
  </si>
  <si>
    <t>BU06718</t>
  </si>
  <si>
    <t>CompraTemu16042050</t>
  </si>
  <si>
    <t>BU06719</t>
  </si>
  <si>
    <t>CompraTemu16042051</t>
  </si>
  <si>
    <t>BU06720</t>
  </si>
  <si>
    <t>CompraTemu16042052</t>
  </si>
  <si>
    <t>BU067212</t>
  </si>
  <si>
    <t>Conjunto Playero color verde 2 piezas</t>
  </si>
  <si>
    <t>CompraTemu16042053</t>
  </si>
  <si>
    <t>BU06722</t>
  </si>
  <si>
    <t>CompraTemu16042054</t>
  </si>
  <si>
    <t>BU06723</t>
  </si>
  <si>
    <t>CompraTemu16042055</t>
  </si>
  <si>
    <t>BU06724</t>
  </si>
  <si>
    <t>Set de bikini floral con aro</t>
  </si>
  <si>
    <t>CompraTemu16042056</t>
  </si>
  <si>
    <t>BU06725</t>
  </si>
  <si>
    <t>CompraTemu16042057</t>
  </si>
  <si>
    <t>BU06726</t>
  </si>
  <si>
    <t>CompraTemu16042058</t>
  </si>
  <si>
    <t>BU06727</t>
  </si>
  <si>
    <t>Vestido Boho de cuello healter</t>
  </si>
  <si>
    <t>CompraTemu16042059</t>
  </si>
  <si>
    <t>BU06728</t>
  </si>
  <si>
    <t>Vestido floral verano con abertura</t>
  </si>
  <si>
    <t>CompraTemu16042060</t>
  </si>
  <si>
    <t>BU06729</t>
  </si>
  <si>
    <t xml:space="preserve">Bolso TOTE arcoíris trending </t>
  </si>
  <si>
    <t>CompraTemu16042061</t>
  </si>
  <si>
    <t>BU06730</t>
  </si>
  <si>
    <t>Vestido Resorte estampado bohemio</t>
  </si>
  <si>
    <t>CompraTemu16042062</t>
  </si>
  <si>
    <t>BU067312</t>
  </si>
  <si>
    <t>Bolso chic estilo verano</t>
  </si>
  <si>
    <t>Talla Pequeño</t>
  </si>
  <si>
    <t>CompraTemu16042063</t>
  </si>
  <si>
    <t>BU06732</t>
  </si>
  <si>
    <t>vestido Boho con tirantes de spaguetti y abertura</t>
  </si>
  <si>
    <t>CompraTemu16042064</t>
  </si>
  <si>
    <t>BU06733</t>
  </si>
  <si>
    <t>Set de bikini con cobertor de playa</t>
  </si>
  <si>
    <t>CompraTemu16042065</t>
  </si>
  <si>
    <t>BU06734</t>
  </si>
  <si>
    <t>Vestido sexy cruzado de escote profundo</t>
  </si>
  <si>
    <t>CompraTemu16042066</t>
  </si>
  <si>
    <t>BU06735</t>
  </si>
  <si>
    <t>Estiloso sombrero de protección solar playero</t>
  </si>
  <si>
    <t>CompraTemu16042067</t>
  </si>
  <si>
    <t>BU06736</t>
  </si>
  <si>
    <t>Vestido negro espalda cruzada</t>
  </si>
  <si>
    <t>CompraTemu16042068</t>
  </si>
  <si>
    <t>BU06737</t>
  </si>
  <si>
    <t>Vestido blanco espalda cruzada</t>
  </si>
  <si>
    <t>CompraTemu16042069</t>
  </si>
  <si>
    <t>BU06738</t>
  </si>
  <si>
    <t>Talla S_L</t>
  </si>
  <si>
    <t>CompraTemu16042070</t>
  </si>
  <si>
    <t>BU067391</t>
  </si>
  <si>
    <t>CompraTemu16042071</t>
  </si>
  <si>
    <t>BU06739</t>
  </si>
  <si>
    <t>Bolso bohemio redondo de gran capacidad</t>
  </si>
  <si>
    <t>BU06740</t>
  </si>
  <si>
    <t>CompraTemu16042072</t>
  </si>
  <si>
    <t>BU067412</t>
  </si>
  <si>
    <t>Set de bikini bandeau color sólido</t>
  </si>
  <si>
    <t>CompraTemu16042073</t>
  </si>
  <si>
    <t>BU06742</t>
  </si>
  <si>
    <t>Bikini curvy en bloque de color</t>
  </si>
  <si>
    <t>CompraTemu16042074</t>
  </si>
  <si>
    <t>BU06743</t>
  </si>
  <si>
    <t>Bikini de cintura alta estampado clásico</t>
  </si>
  <si>
    <t>CompraTemu16042075</t>
  </si>
  <si>
    <t>BU06744</t>
  </si>
  <si>
    <t>CompraTemu16042076</t>
  </si>
  <si>
    <t>BU06745</t>
  </si>
  <si>
    <t>CompraTemu16042077</t>
  </si>
  <si>
    <t>BU06746</t>
  </si>
  <si>
    <t>Vestido suelto en bordado inglés</t>
  </si>
  <si>
    <t>CompraTemu16042078</t>
  </si>
  <si>
    <t>BU06747</t>
  </si>
  <si>
    <t>CompraTemu16042079</t>
  </si>
  <si>
    <t>BU06748</t>
  </si>
  <si>
    <t>Partes-de-abajo /nuevo /curvy</t>
  </si>
  <si>
    <t>Pantalones playeros estampados</t>
  </si>
  <si>
    <t>CompraTemu16042080</t>
  </si>
  <si>
    <t>BU06749</t>
  </si>
  <si>
    <t>CompraTemu16042081</t>
  </si>
  <si>
    <t>BU06750</t>
  </si>
  <si>
    <t>CompraTemu16042082</t>
  </si>
  <si>
    <t>BU067510</t>
  </si>
  <si>
    <t>CompraTemu16042083</t>
  </si>
  <si>
    <t>BU06752</t>
  </si>
  <si>
    <t>Bolso shopper flores pequeñas coloridas</t>
  </si>
  <si>
    <t>CompraTemu16042084</t>
  </si>
  <si>
    <t>BU06753</t>
  </si>
  <si>
    <t>Bolso shopper flores pequeñas rosadas</t>
  </si>
  <si>
    <t>CompraTemu16042085</t>
  </si>
  <si>
    <t>BU06754</t>
  </si>
  <si>
    <t>Bolso de mano multipropósito de lona unisex</t>
  </si>
  <si>
    <t>CompraTemu16042086</t>
  </si>
  <si>
    <t>BU06755</t>
  </si>
  <si>
    <t>Bolso pequeño estampado de mariposas</t>
  </si>
  <si>
    <t>CompraTemu16042087</t>
  </si>
  <si>
    <t>BU06756</t>
  </si>
  <si>
    <t>Bolso de lienzo estampado de corazón</t>
  </si>
  <si>
    <t>CompraTemu16042088</t>
  </si>
  <si>
    <t>BU06757</t>
  </si>
  <si>
    <t>Bolso de lona en bloque de color</t>
  </si>
  <si>
    <t>CompraTemu16042089</t>
  </si>
  <si>
    <t>BU06758</t>
  </si>
  <si>
    <t>Maxi vestido de cuello healter de Lunares</t>
  </si>
  <si>
    <t>CompraTemu16042090</t>
  </si>
  <si>
    <t>BU06759</t>
  </si>
  <si>
    <t>Set de bikini Vacaciones en bloque de color</t>
  </si>
  <si>
    <t>CompraTemu16042091</t>
  </si>
  <si>
    <t>BU06760</t>
  </si>
  <si>
    <t>Pantalones sueltos estampado de plantas</t>
  </si>
  <si>
    <t>CompraTemu16042092</t>
  </si>
  <si>
    <t>BU067610</t>
  </si>
  <si>
    <t>Vestido estampado con abertura y ajuste en cintura</t>
  </si>
  <si>
    <t>CompraTemu16042093</t>
  </si>
  <si>
    <t>BU06762</t>
  </si>
  <si>
    <t>Bikini atado a los lados con estampado de cerezas</t>
  </si>
  <si>
    <t>CompraTemu16042094</t>
  </si>
  <si>
    <t>BU06763</t>
  </si>
  <si>
    <t>CompraTemu16042095</t>
  </si>
  <si>
    <t>BU06764</t>
  </si>
  <si>
    <t>CompraTemu16042096</t>
  </si>
  <si>
    <t>BU06765</t>
  </si>
  <si>
    <t>Blusa Vacaciones con lazo delantero</t>
  </si>
  <si>
    <t>CompraTemu16042097</t>
  </si>
  <si>
    <t>BU06766</t>
  </si>
  <si>
    <t>CompraTemu16042098</t>
  </si>
  <si>
    <t>BU06767</t>
  </si>
  <si>
    <t>CompraTemu16042099</t>
  </si>
  <si>
    <t>BU06768</t>
  </si>
  <si>
    <t>vestidos /curvy /ofertas</t>
  </si>
  <si>
    <t>Vestido color block  bohemio</t>
  </si>
  <si>
    <t>CompraTemu16042100</t>
  </si>
  <si>
    <t>BU06769</t>
  </si>
  <si>
    <t>Vestido color block de bajo asimétrico</t>
  </si>
  <si>
    <t>CompraTemu16042101</t>
  </si>
  <si>
    <t>BU06770</t>
  </si>
  <si>
    <t>Pantalón palazzo estiloso</t>
  </si>
  <si>
    <t>CompraTemu16042102</t>
  </si>
  <si>
    <t>BU067712</t>
  </si>
  <si>
    <t>CompraTemu16042103</t>
  </si>
  <si>
    <t>BU06772</t>
  </si>
  <si>
    <t>CompraTemu16042104</t>
  </si>
  <si>
    <t>BU06773</t>
  </si>
  <si>
    <t>CompraTemu16042105</t>
  </si>
  <si>
    <t>BU06774</t>
  </si>
  <si>
    <t>Trajes de baño /Bikinis /nuevo</t>
  </si>
  <si>
    <t>Set de 3 piezas bikini con estampado floral</t>
  </si>
  <si>
    <t>CompraTemu16042106</t>
  </si>
  <si>
    <t>BU06775</t>
  </si>
  <si>
    <t>Bikini bandeau de estilo floral</t>
  </si>
  <si>
    <t>CompraTemu16042107</t>
  </si>
  <si>
    <t>BU06776</t>
  </si>
  <si>
    <t>CompraTemu16042108</t>
  </si>
  <si>
    <t>BU06777</t>
  </si>
  <si>
    <t>CompraTemu16042109</t>
  </si>
  <si>
    <t>BU06778</t>
  </si>
  <si>
    <t>Set de 3 piezas bikini de moda estampado de hoja</t>
  </si>
  <si>
    <t>CompraTemu16042110</t>
  </si>
  <si>
    <t>BU06779</t>
  </si>
  <si>
    <t>CompraTemu16042111</t>
  </si>
  <si>
    <t>BU06780</t>
  </si>
  <si>
    <t>CompraTemu16042112</t>
  </si>
  <si>
    <t>LTA00001</t>
  </si>
  <si>
    <t>CompraTemu16042113</t>
  </si>
  <si>
    <t>LTA00002</t>
  </si>
  <si>
    <t>Espejuelos rectangulares unisex adorno de carey</t>
  </si>
  <si>
    <t>CompraTemu16042114</t>
  </si>
  <si>
    <t>LTA00003</t>
  </si>
  <si>
    <t>Espejuelos rectangulares unisex de color sólido</t>
  </si>
  <si>
    <t>CompraTemu16042115</t>
  </si>
  <si>
    <t>LTA00004</t>
  </si>
  <si>
    <t>Espejuelos rectangulares unisex</t>
  </si>
  <si>
    <t>CompraTemu16042116</t>
  </si>
  <si>
    <t>LTA00005</t>
  </si>
  <si>
    <t>Espejuelos estilo cat eye</t>
  </si>
  <si>
    <t>CompraTemu16042117</t>
  </si>
  <si>
    <t>LTA00006</t>
  </si>
  <si>
    <t>2 piezas bikini push up accesorio</t>
  </si>
  <si>
    <t>CompraTemu16042118</t>
  </si>
  <si>
    <t>LTA00007</t>
  </si>
  <si>
    <t>Sombrero de protección Verano fashionista</t>
  </si>
  <si>
    <t>CompraTemu16042119</t>
  </si>
  <si>
    <t>LTA00008</t>
  </si>
  <si>
    <t>Tops /curvy /nuevo</t>
  </si>
  <si>
    <t>Blusa atada al frente de estilo casual</t>
  </si>
  <si>
    <t>CompraTemu16042120</t>
  </si>
  <si>
    <t>LTA00009</t>
  </si>
  <si>
    <t>CompraTemu16042121</t>
  </si>
  <si>
    <t>LTA00010</t>
  </si>
  <si>
    <t>vestidos /nuevo /curvy</t>
  </si>
  <si>
    <t>Vestido elegante de botones en color sólido</t>
  </si>
  <si>
    <t>CompraTemu16042122</t>
  </si>
  <si>
    <t>LTA00011</t>
  </si>
  <si>
    <t>CompraTemu16042123</t>
  </si>
  <si>
    <t>LTA00012</t>
  </si>
  <si>
    <t>CompraTemu16042124</t>
  </si>
  <si>
    <t>LTA00013</t>
  </si>
  <si>
    <t>Espejuelos de sol vintage clásicas aviador</t>
  </si>
  <si>
    <t>CompraTemu16042125</t>
  </si>
  <si>
    <t>BU05061</t>
  </si>
  <si>
    <t>Sandalias cruzadas de plataforma F21</t>
  </si>
  <si>
    <t>BU04311</t>
  </si>
  <si>
    <t>BU04312</t>
  </si>
  <si>
    <t>BU04313</t>
  </si>
  <si>
    <t>calzado /hm</t>
  </si>
  <si>
    <t>Sandalias de tiras con tacón cuadrado Marca H&amp;M</t>
  </si>
  <si>
    <t>HM</t>
  </si>
  <si>
    <t>Compras HM Junio2024</t>
  </si>
  <si>
    <t>BU04314</t>
  </si>
  <si>
    <t>Sandalias de tiras con tacón cuadrado</t>
  </si>
  <si>
    <t>Compras HM Junio2025</t>
  </si>
  <si>
    <t>BU04315</t>
  </si>
  <si>
    <t>Compras HM Junio2026</t>
  </si>
  <si>
    <t>BU04316</t>
  </si>
  <si>
    <t>Compras HM Junio2027</t>
  </si>
  <si>
    <t>BU04317</t>
  </si>
  <si>
    <t>Compras HM Junio2028</t>
  </si>
  <si>
    <t>BU04318</t>
  </si>
  <si>
    <t>Pantalón de vestir de viscosa y lino (beige claro)</t>
  </si>
  <si>
    <t>Compras HM Junio2029</t>
  </si>
  <si>
    <t>BU04319</t>
  </si>
  <si>
    <t>Compras HM Junio2030</t>
  </si>
  <si>
    <t>BU04320</t>
  </si>
  <si>
    <t>Compras HM Junio2031</t>
  </si>
  <si>
    <t>BU04321</t>
  </si>
  <si>
    <t>Compras HM Junio2032</t>
  </si>
  <si>
    <t>BU04322</t>
  </si>
  <si>
    <t>Partes-de-abajo /Lo-nuevo-de-HM</t>
  </si>
  <si>
    <t>Compras HM Junio2033</t>
  </si>
  <si>
    <t>BU04323</t>
  </si>
  <si>
    <t>Camisa blanca en mezcla de algodón</t>
  </si>
  <si>
    <t>Compras HM Junio2034</t>
  </si>
  <si>
    <t>BU04324</t>
  </si>
  <si>
    <t>Compras HM Junio2035</t>
  </si>
  <si>
    <t>BU04325</t>
  </si>
  <si>
    <t>Compras HM Junio2036</t>
  </si>
  <si>
    <t>BU04326</t>
  </si>
  <si>
    <t>Pantalón ancho con cordón ajustable</t>
  </si>
  <si>
    <t>Compras HM Junio2037</t>
  </si>
  <si>
    <t>BU04327</t>
  </si>
  <si>
    <t>Compras HM Junio2038</t>
  </si>
  <si>
    <t>BU04328</t>
  </si>
  <si>
    <t>Compras HM Junio2039</t>
  </si>
  <si>
    <t>BU04329</t>
  </si>
  <si>
    <t>Compras HM Junio2040</t>
  </si>
  <si>
    <t>BU04330</t>
  </si>
  <si>
    <t>Compras HM Junio2041</t>
  </si>
  <si>
    <t>BU04331</t>
  </si>
  <si>
    <t>Pantalón cigarrette ajustado elegante</t>
  </si>
  <si>
    <t>Compras HM Junio2042</t>
  </si>
  <si>
    <t>BU04332</t>
  </si>
  <si>
    <t>Compras HM Junio2043</t>
  </si>
  <si>
    <t>BU04333</t>
  </si>
  <si>
    <t>Pantalón de vestir de viscosa y lino negro</t>
  </si>
  <si>
    <t>Compras HM Junio2044</t>
  </si>
  <si>
    <t>BU04334</t>
  </si>
  <si>
    <t>Compras HM Junio2045</t>
  </si>
  <si>
    <t>BU04335</t>
  </si>
  <si>
    <t>Compras HM Junio2046</t>
  </si>
  <si>
    <t>BU04338</t>
  </si>
  <si>
    <t>Sandalias carmelitas de moda con correa de velcro</t>
  </si>
  <si>
    <t>Talla 36_37_38</t>
  </si>
  <si>
    <t>PLT</t>
  </si>
  <si>
    <t>Compra calzado PLT USA</t>
  </si>
  <si>
    <t>BU04339</t>
  </si>
  <si>
    <t>Talla 36_38</t>
  </si>
  <si>
    <t>BU043391</t>
  </si>
  <si>
    <t>Sandalias prácticas Chunky Negras</t>
  </si>
  <si>
    <t>BU04340</t>
  </si>
  <si>
    <t>BU04341</t>
  </si>
  <si>
    <t>BU04342</t>
  </si>
  <si>
    <t>BU04346</t>
  </si>
  <si>
    <t>Sneakers chunky blancos</t>
  </si>
  <si>
    <t>BU04347</t>
  </si>
  <si>
    <t>BU04348</t>
  </si>
  <si>
    <t>Sandalias de plataforma en bloque de color</t>
  </si>
  <si>
    <t>BU04349</t>
  </si>
  <si>
    <t>BU04350</t>
  </si>
  <si>
    <t>BU04351</t>
  </si>
  <si>
    <t>BU04352</t>
  </si>
  <si>
    <t>Sandalias de tacón de punta fina con diseño crochet</t>
  </si>
  <si>
    <t>BU04353</t>
  </si>
  <si>
    <t>Sandalias strappy de plataforma color beige</t>
  </si>
  <si>
    <t>BU04354</t>
  </si>
  <si>
    <t>BU04355</t>
  </si>
  <si>
    <t>Sandalias de plataforma de tacón grueso</t>
  </si>
  <si>
    <t>BU04356</t>
  </si>
  <si>
    <t>Sandalias espadriles nude</t>
  </si>
  <si>
    <t>BU04357</t>
  </si>
  <si>
    <t>BU04358</t>
  </si>
  <si>
    <t>Tacones de punta fina con flor de piedras</t>
  </si>
  <si>
    <t>BU04359</t>
  </si>
  <si>
    <t>Sandalias finas strappy rojas de tacón</t>
  </si>
  <si>
    <t>BU04360</t>
  </si>
  <si>
    <t>BU04361</t>
  </si>
  <si>
    <t>Sandalias de tacón de punta fina con correa al tobillo</t>
  </si>
  <si>
    <t>BU04362</t>
  </si>
  <si>
    <t>Zapatos elegantes de punta fina negros</t>
  </si>
  <si>
    <t>BU04363</t>
  </si>
  <si>
    <t>Sandalias prácticas chunky blanco crema</t>
  </si>
  <si>
    <t>BU04364</t>
  </si>
  <si>
    <t>BU04365</t>
  </si>
  <si>
    <t>BU04366</t>
  </si>
  <si>
    <t>BU04367</t>
  </si>
  <si>
    <t>Blusa blanca de lazos y manga abullonada</t>
  </si>
  <si>
    <t>BU04368</t>
  </si>
  <si>
    <t>BU04369</t>
  </si>
  <si>
    <t>BU04370</t>
  </si>
  <si>
    <t>Bolso bandolera de rafia rígido de tamaño pequeño</t>
  </si>
  <si>
    <t>Tamaño Pequeño</t>
  </si>
  <si>
    <t>BU04371</t>
  </si>
  <si>
    <t xml:space="preserve">Bolso tejido redondo de gran capidad </t>
  </si>
  <si>
    <t>BU04372</t>
  </si>
  <si>
    <t>Bolso de playa con diseño de rayas tamaño mediano</t>
  </si>
  <si>
    <t>BU04373</t>
  </si>
  <si>
    <t>Camisa elegante con lazo grande</t>
  </si>
  <si>
    <t>BU04374</t>
  </si>
  <si>
    <t>BU04375</t>
  </si>
  <si>
    <t>BU04376</t>
  </si>
  <si>
    <t>Falda Pantalón de mezclilla</t>
  </si>
  <si>
    <t>BU04377</t>
  </si>
  <si>
    <t>BU04378</t>
  </si>
  <si>
    <t>BU04379</t>
  </si>
  <si>
    <t>Camisa elegante de listas</t>
  </si>
  <si>
    <t>BU04380</t>
  </si>
  <si>
    <t>BU04381</t>
  </si>
  <si>
    <t>BU04382</t>
  </si>
  <si>
    <t>Bolso pequeño estilo old money</t>
  </si>
  <si>
    <t>BU04383</t>
  </si>
  <si>
    <t>Bolso media luna de rafia de tamaño medio</t>
  </si>
  <si>
    <t>BU04384</t>
  </si>
  <si>
    <t>Pantalones cortos de mezclilla de moda</t>
  </si>
  <si>
    <t>BU04385</t>
  </si>
  <si>
    <t>BU04386</t>
  </si>
  <si>
    <t>BU04387</t>
  </si>
  <si>
    <t>Cinturón fino de hebilla de estilo elegante negro</t>
  </si>
  <si>
    <t>BU04388</t>
  </si>
  <si>
    <t>Cinturón fino de hebilla de estilo elegante carmelita</t>
  </si>
  <si>
    <t>BU04389</t>
  </si>
  <si>
    <t>Blusa de lazos color negro</t>
  </si>
  <si>
    <t>BU04390</t>
  </si>
  <si>
    <t>BU04391</t>
  </si>
  <si>
    <t>BU04392</t>
  </si>
  <si>
    <t>Pullover corto unicolor carmelita</t>
  </si>
  <si>
    <t>BU04393</t>
  </si>
  <si>
    <t>BU04394</t>
  </si>
  <si>
    <t>BU04395</t>
  </si>
  <si>
    <t>Pullover corto unicolor blanco</t>
  </si>
  <si>
    <t>BU04396</t>
  </si>
  <si>
    <t>BU04397</t>
  </si>
  <si>
    <t>BU043971</t>
  </si>
  <si>
    <t>Pullover corto unicolor beige</t>
  </si>
  <si>
    <t>BU043972</t>
  </si>
  <si>
    <t>BU04398</t>
  </si>
  <si>
    <t>BU04399</t>
  </si>
  <si>
    <t>Pullover largo unicolor tela traslúcida negro</t>
  </si>
  <si>
    <t>BU04400</t>
  </si>
  <si>
    <t>BU04401</t>
  </si>
  <si>
    <t>BU044021</t>
  </si>
  <si>
    <t>Pullover largo unicolor tela traslúcida terracota</t>
  </si>
  <si>
    <t>BU0440221</t>
  </si>
  <si>
    <t>BU0440232</t>
  </si>
  <si>
    <t>BU0440241</t>
  </si>
  <si>
    <t>Pullover largo unicolor tela traslúcida beige</t>
  </si>
  <si>
    <t>BU0440242</t>
  </si>
  <si>
    <t>BU0440243</t>
  </si>
  <si>
    <t>Pullover largo unicolor tela traslúcida blanco</t>
  </si>
  <si>
    <t>BU0440244</t>
  </si>
  <si>
    <t>BU0440245</t>
  </si>
  <si>
    <t>BU04402</t>
  </si>
  <si>
    <t>BU04403</t>
  </si>
  <si>
    <t>Maxi vestido de algodón cruzado con estampado floral vibrante</t>
  </si>
  <si>
    <t>BU04404</t>
  </si>
  <si>
    <t>Sombrero Visera de Verano</t>
  </si>
  <si>
    <t>Talla Ajustable</t>
  </si>
  <si>
    <t>BU04405</t>
  </si>
  <si>
    <t xml:space="preserve">Top corto de lazo delantero </t>
  </si>
  <si>
    <t>BU04406</t>
  </si>
  <si>
    <t>BU04407</t>
  </si>
  <si>
    <t>BU04408</t>
  </si>
  <si>
    <t>Vestidos /nuevo</t>
  </si>
  <si>
    <t>Vestido de espagueti con frente recortado y abertura</t>
  </si>
  <si>
    <t>BU04409</t>
  </si>
  <si>
    <t>BU04410</t>
  </si>
  <si>
    <t>Camisetas sin mangas de diseño crochet</t>
  </si>
  <si>
    <t>BU04411</t>
  </si>
  <si>
    <t>Vestido Largo con cinturón fruncido</t>
  </si>
  <si>
    <t>BU04412</t>
  </si>
  <si>
    <t>BU04413</t>
  </si>
  <si>
    <t>BU04414</t>
  </si>
  <si>
    <t>BU04415</t>
  </si>
  <si>
    <t>Vestido Camisola con estampado de flores y tirantes cruzados</t>
  </si>
  <si>
    <t>BU04416</t>
  </si>
  <si>
    <t>BU04417</t>
  </si>
  <si>
    <t>BU04418</t>
  </si>
  <si>
    <t>Vestido largo con cuello Healter</t>
  </si>
  <si>
    <t>BU04419</t>
  </si>
  <si>
    <t>BU04420</t>
  </si>
  <si>
    <t>BU04421</t>
  </si>
  <si>
    <t>BU04422</t>
  </si>
  <si>
    <t>BU04423</t>
  </si>
  <si>
    <t>Vestido crochet Playero espalda descubierta</t>
  </si>
  <si>
    <t>BU04424</t>
  </si>
  <si>
    <t>BU04425</t>
  </si>
  <si>
    <t>BU04426</t>
  </si>
  <si>
    <t>Vestido crochet playero de tirantes</t>
  </si>
  <si>
    <t>BU04427</t>
  </si>
  <si>
    <t>Falda larga de visillo con maxi estampado de flor</t>
  </si>
  <si>
    <t>BU04428</t>
  </si>
  <si>
    <t>Falda maxi blanca de moda</t>
  </si>
  <si>
    <t>BU04429</t>
  </si>
  <si>
    <t>Vestido corte A de bolsillos</t>
  </si>
  <si>
    <t>BU04430</t>
  </si>
  <si>
    <t>Bolso verano de rafia en bloque de color</t>
  </si>
  <si>
    <t>BU04431</t>
  </si>
  <si>
    <t>Conjunto falda y top</t>
  </si>
  <si>
    <t>BU04432</t>
  </si>
  <si>
    <t>Vestido crema ajustado de hombro torcido</t>
  </si>
  <si>
    <t>BU04433</t>
  </si>
  <si>
    <t>BU04434</t>
  </si>
  <si>
    <t>BU04435</t>
  </si>
  <si>
    <t>BU04436</t>
  </si>
  <si>
    <t>Falda Maxi plisada favorecedora</t>
  </si>
  <si>
    <t>BU04437</t>
  </si>
  <si>
    <t>Falda Midi Elegante Ajustada</t>
  </si>
  <si>
    <t>BU04439</t>
  </si>
  <si>
    <t>Vestido Maxi Negro Ajustado Elegante de hombro atado</t>
  </si>
  <si>
    <t>BU04440</t>
  </si>
  <si>
    <t>Vestido Blanco en Bordado Inglés</t>
  </si>
  <si>
    <t>BU04441</t>
  </si>
  <si>
    <t>BU04442</t>
  </si>
  <si>
    <t>Vestido de tirantes atados y espalda corrida</t>
  </si>
  <si>
    <t>BU04443</t>
  </si>
  <si>
    <t>vestidos /nuevo /hm</t>
  </si>
  <si>
    <t>Vestido lila cruzado H&amp;M</t>
  </si>
  <si>
    <t>BU04444</t>
  </si>
  <si>
    <t>Vestidos /Curvy /hm</t>
  </si>
  <si>
    <t>BU04445</t>
  </si>
  <si>
    <t>Vestido verde cruzado H&amp;M</t>
  </si>
  <si>
    <t>BU04446</t>
  </si>
  <si>
    <t xml:space="preserve">vestidos /nuevo </t>
  </si>
  <si>
    <t>BU04447</t>
  </si>
  <si>
    <t>Partes-de-abajo /nuevo /hm</t>
  </si>
  <si>
    <t>Pantalón fuccia ajustado de tela H&amp;M</t>
  </si>
  <si>
    <t>BU04448</t>
  </si>
  <si>
    <t>Pantalón Caqui de Pierna Ancha De Talle Alto y Bolsillos H&amp;M</t>
  </si>
  <si>
    <t>BU04449</t>
  </si>
  <si>
    <t>Jean de talle regular de bajo descosido y pierna ancha H&amp;M</t>
  </si>
  <si>
    <t>Talla 4_S</t>
  </si>
  <si>
    <t>BU04450</t>
  </si>
  <si>
    <t>Tops /nuevo /hm</t>
  </si>
  <si>
    <t>Top de punto y cuello elegante negro H&amp;M</t>
  </si>
  <si>
    <t>BU04451</t>
  </si>
  <si>
    <t>BU04452</t>
  </si>
  <si>
    <t>BU04453</t>
  </si>
  <si>
    <t>Top de punto y cuello elegante blanco H&amp;M</t>
  </si>
  <si>
    <t>BU04454</t>
  </si>
  <si>
    <t>BU04455</t>
  </si>
  <si>
    <t>Camisa Oversize en mezcla de lino H&amp;M</t>
  </si>
  <si>
    <t>BU04456</t>
  </si>
  <si>
    <t>Camisa Oversize blanca en mezcla de lino H&amp;M (encargo mónica)</t>
  </si>
  <si>
    <t>BU04457</t>
  </si>
  <si>
    <t>Camisa beige en mezcla de lino</t>
  </si>
  <si>
    <t>BU04458</t>
  </si>
  <si>
    <t>Cinto de piel (encargo mónica)</t>
  </si>
  <si>
    <t>BU04459</t>
  </si>
  <si>
    <t>Pantalón de pierna ancha con estampado de moda H&amp;M</t>
  </si>
  <si>
    <t>BU04460</t>
  </si>
  <si>
    <t>Sandalias Pull&amp;Bear (encargo mónica)</t>
  </si>
  <si>
    <t>BU04461</t>
  </si>
  <si>
    <t>Sandalias de hebilla Pull&amp;Bear</t>
  </si>
  <si>
    <t>BU04462Marlen</t>
  </si>
  <si>
    <t>Pullover blanco de algodón PRIMARK</t>
  </si>
  <si>
    <t>BU04463Marlen</t>
  </si>
  <si>
    <t>BU04464Marlen</t>
  </si>
  <si>
    <t>Pullover negro acanalado de algodón PRIMARK</t>
  </si>
  <si>
    <t>BU04465Marlen</t>
  </si>
  <si>
    <t>Pullover mariposa multicolor algodón PRIMARK</t>
  </si>
  <si>
    <t>BU04466Marlen</t>
  </si>
  <si>
    <t>Pullover carmelita letrero de mariposa algodón PRIMARK</t>
  </si>
  <si>
    <t>BU04467Marlen</t>
  </si>
  <si>
    <t>Pullover morado catrina algodón</t>
  </si>
  <si>
    <t>BU04468Marlen</t>
  </si>
  <si>
    <t>Pullover Celeste algodón PRIMARK</t>
  </si>
  <si>
    <t>BU04469Marlen</t>
  </si>
  <si>
    <t>Pullover Love floreado algodón</t>
  </si>
  <si>
    <t>BU04462</t>
  </si>
  <si>
    <t>Traje de baño clásico en bloque de color de talle alto</t>
  </si>
  <si>
    <t>BU04463</t>
  </si>
  <si>
    <t>BU04464</t>
  </si>
  <si>
    <t>BU04465</t>
  </si>
  <si>
    <t>BU04466</t>
  </si>
  <si>
    <t>Camisa verde oversize (encargo)</t>
  </si>
  <si>
    <t>BU04467</t>
  </si>
  <si>
    <t>Top corto verde de tirantes (encargo)</t>
  </si>
  <si>
    <t>BU04468</t>
  </si>
  <si>
    <t>Top corto verde sin tirantes</t>
  </si>
  <si>
    <t>BU04469</t>
  </si>
  <si>
    <t>Camisa verde oversize</t>
  </si>
  <si>
    <t>BU04470</t>
  </si>
  <si>
    <t>Short blanco elegante de talle alto</t>
  </si>
  <si>
    <t>BU04471</t>
  </si>
  <si>
    <t>Short blanco de talle alto (encargo)</t>
  </si>
  <si>
    <t>BU04472</t>
  </si>
  <si>
    <t>Traje de baño clásico en bloque de color de talle alto (encargo)</t>
  </si>
  <si>
    <t>BU04473</t>
  </si>
  <si>
    <t>Set de Splash y crema de Victoria Secret (Original) Bare Vainilla</t>
  </si>
  <si>
    <t>BU04474</t>
  </si>
  <si>
    <t>Set de Splash y crema de Victoria Secret (Original) Aqua Kiss</t>
  </si>
  <si>
    <t>BU04475</t>
  </si>
  <si>
    <t>Set de Splash y crema de Victoria Secret (Original) Love Spell</t>
  </si>
  <si>
    <t>Piezas 2</t>
  </si>
  <si>
    <t>BU04476</t>
  </si>
  <si>
    <t>Set de Splash y crema de Victoria´s Secret (Original) Amber Romance</t>
  </si>
  <si>
    <t>BU044761</t>
  </si>
  <si>
    <t xml:space="preserve"> Splash de Victoria Secret (Original) Strawberries &amp; Champagne</t>
  </si>
  <si>
    <t>Pieza 1</t>
  </si>
  <si>
    <t>BU04477</t>
  </si>
  <si>
    <t xml:space="preserve"> Crema de Victoria´s Secret (Original) Strawberries &amp; Champagne</t>
  </si>
  <si>
    <t>BU04478</t>
  </si>
  <si>
    <t>Splash de Victoria Secret (Original) Pomegranate &amp; Lotus</t>
  </si>
  <si>
    <t>Piezas 1</t>
  </si>
  <si>
    <t>BU044791</t>
  </si>
  <si>
    <t>Crema de Victoria´s Secret (Original) Pomegranate &amp; Lotus</t>
  </si>
  <si>
    <t>BU04479</t>
  </si>
  <si>
    <t>Set de Splash y crema de Victoria Secret (Original) Midnigth Bloom</t>
  </si>
  <si>
    <t>BU043461</t>
  </si>
  <si>
    <t>BU043471</t>
  </si>
  <si>
    <t>BU043481</t>
  </si>
  <si>
    <t>BU043482</t>
  </si>
  <si>
    <t>Chaleco Healter color crema y botones coral H&amp;M</t>
  </si>
  <si>
    <t>BU043483</t>
  </si>
  <si>
    <t>hombres /hm</t>
  </si>
  <si>
    <t>Shorts Caquis Beige H&amp;M</t>
  </si>
  <si>
    <t>Talla 32_M</t>
  </si>
  <si>
    <t>BU043484</t>
  </si>
  <si>
    <t>Shorts Caquis Azul Marino H&amp;M</t>
  </si>
  <si>
    <t>BU043485</t>
  </si>
  <si>
    <t>Shorts Caquis Gris H&amp;M</t>
  </si>
  <si>
    <t>BU043486</t>
  </si>
  <si>
    <t>Sandalias de plataforma y tacón grueso color beige F21</t>
  </si>
  <si>
    <t>BU043487</t>
  </si>
  <si>
    <t>Vestido Lila (encargo)</t>
  </si>
  <si>
    <t>envío fransuas 6 Septiembre</t>
  </si>
  <si>
    <t>BU043488</t>
  </si>
  <si>
    <t>Traje de baño sexy de una sola pieza negro</t>
  </si>
  <si>
    <t>BU043489</t>
  </si>
  <si>
    <t>BU043490</t>
  </si>
  <si>
    <t>BU043491</t>
  </si>
  <si>
    <t>Vestido blanco playero (encargo Yilien)</t>
  </si>
  <si>
    <t>BU043492</t>
  </si>
  <si>
    <t>Sandalias planas de moda de punta cuadrada</t>
  </si>
  <si>
    <t>BU043493</t>
  </si>
  <si>
    <t>Sandalias planas de moda de punta cuadrada (encargo)</t>
  </si>
  <si>
    <t>Talla 42</t>
  </si>
  <si>
    <t>BU043494</t>
  </si>
  <si>
    <t>Conjunto de Traje de Baño sexy color rojo</t>
  </si>
  <si>
    <t>BU043495</t>
  </si>
  <si>
    <t>Set de traje de baño Tankini con cordón lateral color negro</t>
  </si>
  <si>
    <t>BU043496</t>
  </si>
  <si>
    <t>Yoga Sexy Set Deportivo con abertura trasera color Albaricoque</t>
  </si>
  <si>
    <t>BU043497</t>
  </si>
  <si>
    <t>Vestido Privé Unicolor Sin Mangas ajustado con pliegues color negro</t>
  </si>
  <si>
    <t>BU043498</t>
  </si>
  <si>
    <t>BU043499</t>
  </si>
  <si>
    <t>BU043500</t>
  </si>
  <si>
    <t xml:space="preserve">Maxi Vestido de corte holgado de cintura con ajuste con estampado de plantas </t>
  </si>
  <si>
    <t>BU043501</t>
  </si>
  <si>
    <t>BU043502</t>
  </si>
  <si>
    <t>BU043503</t>
  </si>
  <si>
    <t>Vestido azul encargo Yilien</t>
  </si>
  <si>
    <t>BU043504</t>
  </si>
  <si>
    <t>Vestido semiformal de hombros torcidos color naranja</t>
  </si>
  <si>
    <t>BU043505</t>
  </si>
  <si>
    <t>Set de bikini estilo europeo blanco en tendencia</t>
  </si>
  <si>
    <t>BU043506</t>
  </si>
  <si>
    <t>BU043507</t>
  </si>
  <si>
    <t>BU043508</t>
  </si>
  <si>
    <t>Set de bikini de estilo europeo de moda color Oliva</t>
  </si>
  <si>
    <t>BU043509</t>
  </si>
  <si>
    <t>BU043510</t>
  </si>
  <si>
    <t>BU043511</t>
  </si>
  <si>
    <t>Sandalias de plataforma de rafia natural</t>
  </si>
  <si>
    <t>Envío mami Septiembre</t>
  </si>
  <si>
    <t>BU043512</t>
  </si>
  <si>
    <t>BU043513</t>
  </si>
  <si>
    <t>BU043514</t>
  </si>
  <si>
    <t>BU043515</t>
  </si>
  <si>
    <t>Sandalias espadriles de saco nude atada al tobillo</t>
  </si>
  <si>
    <t>BU043516</t>
  </si>
  <si>
    <t>BU043517</t>
  </si>
  <si>
    <t>BU043518</t>
  </si>
  <si>
    <t>Sandalias naranjas espadriles de saco atadas con hebilla al tobillo</t>
  </si>
  <si>
    <t>BU043519</t>
  </si>
  <si>
    <t>BU043520</t>
  </si>
  <si>
    <t>BU043521</t>
  </si>
  <si>
    <t>Sandalias doradas de tiras anchas para toda ocasión</t>
  </si>
  <si>
    <t>BU043522</t>
  </si>
  <si>
    <t>BU043523</t>
  </si>
  <si>
    <t>Talla  39</t>
  </si>
  <si>
    <t>BU043524</t>
  </si>
  <si>
    <t>BU043525</t>
  </si>
  <si>
    <t>Sandalias cruzadas de rafia natural y suela negra</t>
  </si>
  <si>
    <t>BU043526</t>
  </si>
  <si>
    <t>BU043527</t>
  </si>
  <si>
    <t>Sandalias estilo chunky de suela gruesa en contraste de color</t>
  </si>
  <si>
    <t>BU043528</t>
  </si>
  <si>
    <t>BU043529</t>
  </si>
  <si>
    <t>BU043530</t>
  </si>
  <si>
    <t>BU043531</t>
  </si>
  <si>
    <t>BU043532</t>
  </si>
  <si>
    <t>Sandalias planas con adornos de aro y tiras al tobillo</t>
  </si>
  <si>
    <t>BU043533</t>
  </si>
  <si>
    <t>BU043534</t>
  </si>
  <si>
    <t>Sandalias espadriles de cuña de correas transparentes</t>
  </si>
  <si>
    <t>BU043535</t>
  </si>
  <si>
    <t>BU043536</t>
  </si>
  <si>
    <t>BU043537</t>
  </si>
  <si>
    <t>BU043538</t>
  </si>
  <si>
    <t>BU043539</t>
  </si>
  <si>
    <t>BU043540</t>
  </si>
  <si>
    <t>Pantalones cortos con dobladillo</t>
  </si>
  <si>
    <t>BU043541</t>
  </si>
  <si>
    <t>BU043542</t>
  </si>
  <si>
    <t>BU043543</t>
  </si>
  <si>
    <t>Bolso elegante de estilo sillín</t>
  </si>
  <si>
    <t>BU043544</t>
  </si>
  <si>
    <t>Bolso de ratán de Moda para vacaciones tamaño mediano con diseño de listas negras</t>
  </si>
  <si>
    <t>Tamaño Mediano</t>
  </si>
  <si>
    <t>BU043545</t>
  </si>
  <si>
    <t>Bolso minimalista de moda cuadrado con solapa rojo</t>
  </si>
  <si>
    <t>BU043546</t>
  </si>
  <si>
    <t>Bolso de diario ligero y casual de gran capacidad elegante de cocodrilo</t>
  </si>
  <si>
    <t>Tamaño Grande</t>
  </si>
  <si>
    <t>BU043547</t>
  </si>
  <si>
    <t>Bolso de playa en bloque de color tejido en algodón</t>
  </si>
  <si>
    <t>BU043548</t>
  </si>
  <si>
    <t>Bolso tejido redondo de gran capacidad Beis</t>
  </si>
  <si>
    <t>BU043549</t>
  </si>
  <si>
    <t>Bolso tejido redondo de gran capacidad Carmelita</t>
  </si>
  <si>
    <t>BU043550</t>
  </si>
  <si>
    <t>Bolso tejido redondo de gran capacidad Ojo Turco</t>
  </si>
  <si>
    <t>BU043551</t>
  </si>
  <si>
    <t xml:space="preserve">Traje de baño en bloque de color </t>
  </si>
  <si>
    <t>BU043552</t>
  </si>
  <si>
    <t xml:space="preserve">Vestidos /nuevo </t>
  </si>
  <si>
    <t>Vestido elegante de crochet de de cuello profundo y espalda cruzada</t>
  </si>
  <si>
    <t>BU043553</t>
  </si>
  <si>
    <t>BU043554</t>
  </si>
  <si>
    <t>BU043555</t>
  </si>
  <si>
    <t>BU043556</t>
  </si>
  <si>
    <t>Blusa casual delazos delanteros color negro</t>
  </si>
  <si>
    <t>BU043557</t>
  </si>
  <si>
    <t>BU043558</t>
  </si>
  <si>
    <t>Bolso de ratán unicolor con ribete negro</t>
  </si>
  <si>
    <t>BU043559</t>
  </si>
  <si>
    <t>partes-de-abajo /nuevo</t>
  </si>
  <si>
    <t>Pantalones largros rayados de moda de gran comodidad</t>
  </si>
  <si>
    <t>BU043560</t>
  </si>
  <si>
    <t>BU043561</t>
  </si>
  <si>
    <t>BU043562</t>
  </si>
  <si>
    <t>BU043563</t>
  </si>
  <si>
    <t>Blusa casual corta de lazos color blanco</t>
  </si>
  <si>
    <t>BU043564</t>
  </si>
  <si>
    <t>BU043565</t>
  </si>
  <si>
    <t>BU043566</t>
  </si>
  <si>
    <t>Blusa de manga abombada de lazo delantero de estampado de leopardo</t>
  </si>
  <si>
    <t>BU043567</t>
  </si>
  <si>
    <t>BU043568</t>
  </si>
  <si>
    <t>Bolso cuadrado tejido de rafia Tamaño grande Color Carmelita</t>
  </si>
  <si>
    <t>BU043569</t>
  </si>
  <si>
    <t>Vestido elegante de línea larga color negro de hombro atado</t>
  </si>
  <si>
    <t>BU043570</t>
  </si>
  <si>
    <t>BU043571</t>
  </si>
  <si>
    <t>BU043572</t>
  </si>
  <si>
    <t>Vestido de espalda descubierta de color sólido y tirantes de espagueti</t>
  </si>
  <si>
    <t>BU043573</t>
  </si>
  <si>
    <t>BU043574</t>
  </si>
  <si>
    <t>BU043575</t>
  </si>
  <si>
    <t>Blusa corta de mangas abombadas de lazos delanteros color rojo</t>
  </si>
  <si>
    <t>BU043576</t>
  </si>
  <si>
    <t>BU043577</t>
  </si>
  <si>
    <t>Vestido rojo elegante de cuello healter de tela satinada</t>
  </si>
  <si>
    <t>BU043578</t>
  </si>
  <si>
    <t>Traje de baño de una sola pieza unicolor</t>
  </si>
  <si>
    <t>BU043579</t>
  </si>
  <si>
    <t>Conjunto de bikini de manga larga con nudo delantero color vainilla</t>
  </si>
  <si>
    <t>BU043580</t>
  </si>
  <si>
    <t>BU043581</t>
  </si>
  <si>
    <t>BU043582</t>
  </si>
  <si>
    <t>Monos /nuevo</t>
  </si>
  <si>
    <t>Mono Sailor con botón delantero y cinturón naranja quemada</t>
  </si>
  <si>
    <t>BU043583</t>
  </si>
  <si>
    <t>BU043584</t>
  </si>
  <si>
    <t>BU043585</t>
  </si>
  <si>
    <t>BU043586</t>
  </si>
  <si>
    <t>Vestido floral bohemio de línea A de un hombro</t>
  </si>
  <si>
    <t>BU043587</t>
  </si>
  <si>
    <t>BU043588</t>
  </si>
  <si>
    <t>BU043589</t>
  </si>
  <si>
    <t>Vestido Maija de estilo fresco de verano Blanco</t>
  </si>
  <si>
    <t>BU043590</t>
  </si>
  <si>
    <t>BU043591</t>
  </si>
  <si>
    <t>Vestido Maija de estilo fresco de verano Negro</t>
  </si>
  <si>
    <t>BU043592</t>
  </si>
  <si>
    <t>BU043593</t>
  </si>
  <si>
    <t>BU043594</t>
  </si>
  <si>
    <t>BU043595</t>
  </si>
  <si>
    <t>lencería /nuevo</t>
  </si>
  <si>
    <t>Sujetador de gran confort antideslizante sin tirantes color negro</t>
  </si>
  <si>
    <t>BU043596</t>
  </si>
  <si>
    <t>BU0435961</t>
  </si>
  <si>
    <t>BU043597</t>
  </si>
  <si>
    <t>BU043598</t>
  </si>
  <si>
    <t>Sujetador de gran confort antideslizante sin tirantes color crema</t>
  </si>
  <si>
    <t>BU043599</t>
  </si>
  <si>
    <t>BU043600</t>
  </si>
  <si>
    <t>BU043601</t>
  </si>
  <si>
    <t>BU043602</t>
  </si>
  <si>
    <t>Sujetador confortable talla grande Color crema</t>
  </si>
  <si>
    <t>BU043603</t>
  </si>
  <si>
    <t>Sujetador confortable talla grande Color burdeos</t>
  </si>
  <si>
    <t>BU043604</t>
  </si>
  <si>
    <t>Sujetador confortable talla grande Color negro</t>
  </si>
  <si>
    <t>BU043605</t>
  </si>
  <si>
    <t>Chaleco de traje estilo blazer color negro</t>
  </si>
  <si>
    <t>BU043606</t>
  </si>
  <si>
    <t>BU043607</t>
  </si>
  <si>
    <t>BU043608</t>
  </si>
  <si>
    <t>BU043609</t>
  </si>
  <si>
    <t>Chaleco de traje estilo blazer color blanco</t>
  </si>
  <si>
    <t>BU043610</t>
  </si>
  <si>
    <t>BU043611</t>
  </si>
  <si>
    <t>BU043612</t>
  </si>
  <si>
    <t>BU043613</t>
  </si>
  <si>
    <t>Pullover encargo greter</t>
  </si>
  <si>
    <t>BU043614</t>
  </si>
  <si>
    <t>BU043615</t>
  </si>
  <si>
    <t>Camiseta ajustada de rayas sin mangas</t>
  </si>
  <si>
    <t>BU043616</t>
  </si>
  <si>
    <t>BU043617</t>
  </si>
  <si>
    <t>Jeans de talle alto y pierna ancha color azul claro</t>
  </si>
  <si>
    <t>BU043618</t>
  </si>
  <si>
    <t>BU043619</t>
  </si>
  <si>
    <t>BU043620</t>
  </si>
  <si>
    <t>BU043621</t>
  </si>
  <si>
    <t>BU043622</t>
  </si>
  <si>
    <t>Sandalias cómodas para mujer con adorno de clip dorado</t>
  </si>
  <si>
    <t>BU043623</t>
  </si>
  <si>
    <t>BU043624</t>
  </si>
  <si>
    <t>Vestido maxi sólido con espalda ajustable</t>
  </si>
  <si>
    <t>BU043625</t>
  </si>
  <si>
    <t>BU043626</t>
  </si>
  <si>
    <t>BU043627</t>
  </si>
  <si>
    <t>Bolso de ratán de gran capacidad</t>
  </si>
  <si>
    <t>BU043628</t>
  </si>
  <si>
    <t>Vestido playero crochet con aberturas y espalda oblicua</t>
  </si>
  <si>
    <t>BU043629</t>
  </si>
  <si>
    <t>Vestido largo estampado azul de cuello healter</t>
  </si>
  <si>
    <t>BU043630</t>
  </si>
  <si>
    <t>Pantalón elegante de pierna ancha color crema</t>
  </si>
  <si>
    <t>BU043631</t>
  </si>
  <si>
    <t>BU043632</t>
  </si>
  <si>
    <t>BU043633</t>
  </si>
  <si>
    <t>BU043634</t>
  </si>
  <si>
    <t>Vestido camisola de ajustado romántico sexy</t>
  </si>
  <si>
    <t>BU043635</t>
  </si>
  <si>
    <t>Vestido largo blanco sin tirantes atado en la espalda</t>
  </si>
  <si>
    <t>BU043636</t>
  </si>
  <si>
    <t>Vestido elegante largo ajustado con hombro atado</t>
  </si>
  <si>
    <t>BU043637</t>
  </si>
  <si>
    <t>BU043638</t>
  </si>
  <si>
    <t>BU043639</t>
  </si>
  <si>
    <t>Vestido largo Sexy y elegante de espalda corrida en degradado de color</t>
  </si>
  <si>
    <t>BU043640</t>
  </si>
  <si>
    <t>BU043641</t>
  </si>
  <si>
    <t>BU043642</t>
  </si>
  <si>
    <t>Vestido camisola negro con abertura</t>
  </si>
  <si>
    <t>BU043643</t>
  </si>
  <si>
    <t>BU043644</t>
  </si>
  <si>
    <t>BU043645</t>
  </si>
  <si>
    <t>Conjunto de dos prendas elegante-casual color blanco</t>
  </si>
  <si>
    <t>BU043646</t>
  </si>
  <si>
    <t>BU043647</t>
  </si>
  <si>
    <t>Vestido de un hombro con abertura trasera color azul celeste</t>
  </si>
  <si>
    <t>BU043648</t>
  </si>
  <si>
    <t>BU043649</t>
  </si>
  <si>
    <t>BU043650</t>
  </si>
  <si>
    <t>Bolsa casual con diseño de gato y mariposa de tamaño mediano</t>
  </si>
  <si>
    <t>BU043651</t>
  </si>
  <si>
    <t>Bolso estilo Tote con estampado floral</t>
  </si>
  <si>
    <t>BU043652</t>
  </si>
  <si>
    <t>Gafas clásicas de metal ovaladas</t>
  </si>
  <si>
    <t>BU043653</t>
  </si>
  <si>
    <t>Vestido largo de algodón elegante con adorno delantero</t>
  </si>
  <si>
    <t>BU043654</t>
  </si>
  <si>
    <t>Vestido playero largo de mangas con escote V</t>
  </si>
  <si>
    <t>BU043655</t>
  </si>
  <si>
    <t>BU043656</t>
  </si>
  <si>
    <t>Gafas de moda estilo rectangular</t>
  </si>
  <si>
    <t>BU043657</t>
  </si>
  <si>
    <t>Traje de baño casual con ajustes laterales</t>
  </si>
  <si>
    <t>BU043658</t>
  </si>
  <si>
    <t>BU043659</t>
  </si>
  <si>
    <t>BU043660</t>
  </si>
  <si>
    <t>Camiseta de moda con estampado de cereza</t>
  </si>
  <si>
    <t>BU043661</t>
  </si>
  <si>
    <t>BU043662</t>
  </si>
  <si>
    <t>BU043663</t>
  </si>
  <si>
    <t>BU043664</t>
  </si>
  <si>
    <t>Traje de baño enterizo de espalda corrida estilo hilo</t>
  </si>
  <si>
    <t>BU043665</t>
  </si>
  <si>
    <t>BU043666</t>
  </si>
  <si>
    <t xml:space="preserve">Traje de baño enterizo elegante de un hombro talla grande </t>
  </si>
  <si>
    <t>BU043667</t>
  </si>
  <si>
    <t xml:space="preserve">Vestido de botones y listas amarillas con abertura </t>
  </si>
  <si>
    <t>BU043668</t>
  </si>
  <si>
    <t>BU043669</t>
  </si>
  <si>
    <t>Vestido largo casual de mangas talla grande</t>
  </si>
  <si>
    <t>BU043670</t>
  </si>
  <si>
    <t>Conjunto de dos prendas elegante-casual color Beis</t>
  </si>
  <si>
    <t>BU043671</t>
  </si>
  <si>
    <t>Pantalón alto de pierna ancha color caramelo</t>
  </si>
  <si>
    <t>BU043672</t>
  </si>
  <si>
    <t>BU043673</t>
  </si>
  <si>
    <t>BU043674</t>
  </si>
  <si>
    <t>talla XL</t>
  </si>
  <si>
    <t>BU043675</t>
  </si>
  <si>
    <t>Mono Sailor amarillo quemado con cinturón</t>
  </si>
  <si>
    <t>BU043676</t>
  </si>
  <si>
    <t>Sandalias de plataforma espadriles con correas doradas</t>
  </si>
  <si>
    <t>BU043677</t>
  </si>
  <si>
    <t>BU043678</t>
  </si>
  <si>
    <t>BU043679</t>
  </si>
  <si>
    <t>falda negra con abertura H&amp;M</t>
  </si>
  <si>
    <t>BU043681</t>
  </si>
  <si>
    <t>Blusa de manga elegante en vuelos con ribete en contraste Color Rosa</t>
  </si>
  <si>
    <t>BU043682</t>
  </si>
  <si>
    <t>BU043683</t>
  </si>
  <si>
    <t>BU043684</t>
  </si>
  <si>
    <t>Blusa de manga elegante en vuelos con ribete en contraste Color Blanco</t>
  </si>
  <si>
    <t>BU043685</t>
  </si>
  <si>
    <t>BU043686</t>
  </si>
  <si>
    <t>BU043687</t>
  </si>
  <si>
    <t>Blusa de manga elegante en vuelos con ribete en contraste Color Negro</t>
  </si>
  <si>
    <t>BU043688</t>
  </si>
  <si>
    <t>BU043689</t>
  </si>
  <si>
    <t>BU043690</t>
  </si>
  <si>
    <t>Blusa de manga elegante en vuelos con ribete en contraste Color Morado</t>
  </si>
  <si>
    <t>BU043691</t>
  </si>
  <si>
    <t>BU043692</t>
  </si>
  <si>
    <t>BU043693</t>
  </si>
  <si>
    <t>Conjunto de 3 piezas (camisa, top y shorts)</t>
  </si>
  <si>
    <t>YILHM0001</t>
  </si>
  <si>
    <t>Shorts cargo negro con dobladillo y bolsillos en tendencia Marca H&amp;M</t>
  </si>
  <si>
    <t>YILHM0002</t>
  </si>
  <si>
    <t>Shorts de algodón color beige de gran calidad Marca H&amp;M</t>
  </si>
  <si>
    <t>YILHM0003</t>
  </si>
  <si>
    <t>Shorts de felpa regular fit gris medio Marca H&amp;M</t>
  </si>
  <si>
    <t>YILHM0004</t>
  </si>
  <si>
    <t>Shorts cargo gris con dobladillo y bolsillos en tendencia Marca H&amp;M</t>
  </si>
  <si>
    <t>YILHM0005</t>
  </si>
  <si>
    <t>YILHM0006</t>
  </si>
  <si>
    <t>Shorts beich cargo regular fit de semi elastano con bolsillos traseros y a los lados Marca H&amp;M</t>
  </si>
  <si>
    <t>YILHM0007</t>
  </si>
  <si>
    <t>Shorts regular fit de algodón color verde army Marca H&amp;M</t>
  </si>
  <si>
    <t>YILHM0008</t>
  </si>
  <si>
    <t>YILHM0009</t>
  </si>
  <si>
    <t>YILHM0010</t>
  </si>
  <si>
    <t>Shorts de felpa color negro con bolsillos discretos Marca H&amp;M</t>
  </si>
  <si>
    <t>YILHM0014</t>
  </si>
  <si>
    <t>Pantalón elegante de pierna ancha gris de listas blancas Marca H&amp;M</t>
  </si>
  <si>
    <t>YILHM00152</t>
  </si>
  <si>
    <t>Pantalón cargo de pierna ancha Marca H&amp;M</t>
  </si>
  <si>
    <t>YILHM0015</t>
  </si>
  <si>
    <t>Jogger de pierna ancha color chantillí Marca H&amp;M</t>
  </si>
  <si>
    <t>YILHM0016</t>
  </si>
  <si>
    <t>Pullover Gris Oscuro jaspeado de algodón Marca H&amp;M</t>
  </si>
  <si>
    <t>YILHM0017</t>
  </si>
  <si>
    <t>Jogger de pierna ancha color negro Marca H&amp;M</t>
  </si>
  <si>
    <t>YILHM0018</t>
  </si>
  <si>
    <t>Jogger de pierna ancha color azul marino Marca H&amp;M</t>
  </si>
  <si>
    <t>YILHM00191</t>
  </si>
  <si>
    <t>Vestido playera oversize de listas Marca H&amp;M</t>
  </si>
  <si>
    <t>YILHM0020</t>
  </si>
  <si>
    <t>Pantalón de vestir de pierna ancha con tejido en contraste negro y blanco H&amp;M</t>
  </si>
  <si>
    <t>YILHM0023</t>
  </si>
  <si>
    <t>Vestido verde Maxi ajustado con corrugado de manga corta Marca H&amp;M</t>
  </si>
  <si>
    <t>YILHM0024</t>
  </si>
  <si>
    <t>Vestido negro elegante de línea A con manga media de tela rígida Marca H&amp;M</t>
  </si>
  <si>
    <t>YILHM0025</t>
  </si>
  <si>
    <t>Vestido negro elegante de línea A sin mangas de tela rígida Marca H&amp;M</t>
  </si>
  <si>
    <t>YILHM0026</t>
  </si>
  <si>
    <t>Vestido ajustado de tela brillante en tendencia Marca H&amp;M</t>
  </si>
  <si>
    <t>YILHM0029</t>
  </si>
  <si>
    <t>Vestido corto ajustado de tela acanalada café Marca H&amp;M</t>
  </si>
  <si>
    <t>YILHM0030</t>
  </si>
  <si>
    <t>Vestido estampado de manga larga con elástico en la cintura marca H&amp;M</t>
  </si>
  <si>
    <t>YILHM0031</t>
  </si>
  <si>
    <t>Blusa-Camisa Blanca de tela de viscosa Marca H&amp;M</t>
  </si>
  <si>
    <t>YILHM0032</t>
  </si>
  <si>
    <t>Blusa-Camisa elegante de listas de cuello V Marca H&amp;M</t>
  </si>
  <si>
    <t>YILHM0033</t>
  </si>
  <si>
    <t>YILHM0034</t>
  </si>
  <si>
    <t>Blusa Chantillí de estampado geométrico de manga globo y cuello V Marca H&amp;M</t>
  </si>
  <si>
    <t>YILHM0035</t>
  </si>
  <si>
    <t>Blusa-Camisa negra con estampado en silueta elegante de flores blancas Marca H&amp;M</t>
  </si>
  <si>
    <t>YILHM00355</t>
  </si>
  <si>
    <t>Blusa oversize estampada de crepé Marca H&amp;M</t>
  </si>
  <si>
    <t>YILHM0036</t>
  </si>
  <si>
    <t xml:space="preserve">Blusa negra con hombreras </t>
  </si>
  <si>
    <t>YILHM0037</t>
  </si>
  <si>
    <t>Tops /hm /hombres</t>
  </si>
  <si>
    <t>Camiseta de ajuste regular blanco Marca H&amp;M</t>
  </si>
  <si>
    <t>YILHM0038</t>
  </si>
  <si>
    <t>Pullover negro de algodón Marca H&amp;M</t>
  </si>
  <si>
    <t>YILHM0039</t>
  </si>
  <si>
    <t>Blusa negra de escote cuadrado Marca H&amp;M</t>
  </si>
  <si>
    <t>YILHM0040</t>
  </si>
  <si>
    <t>Top jersey de cuello tortuga y manga media Marca H&amp;M</t>
  </si>
  <si>
    <t>YILHM0041</t>
  </si>
  <si>
    <t>Top de manga media de escote cuadrado Marca H&amp;M</t>
  </si>
  <si>
    <t>YILHM0042</t>
  </si>
  <si>
    <t>Top jersey de listas de manga media Marca H&amp;M</t>
  </si>
  <si>
    <t>YILHM0043</t>
  </si>
  <si>
    <t>Pullover slim fit carmelita de algodón Marca H&amp;M</t>
  </si>
  <si>
    <t>YILHM0044</t>
  </si>
  <si>
    <t>Pullover oversize de listas cramelitas Marca H&amp;M</t>
  </si>
  <si>
    <t>YILHM0045</t>
  </si>
  <si>
    <t>YILHM0046</t>
  </si>
  <si>
    <t>Pullover oversize de listas negras con bordado en contraste Marca H&amp;M</t>
  </si>
  <si>
    <t>YILHM0047</t>
  </si>
  <si>
    <t>Pullover slim fit rosa acanalado Marca H&amp;M</t>
  </si>
  <si>
    <t>YILHM0048</t>
  </si>
  <si>
    <t>YILHM0049</t>
  </si>
  <si>
    <t>Camiseta ajustada rosa palo de mujer H&amp;M</t>
  </si>
  <si>
    <t>YILHM0050</t>
  </si>
  <si>
    <t>Top blanco de cuello lineal Marca H&amp;M</t>
  </si>
  <si>
    <t>YILHM0051</t>
  </si>
  <si>
    <t>Pullover gris oscuro jaspeado de algodón Marca H&amp;M</t>
  </si>
  <si>
    <t>YILHM0052</t>
  </si>
  <si>
    <t>Top de mangas largas de rayas de cuello tortuga Marca H&amp;M</t>
  </si>
  <si>
    <t>YILHM0053</t>
  </si>
  <si>
    <t>Top crema con detalle de costura Marca H&amp;M</t>
  </si>
  <si>
    <t>YILHM0054</t>
  </si>
  <si>
    <t>Top carmelita de mangas largas Marca H&amp;M</t>
  </si>
  <si>
    <t>YILHM0055</t>
  </si>
  <si>
    <t>Top de mangas traslúcido de cuello redondo Marca H&amp;M</t>
  </si>
  <si>
    <t>YILHM0056</t>
  </si>
  <si>
    <t>Top oversize con detalle de costura en espalda Marca H&amp;M</t>
  </si>
  <si>
    <t>YILHM0057</t>
  </si>
  <si>
    <t>Cardigan tejido color crema con botones Marca H&amp;M</t>
  </si>
  <si>
    <t>YILHM0058</t>
  </si>
  <si>
    <t>Suéter oversize de cuello redondo crema con listas finas negras Marca H&amp;M</t>
  </si>
  <si>
    <t>YILHM0059</t>
  </si>
  <si>
    <t>Suéter azul gris tejido de cuello V Marca H&amp;M</t>
  </si>
  <si>
    <t>YILHM0060</t>
  </si>
  <si>
    <t>Suéter oversize crema de franjas azul oscuro de cuello redondo Marca H&amp;M</t>
  </si>
  <si>
    <t>YILHM0061</t>
  </si>
  <si>
    <t>Suéter oversize crema de listas negras cuello de redondo Marca H&amp;M</t>
  </si>
  <si>
    <t>YILHM0062</t>
  </si>
  <si>
    <t>Suéter crema oversize de franjas beich Marca H&amp;M</t>
  </si>
  <si>
    <t>YILHM0063</t>
  </si>
  <si>
    <t>Suéter crema polar con letrero Marca H&amp;M</t>
  </si>
  <si>
    <t>YILHM0064</t>
  </si>
  <si>
    <t>Top de canalé de manga larga de cuello redondo slim fit color crema Marca H&amp;M</t>
  </si>
  <si>
    <t>YILHM0065</t>
  </si>
  <si>
    <t>Top de micro fibra de manga larga Marca H&amp;M</t>
  </si>
  <si>
    <t>YILHM0066</t>
  </si>
  <si>
    <t>YILHM0067</t>
  </si>
  <si>
    <t>Top de manga larga de escote cuadrado Marca H&amp;M</t>
  </si>
  <si>
    <t>YILHM0068</t>
  </si>
  <si>
    <t>Tanga brasileña color verde de algodón Marca H&amp;M</t>
  </si>
  <si>
    <t>YILHM0069</t>
  </si>
  <si>
    <t>Short de felpa con cordón ajustable negro Marca H&amp;M</t>
  </si>
  <si>
    <t>YILHM0070</t>
  </si>
  <si>
    <t>Short Blanco de talle alto y bolsillos de tela gruesa Marca H&amp;M</t>
  </si>
  <si>
    <t>YILHM0071</t>
  </si>
  <si>
    <t>Falda negra ajustada a media pierna Marca H&amp;M</t>
  </si>
  <si>
    <t>YILHM0072</t>
  </si>
  <si>
    <t>Blusa de manga corta de cuello V con estampado de listas Marca H&amp;M</t>
  </si>
  <si>
    <t>YILHM0073</t>
  </si>
  <si>
    <t>Leggings mallas negros no transparentables Marca H&amp;M</t>
  </si>
  <si>
    <t>YILHM0074</t>
  </si>
  <si>
    <t>Pullover polo blanco muscle fit de cuello con zíper Marca H&amp;M</t>
  </si>
  <si>
    <t>YILHM0075</t>
  </si>
  <si>
    <t>Pullover polo blanco de viscosa de cuello con botones Marca H&amp;M</t>
  </si>
  <si>
    <t>YILHM0076</t>
  </si>
  <si>
    <t>Pullover polo negro muscle fit de cuello con zíper Marca H&amp;M</t>
  </si>
  <si>
    <t>YILHM0077</t>
  </si>
  <si>
    <t xml:space="preserve">Pullover deportivo verde </t>
  </si>
  <si>
    <t>YILHM0078</t>
  </si>
  <si>
    <t>Pullover de hombre Loose Fit de gran calidad de cuello redondo color blanco vainilla Marca H&amp;M</t>
  </si>
  <si>
    <t>YILHM0079</t>
  </si>
  <si>
    <t>YILHM0080</t>
  </si>
  <si>
    <t>YILHM0081</t>
  </si>
  <si>
    <t>Pullover de hombre Loose Fit de gran calidad de cuello redondo gris oscuro Marca H&amp;M</t>
  </si>
  <si>
    <t>YILHM0082</t>
  </si>
  <si>
    <t>YILHM0083</t>
  </si>
  <si>
    <t>YILHM0084</t>
  </si>
  <si>
    <t>Pullover de hombre Loose Fit de gran calidad de cuello redondo gris claro Marca H&amp;M</t>
  </si>
  <si>
    <t>YILHM0085</t>
  </si>
  <si>
    <t>Pullover de hombre Loose Fit de gran calidad de cuello redondo beige Marca H&amp;M</t>
  </si>
  <si>
    <t>YILHM0086</t>
  </si>
  <si>
    <t>Pullover de hombre Loose Fit de gran calidad de cuello redondo azul Marca H&amp;M</t>
  </si>
  <si>
    <t>YILHM0087</t>
  </si>
  <si>
    <t>Pullover de hombre Loose Fit de gran calidad de cuello redondo verde Marca H&amp;M</t>
  </si>
  <si>
    <t>YILHM0088</t>
  </si>
  <si>
    <t>Pullover de hombre Loose Fit de gran calidad de cuello redondo negro Marca H&amp;M</t>
  </si>
  <si>
    <t>YILHM0089</t>
  </si>
  <si>
    <t>YILHM0090</t>
  </si>
  <si>
    <t>YILHM0091</t>
  </si>
  <si>
    <t>Pullover slim fit verde claro algodón Marca H&amp;M</t>
  </si>
  <si>
    <t>YILHM0092</t>
  </si>
  <si>
    <t>Pullover slim fit gris claro algodón Marca H&amp;M</t>
  </si>
  <si>
    <t>YILHM0093</t>
  </si>
  <si>
    <t xml:space="preserve">Camiseta de ajuste regular blanco </t>
  </si>
  <si>
    <t>YILHM0094</t>
  </si>
  <si>
    <t>Camiseta de ajuste regular negro H&amp;M</t>
  </si>
  <si>
    <t>YILHM0095</t>
  </si>
  <si>
    <t xml:space="preserve">Camiseta de ajuste regular negro </t>
  </si>
  <si>
    <t>YILHM0096</t>
  </si>
  <si>
    <t>YILHM0097</t>
  </si>
  <si>
    <t>Camisa de algodón estampada en color block Marca H&amp;M</t>
  </si>
  <si>
    <t>YILHM0098</t>
  </si>
  <si>
    <t>Camisa verde oliva de algodón con bolsillo Marca H&amp;M</t>
  </si>
  <si>
    <t>YILHM0099</t>
  </si>
  <si>
    <t>Camisa negra slim fit de cuello chino Marca H&amp;M</t>
  </si>
  <si>
    <t>YILHM0107</t>
  </si>
  <si>
    <t>Enguatada blanco vainilla de viscosa y cuello redondeado Marca H&amp;M</t>
  </si>
  <si>
    <t>YILHM0108</t>
  </si>
  <si>
    <t>Enguatada blanco vainilla de cuello tortuga Marca H&amp;M</t>
  </si>
  <si>
    <t>YILHM0109</t>
  </si>
  <si>
    <t>Enguatada azul navy de viscosa y cuello redondo Marca H&amp;M</t>
  </si>
  <si>
    <t>YILHM0110</t>
  </si>
  <si>
    <t>Enguatada azul navy de cuello tortuga con zíper de tejido de punto grueso de gran calidad Marca H&amp;M</t>
  </si>
  <si>
    <t>YILHM0111</t>
  </si>
  <si>
    <t>leo</t>
  </si>
  <si>
    <t>Enguatada gris jaspeado oscuro Marca H&amp;M</t>
  </si>
  <si>
    <t>YILHM0112</t>
  </si>
  <si>
    <t>Enguatada jersey negra de cuello tortuga Marca H&amp;M</t>
  </si>
  <si>
    <t>YILHM0113</t>
  </si>
  <si>
    <t>Dieguito</t>
  </si>
  <si>
    <t xml:space="preserve">Niños abrigos   </t>
  </si>
  <si>
    <t>YILHM0114</t>
  </si>
  <si>
    <t xml:space="preserve"> Partes-de-abajo /hm /hombres</t>
  </si>
  <si>
    <t>Jogger negro de estilo cargo Marca H&amp;M</t>
  </si>
  <si>
    <t>YILHM0115</t>
  </si>
  <si>
    <t>Jogger regular fit gris medio Marca H&amp;M</t>
  </si>
  <si>
    <t>YILHM0116</t>
  </si>
  <si>
    <t>Jogger slim fit gris oscuro cargo dry fit Marca H&amp;M</t>
  </si>
  <si>
    <t>YILHM0117</t>
  </si>
  <si>
    <t>Jogger regular fit negro con bolsillos discretos Marca H&amp;M</t>
  </si>
  <si>
    <t>YILHM0118</t>
  </si>
  <si>
    <t>Jogger gris jaspeado con bolsillos discretos Marca H&amp;M</t>
  </si>
  <si>
    <t>YILHM0119</t>
  </si>
  <si>
    <t>Talla Extra Grande</t>
  </si>
  <si>
    <t>YILHM0136</t>
  </si>
  <si>
    <t>Ili</t>
  </si>
  <si>
    <t>Ajustadores Bralette de encaje Blanco Marca H&amp;M</t>
  </si>
  <si>
    <t>YILHM0137</t>
  </si>
  <si>
    <t>ili</t>
  </si>
  <si>
    <t>Ajustadores Bralette de encaje Negro Marca H&amp;M</t>
  </si>
  <si>
    <t>YILHM0138</t>
  </si>
  <si>
    <t>Calzoncillos Boxers de algodón color negro Marca H&amp;M</t>
  </si>
  <si>
    <t>YILHM0139</t>
  </si>
  <si>
    <t>Calzoncillos Boxers de algodón colores variados</t>
  </si>
  <si>
    <t>YILHM0140</t>
  </si>
  <si>
    <t>lencería  /nuevo</t>
  </si>
  <si>
    <t>Calcetines bajos de algodón color beich</t>
  </si>
  <si>
    <t>YILHM0141</t>
  </si>
  <si>
    <t>Calcetines bajos de algodón color blanco</t>
  </si>
  <si>
    <t>YILHM0142</t>
  </si>
  <si>
    <t>Tanga brasileña color blanco de algodón Marca H&amp;M</t>
  </si>
  <si>
    <t>YILHM0143</t>
  </si>
  <si>
    <t>Tanga brasileña color crema de algodón Marca H&amp;M</t>
  </si>
  <si>
    <t>YILHM0144</t>
  </si>
  <si>
    <t>Tanga brasileña color negro de algodón Marca H&amp;M</t>
  </si>
  <si>
    <t>YILHM0145</t>
  </si>
  <si>
    <t>lencería /nuevo /hombres</t>
  </si>
  <si>
    <t>Calcetines altos de moda blancos con listas verdes</t>
  </si>
  <si>
    <t>YILHM0146</t>
  </si>
  <si>
    <t>Calcetines altos de moda negro PULFICTION</t>
  </si>
  <si>
    <t>YILHM0147</t>
  </si>
  <si>
    <t>Calcetines altos de moda negro COCA COLA</t>
  </si>
  <si>
    <t>YILHM0148</t>
  </si>
  <si>
    <t>tops /hm</t>
  </si>
  <si>
    <t>Top jersey de cuello tortuga color gris Marca H&amp;M</t>
  </si>
  <si>
    <t>HAW0006</t>
  </si>
  <si>
    <t>Halloween</t>
  </si>
  <si>
    <t>Pantalón flare de vinyl rojo semi acampanado</t>
  </si>
  <si>
    <t>HAW0007</t>
  </si>
  <si>
    <t>HAW0008</t>
  </si>
  <si>
    <t>Falda básica de tutú con lazo delantero blanca</t>
  </si>
  <si>
    <t>HAW0009</t>
  </si>
  <si>
    <t>Conjunto de vinyl tornasol de top y mini falda</t>
  </si>
  <si>
    <t>HAW0011</t>
  </si>
  <si>
    <t>HAW0012</t>
  </si>
  <si>
    <t>Mono bandeau de vinyl</t>
  </si>
  <si>
    <t>HAW0014</t>
  </si>
  <si>
    <t>HAW0015</t>
  </si>
  <si>
    <t>HAW0016</t>
  </si>
  <si>
    <t>Falda básica de tutú negra</t>
  </si>
  <si>
    <t>HAW0017</t>
  </si>
  <si>
    <t>Medias pantys con detalle de pierdas brillantes</t>
  </si>
  <si>
    <t>HAW0018</t>
  </si>
  <si>
    <t>Conjunto disfraz de Monja</t>
  </si>
  <si>
    <t>HAW0020</t>
  </si>
  <si>
    <t xml:space="preserve">Guantes negros traslúcidos </t>
  </si>
  <si>
    <t>HAW0022</t>
  </si>
  <si>
    <t>Gorro invisible para colocación de pelucas</t>
  </si>
  <si>
    <t>HAW0023</t>
  </si>
  <si>
    <t>Conjunto de disfraz de policía (mono y cinturones)</t>
  </si>
  <si>
    <t>HAW0024</t>
  </si>
  <si>
    <t>Velo de novia para disfraz</t>
  </si>
  <si>
    <t>HAW0025</t>
  </si>
  <si>
    <t>Guantes largos blancos traslúcidos</t>
  </si>
  <si>
    <t>HAW0026</t>
  </si>
  <si>
    <t>Máscara de El Grito</t>
  </si>
  <si>
    <t>HAW0027</t>
  </si>
  <si>
    <t>Percheros para Pelucas</t>
  </si>
  <si>
    <t>HAW0028</t>
  </si>
  <si>
    <t>Vestido blanco para conformar disfraz</t>
  </si>
  <si>
    <t>HAW0029</t>
  </si>
  <si>
    <t>HAW0030</t>
  </si>
  <si>
    <t>HAW0031</t>
  </si>
  <si>
    <t>Mono disfraz Mortal Kombat (mono y cuerdas rojas)</t>
  </si>
  <si>
    <t>HAW0032</t>
  </si>
  <si>
    <t>Conjunto de disfraz con top, tirantes, diadema y shorts</t>
  </si>
  <si>
    <t>HAW0033</t>
  </si>
  <si>
    <t>HAW0034</t>
  </si>
  <si>
    <t>HAW0035</t>
  </si>
  <si>
    <t>Set de 4 piezas de disfraz (body, guantes, mallas, Máscara)</t>
  </si>
  <si>
    <t>Talla Pendiente</t>
  </si>
  <si>
    <t>HAW0036</t>
  </si>
  <si>
    <t>Máscara de Bathman</t>
  </si>
  <si>
    <t>HAW0038</t>
  </si>
  <si>
    <t>Máscara de bruja realista con peluca incluída</t>
  </si>
  <si>
    <t>HAW0039</t>
  </si>
  <si>
    <t>Careta Anonimous</t>
  </si>
  <si>
    <t>HAW0044</t>
  </si>
  <si>
    <t>Globo momia</t>
  </si>
  <si>
    <t>HAW0045</t>
  </si>
  <si>
    <t>Capucha de personaje misterioso adaptable</t>
  </si>
  <si>
    <t>Talla Adulto</t>
  </si>
  <si>
    <t>HAW0047</t>
  </si>
  <si>
    <t>Diadema minimalista de diablito</t>
  </si>
  <si>
    <t>Color Rojo</t>
  </si>
  <si>
    <t>HAW0048</t>
  </si>
  <si>
    <t>Adorno para kiosco</t>
  </si>
  <si>
    <t>Talla pequeño</t>
  </si>
  <si>
    <t>HAW0051</t>
  </si>
  <si>
    <t>Vestido de Traje de conejita con diadema de orejas</t>
  </si>
  <si>
    <t>HAW0052</t>
  </si>
  <si>
    <t>HAW0055</t>
  </si>
  <si>
    <t>Set de 3 piezas de disfraz bunny (body, medias y diadema)</t>
  </si>
  <si>
    <t>HAW0056</t>
  </si>
  <si>
    <t>HAW0057</t>
  </si>
  <si>
    <t>Disfraz de diosa egipcia con mangas doradas y banda para la cintura</t>
  </si>
  <si>
    <t>HAW0058</t>
  </si>
  <si>
    <t>HAW0061</t>
  </si>
  <si>
    <t>Conjunto de disfraz de 4 piezas (top, falda, medias y diadema)</t>
  </si>
  <si>
    <t>HAW0062</t>
  </si>
  <si>
    <t>HAW0068</t>
  </si>
  <si>
    <t>Máscara de bruja con peluca</t>
  </si>
  <si>
    <t>HAW0070</t>
  </si>
  <si>
    <t>Disfraz de Diosa griega color negro (vestido y cinturón)</t>
  </si>
  <si>
    <t>HAW0071</t>
  </si>
  <si>
    <t>HAW0073</t>
  </si>
  <si>
    <t>Mascara careta aterrradora</t>
  </si>
  <si>
    <t>HAW0074</t>
  </si>
  <si>
    <t>Máscara completa de payaso del terror con mini sombrero integrado</t>
  </si>
  <si>
    <t>Tamaño Unitalla</t>
  </si>
  <si>
    <t>HAW0075</t>
  </si>
  <si>
    <t>Máscara completa de esqueleto endemoniado con peluca</t>
  </si>
  <si>
    <t>HAW0076</t>
  </si>
  <si>
    <t>Antifaz de conejo sexy</t>
  </si>
  <si>
    <t>HAW0077</t>
  </si>
  <si>
    <t>Máscara de calabaza aterradora</t>
  </si>
  <si>
    <t>HAW0078</t>
  </si>
  <si>
    <t>Máscara completa de Lucifer</t>
  </si>
  <si>
    <t>HAW0069</t>
  </si>
  <si>
    <t>HAW0046</t>
  </si>
  <si>
    <t>Color Negro</t>
  </si>
  <si>
    <t>HAW0041</t>
  </si>
  <si>
    <t>Juego de 3 piezas para disfraz de abejita</t>
  </si>
  <si>
    <t>Talla Pequeña</t>
  </si>
  <si>
    <t>HAW0042</t>
  </si>
  <si>
    <t>Juego de 4 piezas para disfraz de abejita</t>
  </si>
  <si>
    <t>HAW0079</t>
  </si>
  <si>
    <t>Set de Unicornio 2 piezas para niños</t>
  </si>
  <si>
    <t>HAW0080</t>
  </si>
  <si>
    <t>Máscaras led verde de baterías</t>
  </si>
  <si>
    <t>HAW0081</t>
  </si>
  <si>
    <t>Careta antigas</t>
  </si>
  <si>
    <t>HAW0082</t>
  </si>
  <si>
    <t>Diadema y orejas de elfo</t>
  </si>
  <si>
    <t>HAW0083</t>
  </si>
  <si>
    <t>Diadema de calabaza</t>
  </si>
  <si>
    <t>HAW0084</t>
  </si>
  <si>
    <t>Máscara completa de payaso</t>
  </si>
  <si>
    <t>HAW0085</t>
  </si>
  <si>
    <t>Máscara de oso oscuro</t>
  </si>
  <si>
    <t>HAW0086</t>
  </si>
  <si>
    <t>Disfraz de Barbie para niñas</t>
  </si>
  <si>
    <t>Talla 4_años</t>
  </si>
  <si>
    <t>HAW0087</t>
  </si>
  <si>
    <t>Set de accesorios de monja 2 piezas</t>
  </si>
  <si>
    <t>HAW0088</t>
  </si>
  <si>
    <t>Cubre bocas de caravela</t>
  </si>
  <si>
    <t>HAW0089</t>
  </si>
  <si>
    <t>Vestido poncho de esqueleto</t>
  </si>
  <si>
    <t>HAW0090</t>
  </si>
  <si>
    <t>Talla Mediana</t>
  </si>
  <si>
    <t>HAW0091</t>
  </si>
  <si>
    <t>Vestido rojo de vinyl</t>
  </si>
  <si>
    <t>HAW0092</t>
  </si>
  <si>
    <t>Capa roja para disfraz</t>
  </si>
  <si>
    <t>HAW0093</t>
  </si>
  <si>
    <t>Disfraz de angel con cinturón y diadema</t>
  </si>
  <si>
    <t>HAW0094</t>
  </si>
  <si>
    <t>Talla Chica</t>
  </si>
  <si>
    <t>HAW0095</t>
  </si>
  <si>
    <t>Peluca de Cruella De Vill</t>
  </si>
  <si>
    <t>HAW0096</t>
  </si>
  <si>
    <t>Tatuajes faciales de catrina</t>
  </si>
  <si>
    <t>HAW0097</t>
  </si>
  <si>
    <t>Barbas blancas</t>
  </si>
  <si>
    <t>HAW0098</t>
  </si>
  <si>
    <t>Barbas negras</t>
  </si>
  <si>
    <t>HAW0099</t>
  </si>
  <si>
    <t>Bigotes</t>
  </si>
  <si>
    <t>HAW0100</t>
  </si>
  <si>
    <t xml:space="preserve">Flequillo negro </t>
  </si>
  <si>
    <t>HAW0101</t>
  </si>
  <si>
    <t>Aretes de fantasmitas</t>
  </si>
  <si>
    <t>HAW0102</t>
  </si>
  <si>
    <t>Aretes de Lunitas</t>
  </si>
  <si>
    <t>HAW0103</t>
  </si>
  <si>
    <t>Aretes de murciélagos</t>
  </si>
  <si>
    <t>HAW0104</t>
  </si>
  <si>
    <t>Pullover negro de Calabaza</t>
  </si>
  <si>
    <t>HAW0105</t>
  </si>
  <si>
    <t>Pullover rojo de gatico</t>
  </si>
  <si>
    <t>HAW0106</t>
  </si>
  <si>
    <t>HAW0107</t>
  </si>
  <si>
    <t>Pullover naranja calabaza</t>
  </si>
  <si>
    <t>HAW0108</t>
  </si>
  <si>
    <t>HAW0037</t>
  </si>
  <si>
    <t>Sombrero grande de bruja</t>
  </si>
  <si>
    <t>HAW0013</t>
  </si>
  <si>
    <t>Peluca Larga Lila</t>
  </si>
  <si>
    <t>HAW0021</t>
  </si>
  <si>
    <t>Mono disfraz de montadora de motocicleta</t>
  </si>
  <si>
    <t>HAW0019</t>
  </si>
  <si>
    <t>Gafas de carrera para disfraz de motorista</t>
  </si>
  <si>
    <t>HAW0010</t>
  </si>
  <si>
    <t>Set sexy disfraz de zebra set de 2 piezas</t>
  </si>
  <si>
    <t>HAW0066</t>
  </si>
  <si>
    <t>Antifaz bordado</t>
  </si>
  <si>
    <t>HAW0067</t>
  </si>
  <si>
    <t>Cuchillo bromista</t>
  </si>
  <si>
    <t>HAW0072</t>
  </si>
  <si>
    <t xml:space="preserve">Set de 3 piezas de alas de mariposa </t>
  </si>
  <si>
    <t>HAW0003</t>
  </si>
  <si>
    <t>HAW0004</t>
  </si>
  <si>
    <t>Botas negras de pierna alta</t>
  </si>
  <si>
    <t>HAW0005</t>
  </si>
  <si>
    <t>HAW0059</t>
  </si>
  <si>
    <t>HAW0060</t>
  </si>
  <si>
    <t>HAW0049</t>
  </si>
  <si>
    <t>Diadema rosas rojas</t>
  </si>
  <si>
    <t>HAW0050</t>
  </si>
  <si>
    <t>Diadema rosas blancas</t>
  </si>
  <si>
    <t>HAW0043</t>
  </si>
  <si>
    <t>Set de Alas y diadema de hada o mariposa para adulto</t>
  </si>
  <si>
    <t>HAW0001</t>
  </si>
  <si>
    <t>Diadema de Angel Negro</t>
  </si>
  <si>
    <t>HAW0002</t>
  </si>
  <si>
    <t>Botas punta cuadrada</t>
  </si>
  <si>
    <t>HAW0063</t>
  </si>
  <si>
    <t>Máscara completa de hombre araña</t>
  </si>
  <si>
    <t>Talla Unitallas</t>
  </si>
  <si>
    <t>HAW0064</t>
  </si>
  <si>
    <t>Máscara completa de Miles Morales</t>
  </si>
  <si>
    <t>HAW0065</t>
  </si>
  <si>
    <t>Sompreros de bruja</t>
  </si>
  <si>
    <t>HAW0053</t>
  </si>
  <si>
    <t>HAW0054</t>
  </si>
  <si>
    <t>HAW0040</t>
  </si>
  <si>
    <t>Peluca negra con flequillo</t>
  </si>
  <si>
    <t>YILHM0149</t>
  </si>
  <si>
    <t>Camiseta estampada de ajuste grande negro H&amp;M</t>
  </si>
  <si>
    <t xml:space="preserve">H&amp;M Yilian </t>
  </si>
  <si>
    <t>YILHM0150</t>
  </si>
  <si>
    <t>Pantalones cortos deportivos de hombre negro H&amp;M</t>
  </si>
  <si>
    <t>YILHM0151</t>
  </si>
  <si>
    <t>Pantalones cortos de hombre gris (Baby)</t>
  </si>
  <si>
    <t>YILHM0152</t>
  </si>
  <si>
    <t>Pantalones cortos de hombre negro H&amp;M</t>
  </si>
  <si>
    <t>YILHM0153</t>
  </si>
  <si>
    <t>Pantalones cortos de hombre verde bosque (Baby)</t>
  </si>
  <si>
    <t>YILHM0154</t>
  </si>
  <si>
    <t>Pantalones cortos deportivos negros de mujer H&amp;M</t>
  </si>
  <si>
    <t>YILHM0155</t>
  </si>
  <si>
    <t>Camiseta de ajuste perfecto de hombre H&amp;M</t>
  </si>
  <si>
    <t>YILHM0156</t>
  </si>
  <si>
    <t>Jeans Bajos y anchos Baggy Azul vaquero H&amp;M</t>
  </si>
  <si>
    <t>Talla 12</t>
  </si>
  <si>
    <t>YILHM0157</t>
  </si>
  <si>
    <t>Camiseta deportiva sin mangas de hombre H&amp;M</t>
  </si>
  <si>
    <t>YILHM0158</t>
  </si>
  <si>
    <t>Blusa negra de algodón con detalle de lazo H&amp;M</t>
  </si>
  <si>
    <t>YILHM0159</t>
  </si>
  <si>
    <t>Pantalones deportivos holgados negro H&amp;M</t>
  </si>
  <si>
    <t>YILHM0160</t>
  </si>
  <si>
    <t>Top de cuello alto negro H&amp;M</t>
  </si>
  <si>
    <t>YILHM0161</t>
  </si>
  <si>
    <t>Suéter de punto fino ajustado azul marino H&amp;M</t>
  </si>
  <si>
    <t>YILHM0162</t>
  </si>
  <si>
    <t>Camiseta de jersey escote cuadrado de manga larga H&amp;M</t>
  </si>
  <si>
    <t>YILHM0163</t>
  </si>
  <si>
    <t>Jeans negros holgados de hombre H&amp;M</t>
  </si>
  <si>
    <t>Talla 28-32</t>
  </si>
  <si>
    <t>YILHM0164</t>
  </si>
  <si>
    <t>Jeans altos corte recto de mujer H&amp;M</t>
  </si>
  <si>
    <t xml:space="preserve">Talla 36 </t>
  </si>
  <si>
    <t>YILHM0165</t>
  </si>
  <si>
    <t>Jeans regulares de hombre H&amp;M</t>
  </si>
  <si>
    <t>Talla 30-32</t>
  </si>
  <si>
    <t>YILHM0166</t>
  </si>
  <si>
    <t>Camiseta ajustada negro H&amp;M</t>
  </si>
  <si>
    <t>YILHM0167</t>
  </si>
  <si>
    <t>Camiseta ajustada gris claro H&amp;M</t>
  </si>
  <si>
    <t>YILHM0168</t>
  </si>
  <si>
    <t>Jeans holgados gris oscuro de hombre H&amp;M</t>
  </si>
  <si>
    <t>Talla 29-32</t>
  </si>
  <si>
    <t>YILHM0169</t>
  </si>
  <si>
    <t>Camiseta negra de algodón de mujer H&amp;M</t>
  </si>
  <si>
    <t>YILHM0170</t>
  </si>
  <si>
    <t>Jersey corto de punto fino de mujer H&amp;M</t>
  </si>
  <si>
    <t>YILHM0171</t>
  </si>
  <si>
    <t>Jersey de cuello alto rayas negras H&amp;M</t>
  </si>
  <si>
    <t>YILHM0172</t>
  </si>
  <si>
    <t>Top borgoña de mezcla modal acanalado H&amp;M</t>
  </si>
  <si>
    <t>YILHM0173</t>
  </si>
  <si>
    <t>Camiseta blanca de algodón de mujer H&amp;M</t>
  </si>
  <si>
    <t>YILHM0174</t>
  </si>
  <si>
    <t>YILHM0175</t>
  </si>
  <si>
    <t>YILHM0176</t>
  </si>
  <si>
    <t>Conjunto de dos tops blanco y negro H&amp;M</t>
  </si>
  <si>
    <t>YILHM0177</t>
  </si>
  <si>
    <t>YILHM0178</t>
  </si>
  <si>
    <t>Camiseta negra de jersey ajuste regular H&amp;M</t>
  </si>
  <si>
    <t>YILHM0179</t>
  </si>
  <si>
    <t>Pantalones de sarga de algodón ajustado de hombre negro (baby)</t>
  </si>
  <si>
    <t>YILHM0180</t>
  </si>
  <si>
    <t>Camiseta ajustada borgoña de mujer H&amp;M</t>
  </si>
  <si>
    <t>YILHM0181</t>
  </si>
  <si>
    <t>Camiseta de ajuste perfecto de hombre Borgoña H&amp;M</t>
  </si>
  <si>
    <t>YILHM0182</t>
  </si>
  <si>
    <t>Pantalones negros deportivos de nylon de hombre H&amp;M</t>
  </si>
  <si>
    <t>YILHM0183</t>
  </si>
  <si>
    <t>YILHM0184</t>
  </si>
  <si>
    <t>Vestido ceñido de punto canalé negro H&amp;M</t>
  </si>
  <si>
    <t>YILHM0185</t>
  </si>
  <si>
    <t>Camiseta jersey escote cuadrado de manga larga turquesa oscuro H&amp;M</t>
  </si>
  <si>
    <t>YILHM0186</t>
  </si>
  <si>
    <t>Sudadera con cremallera gris claro H&amp;M</t>
  </si>
  <si>
    <t>YILHM0187</t>
  </si>
  <si>
    <t>Camiseta ajustada verde caqui osuro H&amp;M</t>
  </si>
  <si>
    <t>YILHM0188</t>
  </si>
  <si>
    <t>Pantalones de sarga con pernera de darril negro H&amp;M</t>
  </si>
  <si>
    <t xml:space="preserve">Talla 4 </t>
  </si>
  <si>
    <t>YILHM0189</t>
  </si>
  <si>
    <t>Top con cuello redondo negro H&amp;M</t>
  </si>
  <si>
    <t>YILHM0190</t>
  </si>
  <si>
    <t>Top con cuello redondo Marrón oscuro H&amp;M</t>
  </si>
  <si>
    <t>YILHM0191</t>
  </si>
  <si>
    <t>Camiseta canalé de mujer blanco H&amp;M</t>
  </si>
  <si>
    <t>YILHM0192</t>
  </si>
  <si>
    <t>Camisa de satén azul marino H&amp;M</t>
  </si>
  <si>
    <t>YILHM0193</t>
  </si>
  <si>
    <t>Camisa de satén negro H&amp;M</t>
  </si>
  <si>
    <t>YILHM0194</t>
  </si>
  <si>
    <t>Pantalón gris deportivo de nylon de hombre H&amp;M</t>
  </si>
  <si>
    <t>YILHM0195</t>
  </si>
  <si>
    <t>Top de jersey acanalado blanco H&amp;M</t>
  </si>
  <si>
    <t>YILHM0196</t>
  </si>
  <si>
    <t>Camiseta blanca estampada de ajuste holgado de hombre H&amp;M</t>
  </si>
  <si>
    <t>YILHM0197</t>
  </si>
  <si>
    <t>Pantalones cargo de lona verde caqui oscuro H&amp;M</t>
  </si>
  <si>
    <t>Talla 8</t>
  </si>
  <si>
    <t>YILHM0198</t>
  </si>
  <si>
    <t>Camiseta de ajuste regular gris oscuro H&amp;M</t>
  </si>
  <si>
    <t>YILHM0199</t>
  </si>
  <si>
    <t>Sudadera negra oversize de hombre H&amp;M</t>
  </si>
  <si>
    <t>YILHM0200</t>
  </si>
  <si>
    <t>Camiseta blanca holgada de hombre con estampado vincent H&amp;M</t>
  </si>
  <si>
    <t>YILHM0201</t>
  </si>
  <si>
    <t>Top de cuello alto de microfibra gris oscuro H&amp;M</t>
  </si>
  <si>
    <t>YILHM0202</t>
  </si>
  <si>
    <t>Suéter de ajuste perfecto negro H&amp;M</t>
  </si>
  <si>
    <t>YILHM0203</t>
  </si>
  <si>
    <t>Pantalones de sarga de algodón beige H&amp;M</t>
  </si>
  <si>
    <t>Talla 32x32</t>
  </si>
  <si>
    <t>YILHM0204</t>
  </si>
  <si>
    <t>Pantalones deportivos cargo verde caqui H&amp;M</t>
  </si>
  <si>
    <t>YILHM0205</t>
  </si>
  <si>
    <t>Pantalones deportivos cargo verde caqui (baby)</t>
  </si>
  <si>
    <t>YILHM0206</t>
  </si>
  <si>
    <t>Suéter de ajuste perfecto gris H&amp;M</t>
  </si>
  <si>
    <t>YILHM0207</t>
  </si>
  <si>
    <t>Polo de algodón azul oscuro H&amp;M</t>
  </si>
  <si>
    <t>YILHM0208</t>
  </si>
  <si>
    <t>Conjunto de dos tops Blanco y Marrón oscuro H&amp;M</t>
  </si>
  <si>
    <t>YILHM0209</t>
  </si>
  <si>
    <t>YILHM0210</t>
  </si>
  <si>
    <t>YILHM0211</t>
  </si>
  <si>
    <t>Pantalones jogger cómodos negro H&amp;M</t>
  </si>
  <si>
    <t>YILHM0212</t>
  </si>
  <si>
    <t>Pantalones deportivos Borgoña H&amp;M</t>
  </si>
  <si>
    <t>YILHM0213</t>
  </si>
  <si>
    <t>Camiseta de algodón negro de hombre H&amp;M</t>
  </si>
  <si>
    <t>YILHM0214</t>
  </si>
  <si>
    <t>Camiseta de jersey escote cuadrado de manga larga marrón H&amp;M</t>
  </si>
  <si>
    <t>YILHM0215</t>
  </si>
  <si>
    <t>Top de hombros descubiertos H&amp;M</t>
  </si>
  <si>
    <t>YILHM0216</t>
  </si>
  <si>
    <t>YILHM0217</t>
  </si>
  <si>
    <t>YILHM0218</t>
  </si>
  <si>
    <t>Sudadera negra holgada de hombre H&amp;M</t>
  </si>
  <si>
    <t>YILHM0219</t>
  </si>
  <si>
    <t xml:space="preserve">Sudadera holgada de hombre H&amp;M </t>
  </si>
  <si>
    <t>YILHM0220</t>
  </si>
  <si>
    <t xml:space="preserve">Camiseta deportiva corta de tirantes H&amp;M </t>
  </si>
  <si>
    <t>YILHM0221</t>
  </si>
  <si>
    <t>Polo de ajuste perfecto negro H&amp;M</t>
  </si>
  <si>
    <t>YILHM0222</t>
  </si>
  <si>
    <t>YILHM0223</t>
  </si>
  <si>
    <t>Camiseta de microfibra manga larga negro H&amp;M</t>
  </si>
  <si>
    <t>YILHM0224</t>
  </si>
  <si>
    <t>Top de punto fino negro H&amp;M</t>
  </si>
  <si>
    <t>YILHM0225</t>
  </si>
  <si>
    <t>YILHM0226</t>
  </si>
  <si>
    <t>YILHM0227</t>
  </si>
  <si>
    <t>Pantalones cortos de algodón negro H&amp;M</t>
  </si>
  <si>
    <t>YILHM0228</t>
  </si>
  <si>
    <t>Jeans altos anchos de mujer azul Vaquero H&amp;M</t>
  </si>
  <si>
    <t>YILHM0229</t>
  </si>
  <si>
    <t>Pantalones cortos deportivos gris  H&amp;M</t>
  </si>
  <si>
    <t>YILHM0230</t>
  </si>
  <si>
    <t>Pantalones cortos deportivos gris H&amp;M</t>
  </si>
  <si>
    <t>YILHM0231</t>
  </si>
  <si>
    <t>Camiseta de ajuste regular blanco H&amp;M</t>
  </si>
  <si>
    <t>YILHM0232</t>
  </si>
  <si>
    <t>Top de jersey de algodón acanalado blanco H&amp;M</t>
  </si>
  <si>
    <t>YILHM0233</t>
  </si>
  <si>
    <t>YILHM0234</t>
  </si>
  <si>
    <t>Camiseta ajustada de mujer blanco H&amp;M</t>
  </si>
  <si>
    <t>YILHM0235</t>
  </si>
  <si>
    <t>Pulóver holgado de hombre con estampado blanco vincent H&amp;M</t>
  </si>
  <si>
    <t>YILHM0236</t>
  </si>
  <si>
    <t>Suéter crema rayado de mujer H&amp;M</t>
  </si>
  <si>
    <t>YILHM0237</t>
  </si>
  <si>
    <t>Suéter de punto cable de ajuste regular crema de hombre H&amp;M</t>
  </si>
  <si>
    <t>YILHM0238</t>
  </si>
  <si>
    <t>Suéter de punto cable de ajuste regular gris oscuro de hombre H&amp;M</t>
  </si>
  <si>
    <t>YILHM0239</t>
  </si>
  <si>
    <t xml:space="preserve">Suéter de entrenamiento rosa palo de mujer H&amp;M </t>
  </si>
  <si>
    <t>YILHM0240</t>
  </si>
  <si>
    <t>Sudadera holgada Borgoña de hombre H&amp;M</t>
  </si>
  <si>
    <t>YILHM0241</t>
  </si>
  <si>
    <t>Pulóver de algodón negro de hombre H&amp;M</t>
  </si>
  <si>
    <t>YILHM0242</t>
  </si>
  <si>
    <t>Pulóver holgado negro de hombre H&amp;M</t>
  </si>
  <si>
    <t>YILHM0243</t>
  </si>
  <si>
    <t>Sudadera con capucha Fórmula 1 negro de hombre H&amp;M</t>
  </si>
  <si>
    <t>YILHM0244</t>
  </si>
  <si>
    <t>Polo acanalado de ajuste regular y mangas largas negro de hombre H&amp;M</t>
  </si>
  <si>
    <t>YILHM0245</t>
  </si>
  <si>
    <t>Sudadera oversize New York de mujer H&amp;M</t>
  </si>
  <si>
    <t>YILHM0246</t>
  </si>
  <si>
    <t>Pulóver lavado de ajuste caja negro de hombre H&amp;M</t>
  </si>
  <si>
    <t>YILHM0247</t>
  </si>
  <si>
    <t>Pulóver de ajuste holgado con aspecto vintage y estampado korn negro de hombre H&amp;M</t>
  </si>
  <si>
    <t>YILHM0248</t>
  </si>
  <si>
    <t>Pulóver holgado rosa de hombre H&amp;M</t>
  </si>
  <si>
    <t>YILHM0249</t>
  </si>
  <si>
    <t>YILHM0250</t>
  </si>
  <si>
    <t>Pantalones cortos de hombre gris H&amp;M</t>
  </si>
  <si>
    <t>YILHM0251</t>
  </si>
  <si>
    <t>Pantalones cortos de cordón delantero gris de hombre H&amp;M</t>
  </si>
  <si>
    <t>YILHM0252</t>
  </si>
  <si>
    <t>Pulóver holgado con estampado Kodak H&amp;M</t>
  </si>
  <si>
    <t>Talla Xl</t>
  </si>
  <si>
    <t>YILHM0253</t>
  </si>
  <si>
    <t>YILHM0254</t>
  </si>
  <si>
    <t>Jeans skinny negro H&amp;M</t>
  </si>
  <si>
    <t>Talla 34/32</t>
  </si>
  <si>
    <t>YILHM0255</t>
  </si>
  <si>
    <t>Jeans regulares rectos H&amp;M</t>
  </si>
  <si>
    <t>YILHM0256</t>
  </si>
  <si>
    <t>Jeans slim negro H&amp;M</t>
  </si>
  <si>
    <t>Talla 32/32</t>
  </si>
  <si>
    <t>YILHM0257</t>
  </si>
  <si>
    <t>YILHM0258</t>
  </si>
  <si>
    <t>Camiseta de algodón blanco de mujer H&amp;M</t>
  </si>
  <si>
    <t>YILHM0267</t>
  </si>
  <si>
    <t>YILHM0259</t>
  </si>
  <si>
    <t>Pulóver holgado de hombre gis oscuro H&amp;M</t>
  </si>
  <si>
    <t>YILHM0260</t>
  </si>
  <si>
    <t>Camiseta cuello en V ajustado blanco H&amp;M</t>
  </si>
  <si>
    <t>YILHM0261</t>
  </si>
  <si>
    <t>Sudadera oversize con detalles de botones azul marino de mujer H&amp;M</t>
  </si>
  <si>
    <t>YILHM0262</t>
  </si>
  <si>
    <t xml:space="preserve">Suéter brillante gris oscuro de mujer H&amp;M </t>
  </si>
  <si>
    <t>YILHM0263</t>
  </si>
  <si>
    <t>Pulóver holgado blanco de gran calidad de hombre H&amp;M</t>
  </si>
  <si>
    <t>YILHM0264</t>
  </si>
  <si>
    <t>Pulóver holgado negro de gran calidad de hombre H&amp;M</t>
  </si>
  <si>
    <t>YILHM0265</t>
  </si>
  <si>
    <t>Jogger deportivo de ajuste regular crema H&amp;M</t>
  </si>
  <si>
    <t>YILHM0266</t>
  </si>
  <si>
    <t>Pulóver holgado verde caqui de gran calidad de hombre H&amp;M</t>
  </si>
  <si>
    <t xml:space="preserve">Pulóver holgado negro de hombre H&amp;M </t>
  </si>
  <si>
    <t>YILHM0268</t>
  </si>
  <si>
    <t>Pulóver de algodón de ajuste perfecto negro de hombre H&amp;M</t>
  </si>
  <si>
    <t>YILHM0269</t>
  </si>
  <si>
    <t>Enguatada negra de mujer H&amp;M</t>
  </si>
  <si>
    <t>YILHM0270</t>
  </si>
  <si>
    <t>Enguatada de mezcla modal acanalado negro de mujer H&amp;M</t>
  </si>
  <si>
    <t>YILHM0271</t>
  </si>
  <si>
    <t>Pulóver holgado de efecto lavado negro de hombre H&amp;M</t>
  </si>
  <si>
    <t>YILHM0272</t>
  </si>
  <si>
    <t>Sudadera holgada Thermolite beige claro H&amp;M</t>
  </si>
  <si>
    <t>YILHM0273</t>
  </si>
  <si>
    <t>Pulóver de ajuste regular beige claro de hombre H&amp;M</t>
  </si>
  <si>
    <t>YILHM0274</t>
  </si>
  <si>
    <t>Pantalón cargo de ajuste ajustado beige claro de hombre H&amp;M</t>
  </si>
  <si>
    <t>YILHM0275</t>
  </si>
  <si>
    <t>Pantalón cargo ripstop de ajuste regular verde caqui H&amp;M</t>
  </si>
  <si>
    <t>YILHM0276</t>
  </si>
  <si>
    <t>Enguatada con estampado de gofrados y ajuste slim marrón de hombre H&amp;M</t>
  </si>
  <si>
    <t>YILHM0277</t>
  </si>
  <si>
    <t>Pantalones cortos negros de algodón H&amp;M</t>
  </si>
  <si>
    <t>YILHM0278</t>
  </si>
  <si>
    <t xml:space="preserve">Pantalón cargo de ajuste relajado con cordones en los bajos verde caqui de hombre H&amp;M </t>
  </si>
  <si>
    <t>YILHM0279</t>
  </si>
  <si>
    <t xml:space="preserve">Pantalón cargo ajustado verde caqui de hombre H&amp;M </t>
  </si>
  <si>
    <t>YILHM0280</t>
  </si>
  <si>
    <t>Pantalones cargo de lona negro de mujer H&amp;M</t>
  </si>
  <si>
    <t>Talla 6</t>
  </si>
  <si>
    <t>YILHM0281</t>
  </si>
  <si>
    <t xml:space="preserve">Pantalón cargo de ajuste relajado con cordones en los bajos negro de hombre H&amp;M </t>
  </si>
  <si>
    <t>YILHM0282</t>
  </si>
  <si>
    <t xml:space="preserve">Pulóver oversize aspecto vintage con estampado de frase Out of service de hombre H&amp;M </t>
  </si>
  <si>
    <t>YILHM0283</t>
  </si>
  <si>
    <t>Pantalones de paracaídas de ajuste holgado blanco de hombre H&amp;M</t>
  </si>
  <si>
    <t>YILHM0284</t>
  </si>
  <si>
    <t xml:space="preserve">Pantalón cargo de ajuste relajado con cordones en los bajos beige claro de hombre H&amp;M </t>
  </si>
  <si>
    <t>YILHM0285</t>
  </si>
  <si>
    <t>Pantalones cargo de lona verde caqui oscuro de mujer H&amp;M</t>
  </si>
  <si>
    <t xml:space="preserve">Talla 10 </t>
  </si>
  <si>
    <t>YILHM0286</t>
  </si>
  <si>
    <t>Pulóver lavado de ajuste caja negro vintage de hombre H&amp;M</t>
  </si>
  <si>
    <t>YILHM0287</t>
  </si>
  <si>
    <t>Pulóver estampado de ajuste grande negro H&amp;M</t>
  </si>
  <si>
    <t>YILHM0288</t>
  </si>
  <si>
    <t>Pulóver de algodón de mujer negro H&amp;M</t>
  </si>
  <si>
    <t>YILHM0289</t>
  </si>
  <si>
    <t>Pantalones de sarga de ajuste regular de hombre azul marino  H&amp;M</t>
  </si>
  <si>
    <t>YILHM0290</t>
  </si>
  <si>
    <t>Shorts cortos de ajuste regular beige claro de hombre H&amp;M</t>
  </si>
  <si>
    <t>Talla 32</t>
  </si>
  <si>
    <t>YILHM0291</t>
  </si>
  <si>
    <t>Enguatada de microfibra blanca de mujer H&amp;M</t>
  </si>
  <si>
    <t>YILHM0292</t>
  </si>
  <si>
    <t>Pulóver holgada de hombre gis oscuro H&amp;M</t>
  </si>
  <si>
    <t>YILHM0293</t>
  </si>
  <si>
    <t>Camiseta sin mangas color crema de hombre H&amp;M</t>
  </si>
  <si>
    <t>YILHM0294</t>
  </si>
  <si>
    <t>Shorts de nylon cargo de ajuste regular negro de Hombre H&amp;M</t>
  </si>
  <si>
    <t>YILHM0295</t>
  </si>
  <si>
    <t>YILHM0296</t>
  </si>
  <si>
    <t>Pulóver estampado de ajuste holgado negro soho LDN H&amp;M</t>
  </si>
  <si>
    <t>YILHM0297</t>
  </si>
  <si>
    <t>Pulóver de algodón de ajuste slim marrón claro de hombre H&amp;M</t>
  </si>
  <si>
    <t>YILHM0298</t>
  </si>
  <si>
    <t>Pulóver de ajuste regular negro melange de hombre H&amp;M</t>
  </si>
  <si>
    <t>YILHM0299</t>
  </si>
  <si>
    <t>Enguatada de microfibra gris oscuro de mujer H&amp;M</t>
  </si>
  <si>
    <t>YILHM0300</t>
  </si>
  <si>
    <t>Pulóver holgado con estampado de ajuste holgado blanco soho heights de hombre H&amp;M</t>
  </si>
  <si>
    <t>YILHM0301</t>
  </si>
  <si>
    <t>Mallas deportivas en drymovement H&amp;M</t>
  </si>
  <si>
    <t>YILHM0302</t>
  </si>
  <si>
    <t>Pulóver de algodón verde caqui claro de mujer H&amp;M</t>
  </si>
  <si>
    <t>YILHM0303</t>
  </si>
  <si>
    <t>YILHM0304</t>
  </si>
  <si>
    <t xml:space="preserve">Pulóver de algodón de ajuste oversize negro de hombre H&amp;M </t>
  </si>
  <si>
    <t>YILHM0305</t>
  </si>
  <si>
    <t>Pulóver de ajuste holgado beige claro de gran calidad de hombre H&amp;M</t>
  </si>
  <si>
    <t>YILHM0306</t>
  </si>
  <si>
    <t>YILHM0307</t>
  </si>
  <si>
    <t xml:space="preserve">Pulóver de ajuste perfecto negro de Hombre H&amp;M </t>
  </si>
  <si>
    <t>YILHM0308</t>
  </si>
  <si>
    <t>Pulóver de algodón de ajuste slim negro de hombre H&amp;M</t>
  </si>
  <si>
    <t>YILHM0309</t>
  </si>
  <si>
    <t>Suéter de cuello alto de punto fino y ajuste slim negro de hombre H&amp;M</t>
  </si>
  <si>
    <t>YILHM0310</t>
  </si>
  <si>
    <t>YILHM0312</t>
  </si>
  <si>
    <t xml:space="preserve">Enguatada de cuello alto negro de mujer H&amp;M </t>
  </si>
  <si>
    <t>YILHM0313</t>
  </si>
  <si>
    <t>Blusa de jersey drapeado blanco de mujer H&amp;M</t>
  </si>
  <si>
    <t>YILHM0314</t>
  </si>
  <si>
    <t>Hoodie Snoopy</t>
  </si>
  <si>
    <t>YILHM0315</t>
  </si>
  <si>
    <t xml:space="preserve">Hoodie Carmelita </t>
  </si>
  <si>
    <t>YILHM0316</t>
  </si>
  <si>
    <t>Hoodie Rocky</t>
  </si>
  <si>
    <t>YILHM0317</t>
  </si>
  <si>
    <t>Hoodie Organic</t>
  </si>
  <si>
    <t>YILHM0318</t>
  </si>
  <si>
    <t>Pantalón cargo verde</t>
  </si>
  <si>
    <t>YILHM0319</t>
  </si>
  <si>
    <t>Hoodie de Mickey</t>
  </si>
  <si>
    <t>YILHM0320</t>
  </si>
  <si>
    <t>Pantalones De Traje De Pierna Ancha Negro</t>
  </si>
  <si>
    <t>YILHM0321</t>
  </si>
  <si>
    <t>YILHM0322</t>
  </si>
  <si>
    <t>YILHM0323</t>
  </si>
  <si>
    <t>YILHM0324</t>
  </si>
  <si>
    <t>Pantalones De Traje De Pierna Ancha Beige</t>
  </si>
  <si>
    <t>YILHM0325</t>
  </si>
  <si>
    <t>YILHM0326</t>
  </si>
  <si>
    <t>YILHM0327</t>
  </si>
  <si>
    <t>YILHM0328</t>
  </si>
  <si>
    <t>Cardigan corto de manga larga y botones delanteros Albaricoque</t>
  </si>
  <si>
    <t>YILHM0329</t>
  </si>
  <si>
    <t>YILHM0330</t>
  </si>
  <si>
    <t>YILHM0331</t>
  </si>
  <si>
    <t>YILHM0332</t>
  </si>
  <si>
    <t>Cardigan corto de manga larga y botones delanteros negro</t>
  </si>
  <si>
    <t>YILHM0333</t>
  </si>
  <si>
    <t>YILHM0334</t>
  </si>
  <si>
    <t>YILHM0335</t>
  </si>
  <si>
    <t>Camiseta De Manga Corta A Rayas Con Cuello Redondo</t>
  </si>
  <si>
    <t>YILHM0336</t>
  </si>
  <si>
    <t>YILHM0337</t>
  </si>
  <si>
    <t>YILHM0338</t>
  </si>
  <si>
    <t>YILHM0339</t>
  </si>
  <si>
    <t>Jeans de pierna recta de talle alto</t>
  </si>
  <si>
    <t>Talla S_27</t>
  </si>
  <si>
    <t>YILHM0340</t>
  </si>
  <si>
    <t>Talla S_28</t>
  </si>
  <si>
    <t>YILHM0341</t>
  </si>
  <si>
    <t>Talla M_30</t>
  </si>
  <si>
    <t>YILHM0342</t>
  </si>
  <si>
    <t>Talla M_32</t>
  </si>
  <si>
    <t>YILHM0343</t>
  </si>
  <si>
    <t>Vestido rojo largo con escote profundo y diseño calado con adorno metálico</t>
  </si>
  <si>
    <t>YILHM0344</t>
  </si>
  <si>
    <t>YILHM0345</t>
  </si>
  <si>
    <t>YILHM0346</t>
  </si>
  <si>
    <t>Bragas Culotte Negro</t>
  </si>
  <si>
    <t>YILHM0347</t>
  </si>
  <si>
    <t>YILHM0348</t>
  </si>
  <si>
    <t>YILHM0349</t>
  </si>
  <si>
    <t>YILHM0350</t>
  </si>
  <si>
    <t>YILHM0351</t>
  </si>
  <si>
    <t>Bragas Culotte Terracota</t>
  </si>
  <si>
    <t>YILHM0352</t>
  </si>
  <si>
    <t>YILHM0353</t>
  </si>
  <si>
    <t>YILHM0354</t>
  </si>
  <si>
    <t>YILHM0355</t>
  </si>
  <si>
    <t>YILHM0356</t>
  </si>
  <si>
    <t>Bragas Culotte Café</t>
  </si>
  <si>
    <t>YILHM0357</t>
  </si>
  <si>
    <t>YILHM0358</t>
  </si>
  <si>
    <t>YILHM0359</t>
  </si>
  <si>
    <t>YILHM0360</t>
  </si>
  <si>
    <t>YILHM0361</t>
  </si>
  <si>
    <t>Bragas Culotte Beige</t>
  </si>
  <si>
    <t>YILHM0362</t>
  </si>
  <si>
    <t>YILHM0363</t>
  </si>
  <si>
    <t>YILHM0364</t>
  </si>
  <si>
    <t>YILHM0365</t>
  </si>
  <si>
    <t>YILHM0366</t>
  </si>
  <si>
    <t>Bragas Culotte Mocca</t>
  </si>
  <si>
    <t>YILHM0367</t>
  </si>
  <si>
    <t>YILHM0368</t>
  </si>
  <si>
    <t>YILHM0369</t>
  </si>
  <si>
    <t>YILHM0370</t>
  </si>
  <si>
    <t>YILHM0371</t>
  </si>
  <si>
    <t>Tanga fina de cerezas</t>
  </si>
  <si>
    <t>YILHM0372</t>
  </si>
  <si>
    <t>YILHM0373</t>
  </si>
  <si>
    <t>YILHM0374</t>
  </si>
  <si>
    <t>Tanga fina de corazones</t>
  </si>
  <si>
    <t>YILHM0375</t>
  </si>
  <si>
    <t>YILHM0376</t>
  </si>
  <si>
    <t>YILHM0377</t>
  </si>
  <si>
    <t>Tanga fina negra</t>
  </si>
  <si>
    <t>YILHM0378</t>
  </si>
  <si>
    <t>YILHM0379</t>
  </si>
  <si>
    <t>YILHM0380</t>
  </si>
  <si>
    <t>Tanga fina blanca</t>
  </si>
  <si>
    <t>YILHM0381</t>
  </si>
  <si>
    <t>YILHM0382</t>
  </si>
  <si>
    <t>YILHM0383</t>
  </si>
  <si>
    <t>Tanga fina roja</t>
  </si>
  <si>
    <t>YILHM0384</t>
  </si>
  <si>
    <t>YILHM0385</t>
  </si>
  <si>
    <t>YILHM0386</t>
  </si>
  <si>
    <t>Tanga Brasileña Vino</t>
  </si>
  <si>
    <t>YILHM0387</t>
  </si>
  <si>
    <t>YILHM0388</t>
  </si>
  <si>
    <t>YILHM0389</t>
  </si>
  <si>
    <t>YILHM0390</t>
  </si>
  <si>
    <t>Tanga Brasileña Gris</t>
  </si>
  <si>
    <t>YILHM0391</t>
  </si>
  <si>
    <t>YILHM0392</t>
  </si>
  <si>
    <t>YILHM0393</t>
  </si>
  <si>
    <t>YILHM0394</t>
  </si>
  <si>
    <t>Tanga Brasileña Negra</t>
  </si>
  <si>
    <t>YILHM0395</t>
  </si>
  <si>
    <t>YILHM0396</t>
  </si>
  <si>
    <t>YILHM0397</t>
  </si>
  <si>
    <t>YILHM0398</t>
  </si>
  <si>
    <t>Tanga Brasileña Blanca</t>
  </si>
  <si>
    <t>YILHM0399</t>
  </si>
  <si>
    <t>YILHM0400</t>
  </si>
  <si>
    <t>YILHM0401</t>
  </si>
  <si>
    <t>YILHM0402</t>
  </si>
  <si>
    <t>Tanga Brasileña Coral</t>
  </si>
  <si>
    <t>YILHM0403</t>
  </si>
  <si>
    <t>YILHM0404</t>
  </si>
  <si>
    <t>YILHM0405</t>
  </si>
  <si>
    <t>YILHM0406</t>
  </si>
  <si>
    <t xml:space="preserve">Bolso ratán de listas negras </t>
  </si>
  <si>
    <t>envío mami Diciembre</t>
  </si>
  <si>
    <t>YILHM0407</t>
  </si>
  <si>
    <t>Bolso ratán de listas blancas</t>
  </si>
  <si>
    <t>YILHM0408</t>
  </si>
  <si>
    <t>Bolso carmelita cuadrado de rafia con zíper</t>
  </si>
  <si>
    <t>YILHM0409</t>
  </si>
  <si>
    <t>Bolso carmelita redondo de rafia con zíper</t>
  </si>
  <si>
    <t>YILHM0410</t>
  </si>
  <si>
    <t xml:space="preserve">Bolso de rafia Chantillí </t>
  </si>
  <si>
    <t>YILHM0411</t>
  </si>
  <si>
    <t>Bolso grande de rafia con zíper y adorno de charm</t>
  </si>
  <si>
    <t>YILHM0412</t>
  </si>
  <si>
    <t>Bolso grande de textura de cocodrilo con neceser</t>
  </si>
  <si>
    <t>YILHM0414</t>
  </si>
  <si>
    <t>Sandalias mule crema con detalle de nudo</t>
  </si>
  <si>
    <t>Talla 3_36</t>
  </si>
  <si>
    <t>YILHM0415</t>
  </si>
  <si>
    <t xml:space="preserve">Botas negras ajustadas de zíper </t>
  </si>
  <si>
    <t>YILHM0416</t>
  </si>
  <si>
    <t>Talla 4_37</t>
  </si>
  <si>
    <t>YILHM0417</t>
  </si>
  <si>
    <t>Talla 5_38</t>
  </si>
  <si>
    <t>YILHM0418</t>
  </si>
  <si>
    <t>Talla 7_40</t>
  </si>
  <si>
    <t>YILHM0419</t>
  </si>
  <si>
    <t>Talla 8_41</t>
  </si>
  <si>
    <t>YILHM0420</t>
  </si>
  <si>
    <t>Sandalias en tendencia y de gran comodidad Oliva (talla reducida)</t>
  </si>
  <si>
    <t>YILHM0421</t>
  </si>
  <si>
    <t>YILHM0422</t>
  </si>
  <si>
    <t>Talla 6_39</t>
  </si>
  <si>
    <t>YILHM0423</t>
  </si>
  <si>
    <t>YILHM0424</t>
  </si>
  <si>
    <t>YILHM0425</t>
  </si>
  <si>
    <t>Sandalias en tendencia y de gran comodidad Negro (talla reducida)</t>
  </si>
  <si>
    <t>YILHM0426</t>
  </si>
  <si>
    <t>YILHM0427</t>
  </si>
  <si>
    <t>Plataforma negra en tendencia (talla reducida)</t>
  </si>
  <si>
    <t>YILHM0428</t>
  </si>
  <si>
    <t>YILHM0429</t>
  </si>
  <si>
    <t>Plataforma en bloque de color</t>
  </si>
  <si>
    <t>YILHM0430</t>
  </si>
  <si>
    <t>YILHM0431</t>
  </si>
  <si>
    <t>YILHM0432</t>
  </si>
  <si>
    <t>YILHM0433</t>
  </si>
  <si>
    <t>Pullover blanco Hot Stuff</t>
  </si>
  <si>
    <t>YILHM0434</t>
  </si>
  <si>
    <t>YILHM0435</t>
  </si>
  <si>
    <t>YILHM0436</t>
  </si>
  <si>
    <t>YILHM0437</t>
  </si>
  <si>
    <t>Vestido pullover acanalado Oliva (Victoria´s Secret)</t>
  </si>
  <si>
    <t>YILHM0438</t>
  </si>
  <si>
    <t>Vestido pullover acanalado Crema (Victoria´s Secret)</t>
  </si>
  <si>
    <t>YILHM0439</t>
  </si>
  <si>
    <t>YILHM0440</t>
  </si>
  <si>
    <t>YILHM0441</t>
  </si>
  <si>
    <t>Vestido pullover acanalado Gris (Victoria´s Secret)</t>
  </si>
  <si>
    <t>YILHM0442</t>
  </si>
  <si>
    <t>Vestido pullover acanalado Rosa (Victoria´s Secret)</t>
  </si>
  <si>
    <t>YILHM0443</t>
  </si>
  <si>
    <t>YILHM0444</t>
  </si>
  <si>
    <t>YILHM0445</t>
  </si>
  <si>
    <t>Skort deportivo algodón (Victoria´s Secret)</t>
  </si>
  <si>
    <t>YILHM0446</t>
  </si>
  <si>
    <t>Vestido Polo Azul (Victoria´s Secret)</t>
  </si>
  <si>
    <t>YILHM0447</t>
  </si>
  <si>
    <t>YILHM0448</t>
  </si>
  <si>
    <t>YILHM0449</t>
  </si>
  <si>
    <t>YILHM0450</t>
  </si>
  <si>
    <t>YILHM0451</t>
  </si>
  <si>
    <t>Pijama de pantalón largo de algodón Rosa (Victoria´s Secret)</t>
  </si>
  <si>
    <t>YILHM0452</t>
  </si>
  <si>
    <t>YILHM0453</t>
  </si>
  <si>
    <t>YILHM0454</t>
  </si>
  <si>
    <t>YILHM0455</t>
  </si>
  <si>
    <t>Pijama de pantalón largo de algodón Negro (Victoria´s Secret)</t>
  </si>
  <si>
    <t>YILHM0456</t>
  </si>
  <si>
    <t>YILHM0457</t>
  </si>
  <si>
    <t>Pijama de pantalón corto Negro de algodón (Victoria´s Secret)</t>
  </si>
  <si>
    <t>YILHM0458</t>
  </si>
  <si>
    <t>YILHM0459</t>
  </si>
  <si>
    <t>YILHM0460</t>
  </si>
  <si>
    <t>YILHM0461</t>
  </si>
  <si>
    <t>YILHM0463</t>
  </si>
  <si>
    <t>Angel New York Eau de Parfum</t>
  </si>
  <si>
    <t>Tamaño 50ml</t>
  </si>
  <si>
    <t>YILHM0464</t>
  </si>
  <si>
    <t>Mochilas de Lona de gran calidad con porta laptop Marca Victoria´s Secret Gris</t>
  </si>
  <si>
    <t>YILHM0465</t>
  </si>
  <si>
    <t>Mochilas de Lona de gran calidad con porta laptop Marca Victoria´s Secret Rosa</t>
  </si>
  <si>
    <t>YILHM0466</t>
  </si>
  <si>
    <t>Mochilas de Lona de gran calidad con porta laptop Marca Victoria´s Secret Negra</t>
  </si>
  <si>
    <t>YILHM0467</t>
  </si>
  <si>
    <t>Mochilas de Lona de gran calidad con porta laptop Marca Victoria´s Secret Azul</t>
  </si>
  <si>
    <t>YILHM0468</t>
  </si>
  <si>
    <t>Tease Heartbreaker Eau de Parfum</t>
  </si>
  <si>
    <t>YILHM0469</t>
  </si>
  <si>
    <t>Vestido negro largo con escote profundo y diseño calado con adorno metálico</t>
  </si>
  <si>
    <t>YILHM0470</t>
  </si>
  <si>
    <t>YILHM0471</t>
  </si>
  <si>
    <t>YILHM0472</t>
  </si>
  <si>
    <t>Calzado rojo elegante de punta fina</t>
  </si>
  <si>
    <t>YILHM0473</t>
  </si>
  <si>
    <t>YILHM0474</t>
  </si>
  <si>
    <t>YILHM0475</t>
  </si>
  <si>
    <t>YILHM0476</t>
  </si>
  <si>
    <t>YILHM0477</t>
  </si>
  <si>
    <t>YILHM0478</t>
  </si>
  <si>
    <t>YILHM0479</t>
  </si>
  <si>
    <t>YILHM0480</t>
  </si>
  <si>
    <t>YILHM0481</t>
  </si>
  <si>
    <t>YILHM0482</t>
  </si>
  <si>
    <t>OBLIGATARIO LLENAR</t>
  </si>
  <si>
    <t>NO TOCAR</t>
  </si>
  <si>
    <t>(Datos a intoducir por el gestor cuando se hace una venta)</t>
  </si>
  <si>
    <t>Entrar datos manual</t>
  </si>
  <si>
    <t>Fecha</t>
  </si>
  <si>
    <t>Detalle de compra</t>
  </si>
  <si>
    <t>Nombre del Cliente</t>
  </si>
  <si>
    <t>Nombre del Gestor</t>
  </si>
  <si>
    <t>Código del producto Vendido</t>
  </si>
  <si>
    <t>Descripcion</t>
  </si>
  <si>
    <t>Cantidad</t>
  </si>
  <si>
    <t>Precio Venta</t>
  </si>
  <si>
    <t>Total</t>
  </si>
  <si>
    <t>Costo SIN Comision</t>
  </si>
  <si>
    <t>Ganancia</t>
  </si>
  <si>
    <t>Observaciones</t>
  </si>
  <si>
    <t>T0006</t>
  </si>
  <si>
    <t>OTRO</t>
  </si>
  <si>
    <t>V0111</t>
  </si>
  <si>
    <t>V0112</t>
  </si>
  <si>
    <t>V0107</t>
  </si>
  <si>
    <t>V0108</t>
  </si>
  <si>
    <t>V0104</t>
  </si>
  <si>
    <t>V0103</t>
  </si>
  <si>
    <t>V0101</t>
  </si>
  <si>
    <t>V0099</t>
  </si>
  <si>
    <t>V0095</t>
  </si>
  <si>
    <t>B0028</t>
  </si>
  <si>
    <t>B0032</t>
  </si>
  <si>
    <t>B0049</t>
  </si>
  <si>
    <t>B0038</t>
  </si>
  <si>
    <t>B0039</t>
  </si>
  <si>
    <t>B0042</t>
  </si>
  <si>
    <t>B0034</t>
  </si>
  <si>
    <t>Yudi</t>
  </si>
  <si>
    <t>Yudidi</t>
  </si>
  <si>
    <t>Alejandro</t>
  </si>
  <si>
    <t>Livia</t>
  </si>
  <si>
    <t>livia</t>
  </si>
  <si>
    <t>Dasli</t>
  </si>
  <si>
    <t>Yanet</t>
  </si>
  <si>
    <t>Greter</t>
  </si>
  <si>
    <t>Magdalena</t>
  </si>
  <si>
    <t>Camila</t>
  </si>
  <si>
    <t>Estrella</t>
  </si>
  <si>
    <t>otro</t>
  </si>
  <si>
    <t>Trabajo Leo</t>
  </si>
  <si>
    <t>GRETER</t>
  </si>
  <si>
    <t>Eduardo</t>
  </si>
  <si>
    <t>Lisbetty</t>
  </si>
  <si>
    <t>Maire</t>
  </si>
  <si>
    <t>Yanelsy</t>
  </si>
  <si>
    <t>Saylin</t>
  </si>
  <si>
    <t>Yesica</t>
  </si>
  <si>
    <t>Yami</t>
  </si>
  <si>
    <t>Deivis</t>
  </si>
  <si>
    <t>V0134</t>
  </si>
  <si>
    <t>Khaila</t>
  </si>
  <si>
    <t>Gaby</t>
  </si>
  <si>
    <t>Ely</t>
  </si>
  <si>
    <t>Yaney</t>
  </si>
  <si>
    <t>Amanda</t>
  </si>
  <si>
    <t>cliente day</t>
  </si>
  <si>
    <t>Niurka Encargo</t>
  </si>
  <si>
    <t>Otro</t>
  </si>
  <si>
    <t>Daylin</t>
  </si>
  <si>
    <t>KO Mercado</t>
  </si>
  <si>
    <t xml:space="preserve">Niurka </t>
  </si>
  <si>
    <t>Yuyi</t>
  </si>
  <si>
    <t>Amy</t>
  </si>
  <si>
    <t>Ivelice</t>
  </si>
  <si>
    <t>Rachel</t>
  </si>
  <si>
    <t>Yudith</t>
  </si>
  <si>
    <t>Adriana</t>
  </si>
  <si>
    <t>Madelyn</t>
  </si>
  <si>
    <t>Yisley</t>
  </si>
  <si>
    <t>Ismaray</t>
  </si>
  <si>
    <t>Lianet</t>
  </si>
  <si>
    <t>Clienta Adri</t>
  </si>
  <si>
    <t>Jenny</t>
  </si>
  <si>
    <t>Siulen</t>
  </si>
  <si>
    <t>Yaumara</t>
  </si>
  <si>
    <t>Ailyn</t>
  </si>
  <si>
    <t>Jackelin</t>
  </si>
  <si>
    <t>Dayme</t>
  </si>
  <si>
    <t>Amalia</t>
  </si>
  <si>
    <t>Keylee</t>
  </si>
  <si>
    <t>Claudia</t>
  </si>
  <si>
    <t>Gretel</t>
  </si>
  <si>
    <t>amiga Day</t>
  </si>
  <si>
    <t>Pago Mayo Daylin</t>
  </si>
  <si>
    <t>airn regalo</t>
  </si>
  <si>
    <t>Viaje a México</t>
  </si>
  <si>
    <t>Pago Yane Junio</t>
  </si>
  <si>
    <t>Pago Yasser envíos</t>
  </si>
  <si>
    <t>Pago Junio Daylin</t>
  </si>
  <si>
    <t>Daylin/Pendiente</t>
  </si>
  <si>
    <t>2-Ago</t>
  </si>
  <si>
    <t>Daylin(top blanco devolver)</t>
  </si>
  <si>
    <t>Karen</t>
  </si>
  <si>
    <t>Pau</t>
  </si>
  <si>
    <t>BU0478</t>
  </si>
  <si>
    <t>Yoa</t>
  </si>
  <si>
    <t>3-Ago</t>
  </si>
  <si>
    <t>7-Ago</t>
  </si>
  <si>
    <t>Liz</t>
  </si>
  <si>
    <t>9-Ago</t>
  </si>
  <si>
    <t>14-Ago</t>
  </si>
  <si>
    <t>Arianna</t>
  </si>
  <si>
    <t>Lily</t>
  </si>
  <si>
    <t>Noslen</t>
  </si>
  <si>
    <t>Deborah</t>
  </si>
  <si>
    <t>Greydi</t>
  </si>
  <si>
    <t>Marianne</t>
  </si>
  <si>
    <t>BU0504</t>
  </si>
  <si>
    <t>Katherine</t>
  </si>
  <si>
    <t>Mabel</t>
  </si>
  <si>
    <t>15-Ago</t>
  </si>
  <si>
    <t>16-Ago</t>
  </si>
  <si>
    <t>Amanda HNC</t>
  </si>
  <si>
    <t>Yadita</t>
  </si>
  <si>
    <t>17-Ago</t>
  </si>
  <si>
    <t>Dayana</t>
  </si>
  <si>
    <t>Zamirys</t>
  </si>
  <si>
    <t>19-Ago</t>
  </si>
  <si>
    <t>Lorena</t>
  </si>
  <si>
    <t>pdte pago</t>
  </si>
  <si>
    <t>Nazay</t>
  </si>
  <si>
    <t>Producto sorpresa</t>
  </si>
  <si>
    <t>Luna</t>
  </si>
  <si>
    <t>Zuleira</t>
  </si>
  <si>
    <t>Yiell</t>
  </si>
  <si>
    <t>20-Ago</t>
  </si>
  <si>
    <t>Yaquelin</t>
  </si>
  <si>
    <t>Irasema</t>
  </si>
  <si>
    <t>22-Ago</t>
  </si>
  <si>
    <t>Haydee</t>
  </si>
  <si>
    <t>Maday</t>
  </si>
  <si>
    <t>23-Ago</t>
  </si>
  <si>
    <t>Anabel</t>
  </si>
  <si>
    <t>Mami</t>
  </si>
  <si>
    <t>Mar</t>
  </si>
  <si>
    <t>Mari Banco</t>
  </si>
  <si>
    <t>Monik</t>
  </si>
  <si>
    <t>25-Ago</t>
  </si>
  <si>
    <t>Tania amiga mamá</t>
  </si>
  <si>
    <t>Clieta</t>
  </si>
  <si>
    <t>26-Ago</t>
  </si>
  <si>
    <t>Pujalte</t>
  </si>
  <si>
    <t>27-Ago</t>
  </si>
  <si>
    <t>Kira</t>
  </si>
  <si>
    <t>28-Ago</t>
  </si>
  <si>
    <t>Karla</t>
  </si>
  <si>
    <t>30-Ago</t>
  </si>
  <si>
    <t>Alicia</t>
  </si>
  <si>
    <t>Betzabeth</t>
  </si>
  <si>
    <t>Mercedes</t>
  </si>
  <si>
    <t>31-Ago</t>
  </si>
  <si>
    <t>BU0488</t>
  </si>
  <si>
    <t>Wendy</t>
  </si>
  <si>
    <t>Hija Yasser</t>
  </si>
  <si>
    <t>Greysi</t>
  </si>
  <si>
    <t>Yolaisys</t>
  </si>
  <si>
    <t>Cliente</t>
  </si>
  <si>
    <t>artículo sin entrar</t>
  </si>
  <si>
    <t>Yole</t>
  </si>
  <si>
    <t>Omi</t>
  </si>
  <si>
    <t>erly</t>
  </si>
  <si>
    <t>Inventario</t>
  </si>
  <si>
    <t>tamara</t>
  </si>
  <si>
    <t>Brenda</t>
  </si>
  <si>
    <t>BU0546</t>
  </si>
  <si>
    <t>BU0486</t>
  </si>
  <si>
    <t>Enero</t>
  </si>
  <si>
    <t>Adry</t>
  </si>
  <si>
    <t>Jaqueline</t>
  </si>
  <si>
    <t>Yane</t>
  </si>
  <si>
    <t>yo</t>
  </si>
  <si>
    <t>Daniela</t>
  </si>
  <si>
    <t>BU0620</t>
  </si>
  <si>
    <t>Baby</t>
  </si>
  <si>
    <t>Ani</t>
  </si>
  <si>
    <t>yuniel</t>
  </si>
  <si>
    <t>inventario</t>
  </si>
  <si>
    <t>BU0631</t>
  </si>
  <si>
    <t>Orieta</t>
  </si>
  <si>
    <t>Mady</t>
  </si>
  <si>
    <t>Massi vecina</t>
  </si>
  <si>
    <t>Mary Karla Bamboo</t>
  </si>
  <si>
    <t>Karen Dentista</t>
  </si>
  <si>
    <t>Gaby Dra</t>
  </si>
  <si>
    <t>Yake</t>
  </si>
  <si>
    <t>Sayury</t>
  </si>
  <si>
    <t>Ani verde verde</t>
  </si>
  <si>
    <t>Regalo Baby</t>
  </si>
  <si>
    <t>Oferta Promo Mensajería Gratis en ventas de $25USD</t>
  </si>
  <si>
    <t>Yilien</t>
  </si>
  <si>
    <t>neurologa</t>
  </si>
  <si>
    <t>Greter (pendiente pago)</t>
  </si>
  <si>
    <t>Violeta</t>
  </si>
  <si>
    <t>darle 5% a Claudia Gestora</t>
  </si>
  <si>
    <t>bazar</t>
  </si>
  <si>
    <t>Arasay</t>
  </si>
  <si>
    <t>Gloria</t>
  </si>
  <si>
    <t>mio</t>
  </si>
  <si>
    <t>Leisy</t>
  </si>
  <si>
    <t>sayuri</t>
  </si>
  <si>
    <t>ayli</t>
  </si>
  <si>
    <t>Pago Enrique Media Manager</t>
  </si>
  <si>
    <t>Tatiana</t>
  </si>
  <si>
    <t>Lissette encargo</t>
  </si>
  <si>
    <t>estímulo a violeta</t>
  </si>
  <si>
    <t>bu0718</t>
  </si>
  <si>
    <t>bu0623</t>
  </si>
  <si>
    <t>ub0035</t>
  </si>
  <si>
    <t>ub0029</t>
  </si>
  <si>
    <t>ub0030</t>
  </si>
  <si>
    <t>bu0582</t>
  </si>
  <si>
    <t>Tía Mary</t>
  </si>
  <si>
    <t>Yilian notaria</t>
  </si>
  <si>
    <t>Premio</t>
  </si>
  <si>
    <t>premio rifa madres</t>
  </si>
  <si>
    <t>bu0395</t>
  </si>
  <si>
    <t>Susej</t>
  </si>
  <si>
    <t>Yilian</t>
  </si>
  <si>
    <t>Darse</t>
  </si>
  <si>
    <t>Betty regalo</t>
  </si>
  <si>
    <t>Yasmin regalo</t>
  </si>
  <si>
    <t>Michelle</t>
  </si>
  <si>
    <t>Yari &amp; Samuel</t>
  </si>
  <si>
    <t>Yeny</t>
  </si>
  <si>
    <t>yeny</t>
  </si>
  <si>
    <t>Loana</t>
  </si>
  <si>
    <t>Yunisleydis</t>
  </si>
  <si>
    <t>Yenima</t>
  </si>
  <si>
    <t>Sailin</t>
  </si>
  <si>
    <t>Nathaly</t>
  </si>
  <si>
    <t>Jovana</t>
  </si>
  <si>
    <t>Laureen</t>
  </si>
  <si>
    <t>Yuni</t>
  </si>
  <si>
    <t>Angis</t>
  </si>
  <si>
    <t>Yelena</t>
  </si>
  <si>
    <t>Yeni Clienta</t>
  </si>
  <si>
    <t>Nanda</t>
  </si>
  <si>
    <t>Nix</t>
  </si>
  <si>
    <t>Indiana</t>
  </si>
  <si>
    <t>Yipxi</t>
  </si>
  <si>
    <t>Raiza</t>
  </si>
  <si>
    <t>Sandra</t>
  </si>
  <si>
    <t>alexa</t>
  </si>
  <si>
    <t>yarel</t>
  </si>
  <si>
    <t>Adriana Quintana</t>
  </si>
  <si>
    <t>Maria Karla Garage</t>
  </si>
  <si>
    <t>paypal</t>
  </si>
  <si>
    <t>Short blanco hm</t>
  </si>
  <si>
    <t>Yanelis Arrabal</t>
  </si>
  <si>
    <t>vendido x mi</t>
  </si>
  <si>
    <t xml:space="preserve">Lissette </t>
  </si>
  <si>
    <t>Vanessa</t>
  </si>
  <si>
    <t>maricel</t>
  </si>
  <si>
    <t>yamila</t>
  </si>
  <si>
    <t>susana</t>
  </si>
  <si>
    <t>rosi</t>
  </si>
  <si>
    <t>dany</t>
  </si>
  <si>
    <t>vendido x mi (mami)</t>
  </si>
  <si>
    <t>ruthie</t>
  </si>
  <si>
    <t>yuliett</t>
  </si>
  <si>
    <t>arianna</t>
  </si>
  <si>
    <t>BU04344</t>
  </si>
  <si>
    <t>Marianela</t>
  </si>
  <si>
    <t>yaulet</t>
  </si>
  <si>
    <t>leydi</t>
  </si>
  <si>
    <t>xenia</t>
  </si>
  <si>
    <t>ana</t>
  </si>
  <si>
    <t>gema</t>
  </si>
  <si>
    <t>geydis sosa</t>
  </si>
  <si>
    <t>ely</t>
  </si>
  <si>
    <t>mari</t>
  </si>
  <si>
    <t>diana</t>
  </si>
  <si>
    <t>camila</t>
  </si>
  <si>
    <t>ilen</t>
  </si>
  <si>
    <t>adita</t>
  </si>
  <si>
    <t>yisme</t>
  </si>
  <si>
    <t>ari</t>
  </si>
  <si>
    <t>mami</t>
  </si>
  <si>
    <t>fatima</t>
  </si>
  <si>
    <t>maite</t>
  </si>
  <si>
    <t>gretis</t>
  </si>
  <si>
    <t>dayi</t>
  </si>
  <si>
    <t>nancy</t>
  </si>
  <si>
    <t>yaimara</t>
  </si>
  <si>
    <t>airin</t>
  </si>
  <si>
    <t>yilien</t>
  </si>
  <si>
    <t>yunelkis</t>
  </si>
  <si>
    <t>laura</t>
  </si>
  <si>
    <t>isavelita</t>
  </si>
  <si>
    <t>lisandra</t>
  </si>
  <si>
    <t>liz</t>
  </si>
  <si>
    <t>fabiola</t>
  </si>
  <si>
    <t>yaneris</t>
  </si>
  <si>
    <t>mercy</t>
  </si>
  <si>
    <t>alba</t>
  </si>
  <si>
    <t>yunelkys</t>
  </si>
  <si>
    <t>kenia</t>
  </si>
  <si>
    <t>olivia</t>
  </si>
  <si>
    <t>aymara</t>
  </si>
  <si>
    <t>amarilis</t>
  </si>
  <si>
    <t>angels</t>
  </si>
  <si>
    <t>yaritza</t>
  </si>
  <si>
    <t>yilen</t>
  </si>
  <si>
    <t>dessyre</t>
  </si>
  <si>
    <t>niliam</t>
  </si>
  <si>
    <t>niuris</t>
  </si>
  <si>
    <t>lia</t>
  </si>
  <si>
    <t>lissania</t>
  </si>
  <si>
    <t>giulia</t>
  </si>
  <si>
    <t>arleti</t>
  </si>
  <si>
    <t>arabby</t>
  </si>
  <si>
    <t>martha</t>
  </si>
  <si>
    <t>tania</t>
  </si>
  <si>
    <t>cary</t>
  </si>
  <si>
    <t>Orquídea</t>
  </si>
  <si>
    <t>ana flavia</t>
  </si>
  <si>
    <t>Yesy</t>
  </si>
  <si>
    <t>yesy</t>
  </si>
  <si>
    <t>gloria</t>
  </si>
  <si>
    <t>jenny</t>
  </si>
  <si>
    <t>patricia</t>
  </si>
  <si>
    <t>thali</t>
  </si>
  <si>
    <t>barma</t>
  </si>
  <si>
    <t>yimera</t>
  </si>
  <si>
    <t>zulema</t>
  </si>
  <si>
    <t>maribel</t>
  </si>
  <si>
    <t>yanet</t>
  </si>
  <si>
    <t>Samantha</t>
  </si>
  <si>
    <t>Luz</t>
  </si>
  <si>
    <t>yole</t>
  </si>
  <si>
    <t>pendiente de pago</t>
  </si>
  <si>
    <t>greter</t>
  </si>
  <si>
    <t>lurdita</t>
  </si>
  <si>
    <t>dunia</t>
  </si>
  <si>
    <t>aracelia</t>
  </si>
  <si>
    <t>yoly</t>
  </si>
  <si>
    <t>dayana</t>
  </si>
  <si>
    <t>baby</t>
  </si>
  <si>
    <t>kira</t>
  </si>
  <si>
    <t>rosmery</t>
  </si>
  <si>
    <t>Lilian</t>
  </si>
  <si>
    <t>janet</t>
  </si>
  <si>
    <t>thalía</t>
  </si>
  <si>
    <t>lorena</t>
  </si>
  <si>
    <t>acelia</t>
  </si>
  <si>
    <t>deborah</t>
  </si>
  <si>
    <t>baby se la queda</t>
  </si>
  <si>
    <t>Diana</t>
  </si>
  <si>
    <t>Encargo mónica</t>
  </si>
  <si>
    <t>mely</t>
  </si>
  <si>
    <t>yane</t>
  </si>
  <si>
    <t>Malu</t>
  </si>
  <si>
    <t>Encargo lissette</t>
  </si>
  <si>
    <t>Jean campana</t>
  </si>
  <si>
    <t>asignar nombre del gestor</t>
  </si>
  <si>
    <t>dayareni</t>
  </si>
  <si>
    <t>Adiel</t>
  </si>
  <si>
    <t>glenda</t>
  </si>
  <si>
    <t>fernanda</t>
  </si>
  <si>
    <t>Nahimi</t>
  </si>
  <si>
    <t>eliane</t>
  </si>
  <si>
    <t>annia</t>
  </si>
  <si>
    <t>thalia</t>
  </si>
  <si>
    <t>alina</t>
  </si>
  <si>
    <t>amanda</t>
  </si>
  <si>
    <t>erika</t>
  </si>
  <si>
    <t>jenni</t>
  </si>
  <si>
    <t>arita</t>
  </si>
  <si>
    <t>mayda</t>
  </si>
  <si>
    <t>ko</t>
  </si>
  <si>
    <t>dulce</t>
  </si>
  <si>
    <t>Reyima</t>
  </si>
  <si>
    <t>Mayra</t>
  </si>
  <si>
    <t>encargo</t>
  </si>
  <si>
    <t>katheryn</t>
  </si>
  <si>
    <t>asignar vendedor</t>
  </si>
  <si>
    <t>se lo ocmpro para ella</t>
  </si>
  <si>
    <t>esperanza</t>
  </si>
  <si>
    <t>Sarai</t>
  </si>
  <si>
    <t>beatriz</t>
  </si>
  <si>
    <t>merilan</t>
  </si>
  <si>
    <t>maivis</t>
  </si>
  <si>
    <t>sury</t>
  </si>
  <si>
    <t>dani</t>
  </si>
  <si>
    <t>baby por cobrar</t>
  </si>
  <si>
    <t>por cobrar</t>
  </si>
  <si>
    <t>Ania</t>
  </si>
  <si>
    <t>Marime</t>
  </si>
  <si>
    <t>claudia</t>
  </si>
  <si>
    <t>karla</t>
  </si>
  <si>
    <t>Tamara</t>
  </si>
  <si>
    <t>ismary</t>
  </si>
  <si>
    <t>isabel</t>
  </si>
  <si>
    <t>kirenia</t>
  </si>
  <si>
    <t>ana maria</t>
  </si>
  <si>
    <t>mary</t>
  </si>
  <si>
    <t>natalia</t>
  </si>
  <si>
    <t>patri</t>
  </si>
  <si>
    <t>sofia</t>
  </si>
  <si>
    <t>judith</t>
  </si>
  <si>
    <t>barbara</t>
  </si>
  <si>
    <t>nathalia</t>
  </si>
  <si>
    <t>edna</t>
  </si>
  <si>
    <t>melisa</t>
  </si>
  <si>
    <t>stefani</t>
  </si>
  <si>
    <t>Nao</t>
  </si>
  <si>
    <t>eli</t>
  </si>
  <si>
    <t>gabriela</t>
  </si>
  <si>
    <t>yasmi</t>
  </si>
  <si>
    <t>doralis</t>
  </si>
  <si>
    <t>naidelys</t>
  </si>
  <si>
    <t>legna</t>
  </si>
  <si>
    <t>yurina</t>
  </si>
  <si>
    <t>arletis</t>
  </si>
  <si>
    <t>Claudia Yili</t>
  </si>
  <si>
    <t>daysbel</t>
  </si>
  <si>
    <t>klaudiña</t>
  </si>
  <si>
    <t>madeline</t>
  </si>
  <si>
    <t>ariadna</t>
  </si>
  <si>
    <t>anita</t>
  </si>
  <si>
    <t>yumy</t>
  </si>
  <si>
    <t>Gercy</t>
  </si>
  <si>
    <t>maibi</t>
  </si>
  <si>
    <t>yulieth</t>
  </si>
  <si>
    <t>betsy</t>
  </si>
  <si>
    <t>yoelbys</t>
  </si>
  <si>
    <t>chabely</t>
  </si>
  <si>
    <t>amy</t>
  </si>
  <si>
    <t>eliani</t>
  </si>
  <si>
    <t>yuyi</t>
  </si>
  <si>
    <t>nayelis</t>
  </si>
  <si>
    <t>ernesto</t>
  </si>
  <si>
    <t>yusleyvi</t>
  </si>
  <si>
    <t>dayami</t>
  </si>
  <si>
    <t>miladys</t>
  </si>
  <si>
    <t>ayexa</t>
  </si>
  <si>
    <t>daniela</t>
  </si>
  <si>
    <t>arlette</t>
  </si>
  <si>
    <t>sarai</t>
  </si>
  <si>
    <t>clienta marmolina</t>
  </si>
  <si>
    <t>Luanda</t>
  </si>
  <si>
    <t>isabella</t>
  </si>
  <si>
    <t>mío (Pagado 23 oct)</t>
  </si>
  <si>
    <t>mío (Pagado 24 oct)</t>
  </si>
  <si>
    <t>mío (Pagado 25 oct)</t>
  </si>
  <si>
    <t>mío (Pagado 26 oct)</t>
  </si>
  <si>
    <t>mío (Pagado 27 oct)</t>
  </si>
  <si>
    <t>mío (Pagado 28 oct)</t>
  </si>
  <si>
    <t>mío (Pagado 29 oct)</t>
  </si>
  <si>
    <t>mío (Pagado 30 oct)</t>
  </si>
  <si>
    <t>baby (pagado yilian baby deuda mía)</t>
  </si>
  <si>
    <t>mío mío (Pagado 30 oct)</t>
  </si>
  <si>
    <t>mío mío (Pagado 31 oct)</t>
  </si>
  <si>
    <t>mío mío (Pagado 32 oct)</t>
  </si>
  <si>
    <t>mío mío (Pagado 33 oct)</t>
  </si>
  <si>
    <t>mío mío (Pagado 34 oct)</t>
  </si>
  <si>
    <t>Inventario (defectuoso)</t>
  </si>
  <si>
    <t>mío</t>
  </si>
  <si>
    <t>BU043271</t>
  </si>
  <si>
    <t>00001BU06720</t>
  </si>
  <si>
    <t>00001BU06716</t>
  </si>
  <si>
    <t>Vendido por Letty</t>
  </si>
  <si>
    <t>00002BU0483</t>
  </si>
  <si>
    <t>Letty</t>
  </si>
  <si>
    <t>00003LTA00006</t>
  </si>
  <si>
    <t>00004LTA00005</t>
  </si>
  <si>
    <t>00005BU06774</t>
  </si>
  <si>
    <t>00006UB0266</t>
  </si>
  <si>
    <t>BU06774a</t>
  </si>
  <si>
    <t>00007BU06774a</t>
  </si>
  <si>
    <t>00008BU06814</t>
  </si>
  <si>
    <t>BU06814a</t>
  </si>
  <si>
    <t>00009BU06814a</t>
  </si>
  <si>
    <t>00010UB0261</t>
  </si>
  <si>
    <t>00011BU0394</t>
  </si>
  <si>
    <t>00012BU04427</t>
  </si>
  <si>
    <t>BU04427a</t>
  </si>
  <si>
    <t>00013BU04427a</t>
  </si>
  <si>
    <t>00014BU04427a</t>
  </si>
  <si>
    <t>00014BU04427</t>
  </si>
  <si>
    <t>BU04455a</t>
  </si>
  <si>
    <t>00015BU04455a</t>
  </si>
  <si>
    <t>00015BU04455</t>
  </si>
  <si>
    <t>BU04469a</t>
  </si>
  <si>
    <t>00015BU04469a</t>
  </si>
  <si>
    <t>00015BU04469</t>
  </si>
  <si>
    <t>00016BU0581</t>
  </si>
  <si>
    <t>BU0581a</t>
  </si>
  <si>
    <t>00016BU0581a</t>
  </si>
  <si>
    <t>00017BU04339</t>
  </si>
  <si>
    <t>SQ0784979</t>
  </si>
  <si>
    <t>00018SQ0784979</t>
  </si>
  <si>
    <t>SQ8198588</t>
  </si>
  <si>
    <t>00018SQ8198588</t>
  </si>
  <si>
    <t>00019BU06694</t>
  </si>
  <si>
    <t>BU06694a</t>
  </si>
  <si>
    <t>00019BU06694a</t>
  </si>
  <si>
    <t>00020BU04365</t>
  </si>
  <si>
    <t>00021BU0731</t>
  </si>
  <si>
    <t>00022BU04366</t>
  </si>
  <si>
    <t>YeniC</t>
  </si>
  <si>
    <t>00023BU04440</t>
  </si>
  <si>
    <t>00024UB0269</t>
  </si>
  <si>
    <t>00025UB0269</t>
  </si>
  <si>
    <t>00026BU04433</t>
  </si>
  <si>
    <t>00027BU04393</t>
  </si>
  <si>
    <t>00027BU04398</t>
  </si>
  <si>
    <t>00027BU0494</t>
  </si>
  <si>
    <t>00027BU0503</t>
  </si>
  <si>
    <t>00028BU06391</t>
  </si>
  <si>
    <t>00028BU06411</t>
  </si>
  <si>
    <t>00029BU0336</t>
  </si>
  <si>
    <t>00030BU04464Marlen</t>
  </si>
  <si>
    <t>00030BU04400</t>
  </si>
  <si>
    <t>00031BU0679</t>
  </si>
  <si>
    <t>00032BU04448</t>
  </si>
  <si>
    <t>00033BU04323</t>
  </si>
  <si>
    <t>00034BU04327</t>
  </si>
  <si>
    <t>00035BU04319</t>
  </si>
  <si>
    <t>00035BU04328</t>
  </si>
  <si>
    <t>00036BU043482</t>
  </si>
  <si>
    <t>00037LTA00004</t>
  </si>
  <si>
    <t>00038BU04323</t>
  </si>
  <si>
    <t>00039BU0520</t>
  </si>
  <si>
    <t>00040BU06757</t>
  </si>
  <si>
    <t>00041BU043505</t>
  </si>
  <si>
    <t>00042BU04401</t>
  </si>
  <si>
    <t>00042BU0440232</t>
  </si>
  <si>
    <t>00042BU0440242</t>
  </si>
  <si>
    <t>00043BU0563</t>
  </si>
  <si>
    <t>00044BU06756</t>
  </si>
  <si>
    <t>00045BU043510</t>
  </si>
  <si>
    <t>Asignar vendedor</t>
  </si>
  <si>
    <t>00046BU0440244</t>
  </si>
  <si>
    <t>00047BU043504</t>
  </si>
  <si>
    <t>00047BU068232</t>
  </si>
  <si>
    <t>00048BU06551</t>
  </si>
  <si>
    <t>00049BU06817</t>
  </si>
  <si>
    <t>Yo</t>
  </si>
  <si>
    <t>00050BU04465</t>
  </si>
  <si>
    <t>00051BU06411</t>
  </si>
  <si>
    <t>00052BU04385</t>
  </si>
  <si>
    <t>00053BU04381</t>
  </si>
  <si>
    <t>00054BU04362</t>
  </si>
  <si>
    <t>00055BU04324</t>
  </si>
  <si>
    <t>00056BU043505</t>
  </si>
  <si>
    <t>00057BU06694</t>
  </si>
  <si>
    <t>00058BU06788</t>
  </si>
  <si>
    <t>00058UB0183</t>
  </si>
  <si>
    <t>00059UB0210</t>
  </si>
  <si>
    <t>00060BU06561</t>
  </si>
  <si>
    <t>00061BU043546</t>
  </si>
  <si>
    <t>00062BU043568</t>
  </si>
  <si>
    <t>00063BU043647</t>
  </si>
  <si>
    <t>00064BU043544</t>
  </si>
  <si>
    <t>Vane</t>
  </si>
  <si>
    <t>00065BU043488</t>
  </si>
  <si>
    <t>00066BU043544</t>
  </si>
  <si>
    <t>00067BU0727</t>
  </si>
  <si>
    <t>00067BU04331</t>
  </si>
  <si>
    <t>00068BU0394</t>
  </si>
  <si>
    <t>00069BU043513</t>
  </si>
  <si>
    <t>00070BU043647</t>
  </si>
  <si>
    <t>00071BU043568</t>
  </si>
  <si>
    <t>00072BU043575</t>
  </si>
  <si>
    <t>00073BU043645</t>
  </si>
  <si>
    <t>00074BU043549</t>
  </si>
  <si>
    <t>00075BU043530</t>
  </si>
  <si>
    <t>00076BU043527</t>
  </si>
  <si>
    <t>00076BU043528</t>
  </si>
  <si>
    <t>00077BU043653</t>
  </si>
  <si>
    <t>00078BU04333</t>
  </si>
  <si>
    <t>00079BU06731</t>
  </si>
  <si>
    <t>00080BU043673</t>
  </si>
  <si>
    <t>00080BU043674</t>
  </si>
  <si>
    <t>00081BU0611</t>
  </si>
  <si>
    <t>00082BU043531</t>
  </si>
  <si>
    <t>00083BU043648</t>
  </si>
  <si>
    <t>00084BU04412</t>
  </si>
  <si>
    <t>00085BU043535</t>
  </si>
  <si>
    <t>00086BU043648</t>
  </si>
  <si>
    <t>00087BU043531</t>
  </si>
  <si>
    <t>00088BU04475</t>
  </si>
  <si>
    <t>00089BU043558</t>
  </si>
  <si>
    <t>00090BU06692</t>
  </si>
  <si>
    <t>00091BU06756</t>
  </si>
  <si>
    <t>00092BU043543</t>
  </si>
  <si>
    <t>00093UB0048</t>
  </si>
  <si>
    <t>00094BU043528</t>
  </si>
  <si>
    <t>00095BU043546</t>
  </si>
  <si>
    <t>00096BU043552</t>
  </si>
  <si>
    <t>00097BU043553</t>
  </si>
  <si>
    <t>00098BU043522</t>
  </si>
  <si>
    <t>Claudia Yilian</t>
  </si>
  <si>
    <t>00099BU043544</t>
  </si>
  <si>
    <t>00100BU043639</t>
  </si>
  <si>
    <t>00101BU043547</t>
  </si>
  <si>
    <t>00102BU043657</t>
  </si>
  <si>
    <t>00103BU04403</t>
  </si>
  <si>
    <t>00104BU043582</t>
  </si>
  <si>
    <t>Arlette</t>
  </si>
  <si>
    <t>00105BU043547</t>
  </si>
  <si>
    <t>00106BU043547</t>
  </si>
  <si>
    <t>00107BU043562</t>
  </si>
  <si>
    <t>00108BU043670</t>
  </si>
  <si>
    <t>00109HAW0039</t>
  </si>
  <si>
    <t>00110HAW0039</t>
  </si>
  <si>
    <t>00111HAW0039</t>
  </si>
  <si>
    <t>00112HAW0047</t>
  </si>
  <si>
    <t>00113HAW0038</t>
  </si>
  <si>
    <t>00114HAW0080</t>
  </si>
  <si>
    <t>00114HAW0098</t>
  </si>
  <si>
    <t>00114HAW0037</t>
  </si>
  <si>
    <t>00114HAW0101</t>
  </si>
  <si>
    <t>00114HAW0095</t>
  </si>
  <si>
    <t>00114HAW0066</t>
  </si>
  <si>
    <t>00114HAW0038</t>
  </si>
  <si>
    <t>00114HAW0086</t>
  </si>
  <si>
    <t>00114HAW0067</t>
  </si>
  <si>
    <t>00114HAW0050</t>
  </si>
  <si>
    <t>00114HAW0047</t>
  </si>
  <si>
    <t>00115HAW0047</t>
  </si>
  <si>
    <t>00116HAW0096</t>
  </si>
  <si>
    <t>00117BU043662</t>
  </si>
  <si>
    <t>00118BU043548</t>
  </si>
  <si>
    <t>00119BU043537</t>
  </si>
  <si>
    <t>00120BU043554</t>
  </si>
  <si>
    <t>Cancelado</t>
  </si>
  <si>
    <t>00121BU043582</t>
  </si>
  <si>
    <t>00122BU06815</t>
  </si>
  <si>
    <t>00123BU0426</t>
  </si>
  <si>
    <t>00123BU043559</t>
  </si>
  <si>
    <t>00123BU04313</t>
  </si>
  <si>
    <t>00124BU04375</t>
  </si>
  <si>
    <t>00125BU043555</t>
  </si>
  <si>
    <t>00125BU043644</t>
  </si>
  <si>
    <t>00125BU043638</t>
  </si>
  <si>
    <t>00125BU043499</t>
  </si>
  <si>
    <t>00125BU043535</t>
  </si>
  <si>
    <t>00126BU043637</t>
  </si>
  <si>
    <t>00127BU043547</t>
  </si>
  <si>
    <t>00128BU043553</t>
  </si>
  <si>
    <t>00129BU043624</t>
  </si>
  <si>
    <t>00130BU043642</t>
  </si>
  <si>
    <t>00131BU043666</t>
  </si>
  <si>
    <t>00132BU043623</t>
  </si>
  <si>
    <t>00133HAW0067</t>
  </si>
  <si>
    <t>Samantha
[2024-10-09 11:41:29 -0500</t>
  </si>
  <si>
    <t>00134UB0251</t>
  </si>
  <si>
    <t>00134BU043622</t>
  </si>
  <si>
    <t>00135HAW0076</t>
  </si>
  <si>
    <t>00135HAW0107</t>
  </si>
  <si>
    <t>00136BU06789</t>
  </si>
  <si>
    <t>00137BU043660</t>
  </si>
  <si>
    <t>00138UB0117</t>
  </si>
  <si>
    <t>00139BU043544</t>
  </si>
  <si>
    <t>00140BU043550</t>
  </si>
  <si>
    <t>00141BU043625</t>
  </si>
  <si>
    <t>00142BU043549</t>
  </si>
  <si>
    <t>00143BU043549</t>
  </si>
  <si>
    <t>00144BU043550</t>
  </si>
  <si>
    <t>00145BU043534</t>
  </si>
  <si>
    <t>00146BU043675</t>
  </si>
  <si>
    <t>00147BU043660</t>
  </si>
  <si>
    <t>00148UB0178</t>
  </si>
  <si>
    <t>00149HAW0018</t>
  </si>
  <si>
    <t>Yili</t>
  </si>
  <si>
    <t>00150HAW0029</t>
  </si>
  <si>
    <t>Producto no entro a tienda</t>
  </si>
  <si>
    <t>00151HAW0028</t>
  </si>
  <si>
    <t>00152BU043561</t>
  </si>
  <si>
    <t>00152BU04381</t>
  </si>
  <si>
    <t>00152BDANIELA2</t>
  </si>
  <si>
    <t>Venta Halloween</t>
  </si>
  <si>
    <t>00153HAW0050</t>
  </si>
  <si>
    <t>00153HAW0096</t>
  </si>
  <si>
    <t>00154HAW0022</t>
  </si>
  <si>
    <t>00155HAW0096</t>
  </si>
  <si>
    <t>00156HAW0074</t>
  </si>
  <si>
    <t>00157BU043554</t>
  </si>
  <si>
    <t>00158BU043572</t>
  </si>
  <si>
    <t>00159BU043567</t>
  </si>
  <si>
    <t>00160BU0562</t>
  </si>
  <si>
    <t>00161HAW0026</t>
  </si>
  <si>
    <t>00162BU043617</t>
  </si>
  <si>
    <t>00163BU043516</t>
  </si>
  <si>
    <t>Jacqueline</t>
  </si>
  <si>
    <t>00164BU043548</t>
  </si>
  <si>
    <t>00165BU043548</t>
  </si>
  <si>
    <t>00166HAW0038</t>
  </si>
  <si>
    <t>00167BU043539</t>
  </si>
  <si>
    <t>00168BU043561</t>
  </si>
  <si>
    <t>00169HAW0066</t>
  </si>
  <si>
    <t>00170BU043632</t>
  </si>
  <si>
    <t>00171HAW0061</t>
  </si>
  <si>
    <t>00172HAW0101</t>
  </si>
  <si>
    <t>00173HAW0042</t>
  </si>
  <si>
    <t>00173HAW0079</t>
  </si>
  <si>
    <t>00173HAW0072</t>
  </si>
  <si>
    <t>00173HAW0050</t>
  </si>
  <si>
    <t>00173HAW0001</t>
  </si>
  <si>
    <t>00173HAW0049</t>
  </si>
  <si>
    <t>00174BU0319</t>
  </si>
  <si>
    <t>00175BU043539</t>
  </si>
  <si>
    <t>00176BU043619</t>
  </si>
  <si>
    <t>00177HAW0074</t>
  </si>
  <si>
    <t>00178HAW0074</t>
  </si>
  <si>
    <t>00179BU043534</t>
  </si>
  <si>
    <t>00180BU043692</t>
  </si>
  <si>
    <t>00180BU043663</t>
  </si>
  <si>
    <t>00181BU043640</t>
  </si>
  <si>
    <t>00181BU04416</t>
  </si>
  <si>
    <t>00182BU04373</t>
  </si>
  <si>
    <t>Michelle
[2024-10-15 16:57:44 -0500</t>
  </si>
  <si>
    <t>00183BU043618</t>
  </si>
  <si>
    <t>00184BU043617</t>
  </si>
  <si>
    <t>00185HAW0026</t>
  </si>
  <si>
    <t>00186BU0498</t>
  </si>
  <si>
    <t>00187HAW0049</t>
  </si>
  <si>
    <t>Venta Halloween 🧙‍♀️ (lili)</t>
  </si>
  <si>
    <t>00188HAW0023</t>
  </si>
  <si>
    <t>Venta Halloween (lili)</t>
  </si>
  <si>
    <t>00189HAW0067</t>
  </si>
  <si>
    <t>00189HAW0087</t>
  </si>
  <si>
    <t>00189HAW0022</t>
  </si>
  <si>
    <t>Alejandro Rompió un cuchillo</t>
  </si>
  <si>
    <t>00190HAW0067</t>
  </si>
  <si>
    <t>00191HAW0050</t>
  </si>
  <si>
    <t>Ajuste de inventario</t>
  </si>
  <si>
    <t>00192HAW0037</t>
  </si>
  <si>
    <t>00193HAW0103</t>
  </si>
  <si>
    <t>00194HAW0095</t>
  </si>
  <si>
    <t>00195HAW0086</t>
  </si>
  <si>
    <t>00196HAW0038</t>
  </si>
  <si>
    <t>00197HAW0038</t>
  </si>
  <si>
    <t>Salida del inventario (producto en mal estado)</t>
  </si>
  <si>
    <t>00198HAW0039</t>
  </si>
  <si>
    <t>00199HAW0018</t>
  </si>
  <si>
    <t>00200HAW0104</t>
  </si>
  <si>
    <t>00201UB0140</t>
  </si>
  <si>
    <t>00201BU06752</t>
  </si>
  <si>
    <t>00202BU043537</t>
  </si>
  <si>
    <t>00203BU043619</t>
  </si>
  <si>
    <t>00204HAW0023</t>
  </si>
  <si>
    <t>00204HAW0073</t>
  </si>
  <si>
    <t>00204HAW0019</t>
  </si>
  <si>
    <t>00204HAW0074</t>
  </si>
  <si>
    <t>00205HAW0036</t>
  </si>
  <si>
    <t>00205HAW0051</t>
  </si>
  <si>
    <t>00205HAW0062</t>
  </si>
  <si>
    <t>00205HAW0066</t>
  </si>
  <si>
    <t>00206HAW0026</t>
  </si>
  <si>
    <t>00207HAW0069</t>
  </si>
  <si>
    <t>00208BU043543</t>
  </si>
  <si>
    <t>00209HAW0060</t>
  </si>
  <si>
    <t>00210HAW0021</t>
  </si>
  <si>
    <t>00211HAW0076</t>
  </si>
  <si>
    <t>00212BU043515</t>
  </si>
  <si>
    <t>00213BU04366</t>
  </si>
  <si>
    <t>00213BU0382</t>
  </si>
  <si>
    <t>00213BU043559</t>
  </si>
  <si>
    <t>00214BU043676</t>
  </si>
  <si>
    <t>00215HAW0060</t>
  </si>
  <si>
    <t>00216HAW0030</t>
  </si>
  <si>
    <t>00217HAW0024</t>
  </si>
  <si>
    <t>Yeny (máscara vendida en ve $15)</t>
  </si>
  <si>
    <t>00218HAW0026</t>
  </si>
  <si>
    <t>00219HAW0017</t>
  </si>
  <si>
    <t>00220HAW0026</t>
  </si>
  <si>
    <t>Hija de mimí regalo</t>
  </si>
  <si>
    <t>00221HAW0026</t>
  </si>
  <si>
    <t>00222HAW0075</t>
  </si>
  <si>
    <t>00223BU043551</t>
  </si>
  <si>
    <t>00224BU043600</t>
  </si>
  <si>
    <t>00225BU043674</t>
  </si>
  <si>
    <t>00226BU0561</t>
  </si>
  <si>
    <t>00227BU043600</t>
  </si>
  <si>
    <t>00228BU043654</t>
  </si>
  <si>
    <t>00229UB0048</t>
  </si>
  <si>
    <t>00230HAW0066</t>
  </si>
  <si>
    <t>00230HAW0067</t>
  </si>
  <si>
    <t>00231HAW0054</t>
  </si>
  <si>
    <t>00232BU0733</t>
  </si>
  <si>
    <t>00233BU043647</t>
  </si>
  <si>
    <t>00234HAW0088</t>
  </si>
  <si>
    <t>00234HAW0089</t>
  </si>
  <si>
    <t>00235BU043573</t>
  </si>
  <si>
    <t>Mio</t>
  </si>
  <si>
    <t>00236HAW0004</t>
  </si>
  <si>
    <t>00237HAW0064</t>
  </si>
  <si>
    <t>00238BU043535</t>
  </si>
  <si>
    <t>Yesy
[2024-10-25 12:24:34 -0500</t>
  </si>
  <si>
    <t>00239HAW0040</t>
  </si>
  <si>
    <t>00240HAW0042</t>
  </si>
  <si>
    <t>00240HAW0052</t>
  </si>
  <si>
    <t>00240HAW0017</t>
  </si>
  <si>
    <t>00241HAW0075</t>
  </si>
  <si>
    <t>00241HAW0090</t>
  </si>
  <si>
    <t>00241HAW0069</t>
  </si>
  <si>
    <t>00241HAW0108</t>
  </si>
  <si>
    <t>00241HAW0083</t>
  </si>
  <si>
    <t>00242BU043523</t>
  </si>
  <si>
    <t>00243BU04386</t>
  </si>
  <si>
    <t>00244HAW0036</t>
  </si>
  <si>
    <t>00244HAW0076</t>
  </si>
  <si>
    <t>00245HAW0067</t>
  </si>
  <si>
    <t>00246HAW0067</t>
  </si>
  <si>
    <t>00247HAW0053</t>
  </si>
  <si>
    <t>Asignar vendedores</t>
  </si>
  <si>
    <t>00248BU043673</t>
  </si>
  <si>
    <t>00248BU043671</t>
  </si>
  <si>
    <t>00248BU043674</t>
  </si>
  <si>
    <t>00249HAW0061</t>
  </si>
  <si>
    <t>00250HAW0030</t>
  </si>
  <si>
    <t>00251BU043666</t>
  </si>
  <si>
    <t>00252BU043618</t>
  </si>
  <si>
    <t>00253HAW0029</t>
  </si>
  <si>
    <t>00253HAW0024</t>
  </si>
  <si>
    <t>00253HAW0025</t>
  </si>
  <si>
    <t>Lo vendí yo</t>
  </si>
  <si>
    <t>00254HAW0042</t>
  </si>
  <si>
    <t>00255HAW0063</t>
  </si>
  <si>
    <t>00256BU0551</t>
  </si>
  <si>
    <t>00256HAW0049</t>
  </si>
  <si>
    <t>00257HAW0023</t>
  </si>
  <si>
    <t>00257HAW0093</t>
  </si>
  <si>
    <t>00258BU043660</t>
  </si>
  <si>
    <t>00259HAW0057</t>
  </si>
  <si>
    <t>00259HAW0080</t>
  </si>
  <si>
    <t>00260HAW0031</t>
  </si>
  <si>
    <t>00260HAW0054</t>
  </si>
  <si>
    <t>00260HAW0057</t>
  </si>
  <si>
    <t>00261BU043672</t>
  </si>
  <si>
    <t>00261BU04330</t>
  </si>
  <si>
    <t>00261BU0383</t>
  </si>
  <si>
    <t>00261BU043607</t>
  </si>
  <si>
    <t>00262HAW0066</t>
  </si>
  <si>
    <t>00262HAW0076</t>
  </si>
  <si>
    <t>00262HAW0046</t>
  </si>
  <si>
    <t>00263HAW0024</t>
  </si>
  <si>
    <t>00264HAW0047</t>
  </si>
  <si>
    <t>00265HAW0046</t>
  </si>
  <si>
    <t>00265HAW0066</t>
  </si>
  <si>
    <t>00266BU043619</t>
  </si>
  <si>
    <t>00267HAW0075</t>
  </si>
  <si>
    <t>00268HAW0096</t>
  </si>
  <si>
    <t>00268BU043512</t>
  </si>
  <si>
    <t>00268HAW0066</t>
  </si>
  <si>
    <t>00269HAW0076</t>
  </si>
  <si>
    <t>00270BU043540</t>
  </si>
  <si>
    <t>00271HAW0063</t>
  </si>
  <si>
    <t>00272HAW0080</t>
  </si>
  <si>
    <t>00273HAW0066</t>
  </si>
  <si>
    <t>00274HAW0073</t>
  </si>
  <si>
    <t>00275BU043517</t>
  </si>
  <si>
    <t>00276HAW0094</t>
  </si>
  <si>
    <t>00277HAW0073</t>
  </si>
  <si>
    <t>00277HAW0020</t>
  </si>
  <si>
    <t>00277HAW0016</t>
  </si>
  <si>
    <t>00278HAW0020</t>
  </si>
  <si>
    <t>00279HAW0040</t>
  </si>
  <si>
    <t>00280HAW0016</t>
  </si>
  <si>
    <t>00280HAW0020</t>
  </si>
  <si>
    <t>00281BU043616</t>
  </si>
  <si>
    <t>00281BU043599</t>
  </si>
  <si>
    <t>00282YILHM0001</t>
  </si>
  <si>
    <t>00282YILHM0005</t>
  </si>
  <si>
    <t>00283YILHM0062</t>
  </si>
  <si>
    <t>00283YILHM0061</t>
  </si>
  <si>
    <t>00284BU0551</t>
  </si>
  <si>
    <t>00284HAW0021</t>
  </si>
  <si>
    <t>00284HAW0022</t>
  </si>
  <si>
    <t>00285HAW0024</t>
  </si>
  <si>
    <t>00286BU043602</t>
  </si>
  <si>
    <t>00286BU043571</t>
  </si>
  <si>
    <t>00286BU043604</t>
  </si>
  <si>
    <t>00287BU043572</t>
  </si>
  <si>
    <t>Se vendió cada disfraz en $17.50</t>
  </si>
  <si>
    <t>00288HAW0070</t>
  </si>
  <si>
    <t>00288HAW0058</t>
  </si>
  <si>
    <t>00289HAW0084</t>
  </si>
  <si>
    <t>00290HAW0058</t>
  </si>
  <si>
    <t>00291HAW0070</t>
  </si>
  <si>
    <t>Ventas ko</t>
  </si>
  <si>
    <t>00292HAW0040</t>
  </si>
  <si>
    <t>00293BU043576</t>
  </si>
  <si>
    <t>Venta KO</t>
  </si>
  <si>
    <t>00294HAW0020</t>
  </si>
  <si>
    <t>00295HAW0047</t>
  </si>
  <si>
    <t>00296HAW0021</t>
  </si>
  <si>
    <t>00297BU043601</t>
  </si>
  <si>
    <t>00298HAW0064</t>
  </si>
  <si>
    <t>00299HAW0033</t>
  </si>
  <si>
    <t>00300HAW0049</t>
  </si>
  <si>
    <t>00301HAW0036</t>
  </si>
  <si>
    <t>00302HAW0001</t>
  </si>
  <si>
    <t>00303HAW0066</t>
  </si>
  <si>
    <t>00304HAW0066</t>
  </si>
  <si>
    <t>00305HAW0066</t>
  </si>
  <si>
    <t>00306HAW0076</t>
  </si>
  <si>
    <t>00307HAW0016</t>
  </si>
  <si>
    <t>00307HAW0010</t>
  </si>
  <si>
    <t>00308HAW0075</t>
  </si>
  <si>
    <t>00309HAW0031</t>
  </si>
  <si>
    <t>00309HAW0075</t>
  </si>
  <si>
    <t>00310HAW0071</t>
  </si>
  <si>
    <t>00310HAW0059</t>
  </si>
  <si>
    <t>00311HAW0064</t>
  </si>
  <si>
    <t>00312HAW0064</t>
  </si>
  <si>
    <t>00313YILHM0004</t>
  </si>
  <si>
    <t>00314HAW0055</t>
  </si>
  <si>
    <t>Gercy ( se vendió en $21.00)</t>
  </si>
  <si>
    <t>00315HAW0014</t>
  </si>
  <si>
    <t>00316HAW0068</t>
  </si>
  <si>
    <t>00317BU06765</t>
  </si>
  <si>
    <t>00317BU04407</t>
  </si>
  <si>
    <t>00318BU043506</t>
  </si>
  <si>
    <t>00319BU04380</t>
  </si>
  <si>
    <t>00320YILHM0093</t>
  </si>
  <si>
    <t>00321BU043655</t>
  </si>
  <si>
    <t>00322BU04407</t>
  </si>
  <si>
    <t>00323BU043499</t>
  </si>
  <si>
    <t>00324YILHM0053</t>
  </si>
  <si>
    <t>00325BU043574</t>
  </si>
  <si>
    <t>00326BU043598</t>
  </si>
  <si>
    <t>00326BU043595</t>
  </si>
  <si>
    <t>00327YILHM0099</t>
  </si>
  <si>
    <t>00328BU068102</t>
  </si>
  <si>
    <t>00329BU04401</t>
  </si>
  <si>
    <t>00329HAW0106</t>
  </si>
  <si>
    <t>00329HAW0108</t>
  </si>
  <si>
    <t>00329YILHM0042</t>
  </si>
  <si>
    <t>00330BU043558</t>
  </si>
  <si>
    <t>baby se lo quedo</t>
  </si>
  <si>
    <t>00331YILHM0110</t>
  </si>
  <si>
    <t>00332YILHM0118</t>
  </si>
  <si>
    <t>00332YILHM0090</t>
  </si>
  <si>
    <t>00332YILHM0089</t>
  </si>
  <si>
    <t>00333YILHM0042</t>
  </si>
  <si>
    <t>00334BU06818</t>
  </si>
  <si>
    <t>Top corto de lazo delantero</t>
  </si>
  <si>
    <t>00335BU04406</t>
  </si>
  <si>
    <t>Baby se lo quedo</t>
  </si>
  <si>
    <t>00336YILHM0074</t>
  </si>
  <si>
    <t>00336YILHM0076</t>
  </si>
  <si>
    <t>00337BU043626</t>
  </si>
  <si>
    <t>00338BU043620</t>
  </si>
  <si>
    <t>Yilian actualización Venta de Octubre</t>
  </si>
  <si>
    <t>00339BU043637</t>
  </si>
  <si>
    <t>Yilian, ajuste de inventario Octubre</t>
  </si>
  <si>
    <t>00340BU04328</t>
  </si>
  <si>
    <t>Yilian, ajuste de ventas, Octubre</t>
  </si>
  <si>
    <t>00341HAW0055</t>
  </si>
  <si>
    <t>Violeta ajuste ventas Octubre</t>
  </si>
  <si>
    <t>00342BU043516</t>
  </si>
  <si>
    <t>Sarai, ajuste de ventas, Octubre</t>
  </si>
  <si>
    <t>00343HAW0046</t>
  </si>
  <si>
    <t>00344YILHM0057</t>
  </si>
  <si>
    <t>Massi Manicuri pendiente de pago y me debe otras prendas</t>
  </si>
  <si>
    <t>00345YILHM0109</t>
  </si>
  <si>
    <t>00346BU0702</t>
  </si>
  <si>
    <t>00347BU043620</t>
  </si>
  <si>
    <t>00348BU043621</t>
  </si>
  <si>
    <t>00349BU043488</t>
  </si>
  <si>
    <t>00350BU043670</t>
  </si>
  <si>
    <t>00351BU0308</t>
  </si>
  <si>
    <t>00352YILHM0097</t>
  </si>
  <si>
    <t>00353BU0593</t>
  </si>
  <si>
    <t>00354YILHM0063</t>
  </si>
  <si>
    <t>00355BU04442</t>
  </si>
  <si>
    <t>ajuste inventario</t>
  </si>
  <si>
    <t>00356BU043637</t>
  </si>
  <si>
    <t>00356BU043638</t>
  </si>
  <si>
    <t>00357BU043638</t>
  </si>
  <si>
    <t>00358YILHM0087</t>
  </si>
  <si>
    <t>00359BU043492</t>
  </si>
  <si>
    <t>00359BU043573</t>
  </si>
  <si>
    <t>00360BU043536</t>
  </si>
  <si>
    <t>00361BU043570</t>
  </si>
  <si>
    <t>00362BU068181</t>
  </si>
  <si>
    <t>00362BU043632</t>
  </si>
  <si>
    <t>00363BU0698</t>
  </si>
  <si>
    <t>00364BU068181</t>
  </si>
  <si>
    <t>00365BU04436</t>
  </si>
  <si>
    <t>00366BU043481</t>
  </si>
  <si>
    <t>00367BU043481</t>
  </si>
  <si>
    <t>00368BU04447</t>
  </si>
  <si>
    <t>00369BU043610</t>
  </si>
  <si>
    <t>00370YILHM0148</t>
  </si>
  <si>
    <t>00371BU06511</t>
  </si>
  <si>
    <t>00372YILHM0139</t>
  </si>
  <si>
    <t>00373YILHM0081</t>
  </si>
  <si>
    <t>00373YILHM0086</t>
  </si>
  <si>
    <t>00373YILHM0060</t>
  </si>
  <si>
    <t>00374YILHM0014</t>
  </si>
  <si>
    <t>00374BU04330</t>
  </si>
  <si>
    <t>00374YILHM0039</t>
  </si>
  <si>
    <t>00374YILHM0045</t>
  </si>
  <si>
    <t>00375BU0349</t>
  </si>
  <si>
    <t>00376BU043621</t>
  </si>
  <si>
    <t>00377BU0734</t>
  </si>
  <si>
    <t>00378BU06798</t>
  </si>
  <si>
    <t>00379BU0733</t>
  </si>
  <si>
    <t>00380BU04353</t>
  </si>
  <si>
    <t>00381UB0187</t>
  </si>
  <si>
    <t>00381BU0348</t>
  </si>
  <si>
    <t>00381BU06819</t>
  </si>
  <si>
    <t>00382BU043498</t>
  </si>
  <si>
    <t>00383BU0351</t>
  </si>
  <si>
    <t>00383UB0192</t>
  </si>
  <si>
    <t>00383BU06551</t>
  </si>
  <si>
    <t>00384BU0652</t>
  </si>
  <si>
    <t>00385BU06802</t>
  </si>
  <si>
    <t>00386UB0218</t>
  </si>
  <si>
    <t>00388YILHM0117</t>
  </si>
  <si>
    <t>00389BU043577</t>
  </si>
  <si>
    <t>00390YILHM0032</t>
  </si>
  <si>
    <t>00391YILHM0017</t>
  </si>
  <si>
    <t>00391YILHM0023</t>
  </si>
  <si>
    <t>00392BU043518</t>
  </si>
  <si>
    <t>00393BU043596</t>
  </si>
  <si>
    <t>00394BU06731</t>
  </si>
  <si>
    <t>Vestido de botones y listas amarillas con abertura</t>
  </si>
  <si>
    <t>00395BU043668</t>
  </si>
  <si>
    <t>00396BU0435961</t>
  </si>
</sst>
</file>

<file path=xl/styles.xml><?xml version="1.0" encoding="utf-8"?>
<styleSheet xmlns="http://schemas.openxmlformats.org/spreadsheetml/2006/main">
  <numFmts count="9">
    <numFmt numFmtId="176" formatCode="&quot;$&quot;#,##0.0"/>
    <numFmt numFmtId="177" formatCode="dd\-mmm"/>
    <numFmt numFmtId="178" formatCode="&quot;$&quot;#,##0.00"/>
    <numFmt numFmtId="179" formatCode="_-&quot;$&quot;* #,##0.00_-;\-&quot;$&quot;* #,##0.00_-;_-&quot;$&quot;* &quot;-&quot;??_-;_-@_-"/>
    <numFmt numFmtId="41" formatCode="_-* #,##0_-;\-* #,##0_-;_-* &quot;-&quot;_-;_-@_-"/>
    <numFmt numFmtId="180" formatCode="0.00_);[Red]\(0.00\)"/>
    <numFmt numFmtId="43" formatCode="_-* #,##0.00_-;\-* #,##0.00_-;_-* &quot;-&quot;??_-;_-@_-"/>
    <numFmt numFmtId="44" formatCode="_-&quot;£&quot;* #,##0.00_-;\-&quot;£&quot;* #,##0.00_-;_-&quot;£&quot;* &quot;-&quot;??_-;_-@_-"/>
    <numFmt numFmtId="42" formatCode="_-&quot;£&quot;* #,##0_-;\-&quot;£&quot;* #,##0_-;_-&quot;£&quot;* &quot;-&quot;_-;_-@_-"/>
  </numFmts>
  <fonts count="40">
    <font>
      <sz val="1"/>
      <color indexed="8"/>
      <name val="Helvetica Neue"/>
      <charset val="134"/>
    </font>
    <font>
      <sz val="10"/>
      <color theme="1"/>
      <name val="Helvetica Neue"/>
      <charset val="134"/>
    </font>
    <font>
      <sz val="10"/>
      <color indexed="8"/>
      <name val="Helvetica Neue"/>
      <charset val="134"/>
    </font>
    <font>
      <sz val="9"/>
      <color indexed="8"/>
      <name val="Helvetica Neue"/>
      <charset val="134"/>
    </font>
    <font>
      <b/>
      <sz val="10"/>
      <color theme="0"/>
      <name val="Helvetica Neue"/>
      <charset val="134"/>
    </font>
    <font>
      <sz val="9"/>
      <color rgb="FF000000"/>
      <name val="Helvetica Neue"/>
      <charset val="134"/>
    </font>
    <font>
      <sz val="9"/>
      <color indexed="8"/>
      <name val="Helvetica Neue"/>
      <charset val="134"/>
      <scheme val="major"/>
    </font>
    <font>
      <sz val="12"/>
      <color indexed="8"/>
      <name val="Helvetica Neue (Body)"/>
      <charset val="134"/>
    </font>
    <font>
      <sz val="10"/>
      <color indexed="8"/>
      <name val="Helvetica Neue"/>
      <charset val="134"/>
      <scheme val="major"/>
    </font>
    <font>
      <b/>
      <sz val="10"/>
      <color indexed="8"/>
      <name val="Helvetica Neue"/>
      <charset val="134"/>
      <scheme val="minor"/>
    </font>
    <font>
      <b/>
      <sz val="12"/>
      <color theme="2" tint="-0.899960325937681"/>
      <name val="Helvetica Neue (Body)"/>
      <charset val="134"/>
    </font>
    <font>
      <b/>
      <sz val="10"/>
      <color rgb="FF000000"/>
      <name val="Helvetica Neue"/>
      <charset val="134"/>
      <scheme val="major"/>
    </font>
    <font>
      <sz val="10"/>
      <color rgb="FF000000"/>
      <name val="Helvetica Neue"/>
      <charset val="134"/>
      <scheme val="major"/>
    </font>
    <font>
      <u/>
      <sz val="10"/>
      <color indexed="8"/>
      <name val="Helvetica Neue"/>
      <charset val="134"/>
      <scheme val="major"/>
    </font>
    <font>
      <sz val="10"/>
      <color theme="1"/>
      <name val="Helvetica Neue"/>
      <charset val="134"/>
      <scheme val="major"/>
    </font>
    <font>
      <sz val="12"/>
      <color theme="1"/>
      <name val="Helvetica Neue"/>
      <charset val="134"/>
      <scheme val="minor"/>
    </font>
    <font>
      <sz val="8.25"/>
      <color rgb="FF000000"/>
      <name val="Menlo"/>
      <charset val="134"/>
    </font>
    <font>
      <sz val="11"/>
      <color rgb="FF222222"/>
      <name val="Helvetica Neue"/>
      <charset val="134"/>
      <scheme val="minor"/>
    </font>
    <font>
      <sz val="11"/>
      <color theme="1"/>
      <name val="Helvetica Neue"/>
      <charset val="134"/>
      <scheme val="minor"/>
    </font>
    <font>
      <b/>
      <sz val="10"/>
      <color indexed="8"/>
      <name val="Helvetica Neue"/>
      <charset val="134"/>
      <scheme val="major"/>
    </font>
    <font>
      <b/>
      <sz val="10"/>
      <color theme="0"/>
      <name val="Helvetica Neue (Headings)"/>
      <charset val="134"/>
    </font>
    <font>
      <b/>
      <sz val="11"/>
      <color rgb="FFFFFFFF"/>
      <name val="Helvetica Neue"/>
      <charset val="0"/>
      <scheme val="minor"/>
    </font>
    <font>
      <sz val="11"/>
      <color rgb="FF9C0006"/>
      <name val="Helvetica Neue"/>
      <charset val="0"/>
      <scheme val="minor"/>
    </font>
    <font>
      <b/>
      <sz val="18"/>
      <color theme="3"/>
      <name val="Helvetica Neue"/>
      <charset val="134"/>
      <scheme val="minor"/>
    </font>
    <font>
      <b/>
      <sz val="13"/>
      <color theme="3"/>
      <name val="Helvetica Neue"/>
      <charset val="134"/>
      <scheme val="minor"/>
    </font>
    <font>
      <sz val="11"/>
      <color theme="1"/>
      <name val="Helvetica Neue"/>
      <charset val="0"/>
      <scheme val="minor"/>
    </font>
    <font>
      <u/>
      <sz val="11"/>
      <color rgb="FF0000FF"/>
      <name val="Helvetica Neue"/>
      <charset val="0"/>
      <scheme val="minor"/>
    </font>
    <font>
      <sz val="11"/>
      <color theme="0"/>
      <name val="Helvetica Neue"/>
      <charset val="0"/>
      <scheme val="minor"/>
    </font>
    <font>
      <b/>
      <sz val="15"/>
      <color theme="3"/>
      <name val="Helvetica Neue"/>
      <charset val="134"/>
      <scheme val="minor"/>
    </font>
    <font>
      <sz val="11"/>
      <color rgb="FF3F3F76"/>
      <name val="Helvetica Neue"/>
      <charset val="0"/>
      <scheme val="minor"/>
    </font>
    <font>
      <sz val="11"/>
      <color rgb="FFFF0000"/>
      <name val="Helvetica Neue"/>
      <charset val="0"/>
      <scheme val="minor"/>
    </font>
    <font>
      <sz val="11"/>
      <color rgb="FF006100"/>
      <name val="Helvetica Neue"/>
      <charset val="0"/>
      <scheme val="minor"/>
    </font>
    <font>
      <b/>
      <sz val="11"/>
      <color theme="3"/>
      <name val="Helvetica Neue"/>
      <charset val="134"/>
      <scheme val="minor"/>
    </font>
    <font>
      <b/>
      <sz val="11"/>
      <color rgb="FF3F3F3F"/>
      <name val="Helvetica Neue"/>
      <charset val="0"/>
      <scheme val="minor"/>
    </font>
    <font>
      <b/>
      <sz val="11"/>
      <color theme="1"/>
      <name val="Helvetica Neue"/>
      <charset val="0"/>
      <scheme val="minor"/>
    </font>
    <font>
      <i/>
      <sz val="11"/>
      <color rgb="FF7F7F7F"/>
      <name val="Helvetica Neue"/>
      <charset val="0"/>
      <scheme val="minor"/>
    </font>
    <font>
      <u/>
      <sz val="11"/>
      <color rgb="FF800080"/>
      <name val="Helvetica Neue"/>
      <charset val="0"/>
      <scheme val="minor"/>
    </font>
    <font>
      <sz val="11"/>
      <color rgb="FFFA7D00"/>
      <name val="Helvetica Neue"/>
      <charset val="0"/>
      <scheme val="minor"/>
    </font>
    <font>
      <sz val="11"/>
      <color rgb="FF9C6500"/>
      <name val="Helvetica Neue"/>
      <charset val="0"/>
      <scheme val="minor"/>
    </font>
    <font>
      <b/>
      <sz val="11"/>
      <color rgb="FFFA7D00"/>
      <name val="Helvetica Neue"/>
      <charset val="0"/>
      <scheme val="minor"/>
    </font>
  </fonts>
  <fills count="46">
    <fill>
      <patternFill patternType="none"/>
    </fill>
    <fill>
      <patternFill patternType="gray125"/>
    </fill>
    <fill>
      <patternFill patternType="solid">
        <fgColor theme="6" tint="-0.249977111117893"/>
        <bgColor indexed="64"/>
      </patternFill>
    </fill>
    <fill>
      <patternFill patternType="solid">
        <fgColor theme="7" tint="0.399945066682943"/>
        <bgColor indexed="64"/>
      </patternFill>
    </fill>
    <fill>
      <patternFill patternType="solid">
        <fgColor theme="8"/>
        <bgColor indexed="64"/>
      </patternFill>
    </fill>
    <fill>
      <patternFill patternType="solid">
        <fgColor theme="6" tint="0.399945066682943"/>
        <bgColor indexed="64"/>
      </patternFill>
    </fill>
    <fill>
      <patternFill patternType="solid">
        <fgColor theme="0"/>
        <bgColor indexed="64"/>
      </patternFill>
    </fill>
    <fill>
      <patternFill patternType="solid">
        <fgColor theme="0"/>
        <bgColor rgb="FFCEFBF5"/>
      </patternFill>
    </fill>
    <fill>
      <patternFill patternType="solid">
        <fgColor theme="7"/>
        <bgColor indexed="64"/>
      </patternFill>
    </fill>
    <fill>
      <patternFill patternType="solid">
        <fgColor rgb="FF00B050"/>
        <bgColor indexed="64"/>
      </patternFill>
    </fill>
    <fill>
      <patternFill patternType="solid">
        <fgColor theme="6" tint="0.799951170384838"/>
        <bgColor indexed="64"/>
      </patternFill>
    </fill>
    <fill>
      <patternFill patternType="solid">
        <fgColor rgb="FFFFFF00"/>
        <bgColor indexed="64"/>
      </patternFill>
    </fill>
    <fill>
      <patternFill patternType="solid">
        <fgColor rgb="FFFFFFFF"/>
        <bgColor rgb="FF000000"/>
      </patternFill>
    </fill>
    <fill>
      <patternFill patternType="solid">
        <fgColor theme="4" tint="0.799951170384838"/>
        <bgColor theme="4" tint="0.799951170384838"/>
      </patternFill>
    </fill>
    <fill>
      <patternFill patternType="solid">
        <fgColor theme="5" tint="0.799981688894314"/>
        <bgColor theme="5" tint="0.799981688894314"/>
      </patternFill>
    </fill>
    <fill>
      <patternFill patternType="solid">
        <fgColor theme="6"/>
        <bgColor indexed="64"/>
      </patternFill>
    </fill>
    <fill>
      <patternFill patternType="solid">
        <fgColor theme="8" tint="-0.249977111117893"/>
        <bgColor rgb="FF000000"/>
      </patternFill>
    </fill>
    <fill>
      <patternFill patternType="solid">
        <fgColor rgb="FF002060"/>
        <bgColor indexed="64"/>
      </patternFill>
    </fill>
    <fill>
      <patternFill patternType="solid">
        <fgColor rgb="FFA5A5A5"/>
        <bgColor indexed="64"/>
      </patternFill>
    </fill>
    <fill>
      <patternFill patternType="solid">
        <fgColor rgb="FFFFC7CE"/>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rgb="FFC6EFCE"/>
        <bgColor indexed="64"/>
      </patternFill>
    </fill>
    <fill>
      <patternFill patternType="solid">
        <fgColor rgb="FFFFFFCC"/>
        <bgColor indexed="64"/>
      </patternFill>
    </fill>
    <fill>
      <patternFill patternType="solid">
        <fgColor rgb="FFF2F2F2"/>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5"/>
        <bgColor indexed="64"/>
      </patternFill>
    </fill>
    <fill>
      <patternFill patternType="solid">
        <fgColor theme="5" tint="0.599993896298105"/>
        <bgColor indexed="64"/>
      </patternFill>
    </fill>
    <fill>
      <patternFill patternType="solid">
        <fgColor theme="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5" tint="0.799981688894314"/>
        <bgColor indexed="64"/>
      </patternFill>
    </fill>
  </fills>
  <borders count="24">
    <border>
      <left/>
      <right/>
      <top/>
      <bottom/>
      <diagonal/>
    </border>
    <border>
      <left style="thin">
        <color theme="3" tint="0.799951170384838"/>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style="thin">
        <color theme="3" tint="0.799920651875362"/>
      </bottom>
      <diagonal/>
    </border>
    <border>
      <left/>
      <right/>
      <top style="thin">
        <color theme="3" tint="0.799951170384838"/>
      </top>
      <bottom style="thin">
        <color theme="3" tint="0.799951170384838"/>
      </bottom>
      <diagonal/>
    </border>
    <border>
      <left/>
      <right style="thin">
        <color theme="3" tint="0.799951170384838"/>
      </right>
      <top style="thin">
        <color theme="3" tint="0.799951170384838"/>
      </top>
      <bottom style="thin">
        <color theme="3" tint="0.799951170384838"/>
      </bottom>
      <diagonal/>
    </border>
    <border>
      <left style="thin">
        <color theme="3" tint="0.799920651875362"/>
      </left>
      <right style="thin">
        <color theme="3" tint="0.799920651875362"/>
      </right>
      <top style="thin">
        <color theme="3" tint="0.799920651875362"/>
      </top>
      <bottom/>
      <diagonal/>
    </border>
    <border>
      <left style="thin">
        <color theme="0" tint="-0.0499893185216834"/>
      </left>
      <right style="thin">
        <color theme="0" tint="-0.0499893185216834"/>
      </right>
      <top/>
      <bottom style="thin">
        <color theme="0" tint="-0.0499893185216834"/>
      </bottom>
      <diagonal/>
    </border>
    <border>
      <left style="thin">
        <color theme="0" tint="-0.0499893185216834"/>
      </left>
      <right style="thin">
        <color theme="0" tint="-0.0499893185216834"/>
      </right>
      <top style="thin">
        <color theme="0" tint="-0.0499893185216834"/>
      </top>
      <bottom style="thin">
        <color theme="0" tint="-0.0499893185216834"/>
      </bottom>
      <diagonal/>
    </border>
    <border>
      <left style="thin">
        <color theme="0" tint="-0.499984740745262"/>
      </left>
      <right style="thin">
        <color theme="0" tint="-0.499984740745262"/>
      </right>
      <top/>
      <bottom style="thin">
        <color theme="0" tint="-0.499984740745262"/>
      </bottom>
      <diagonal/>
    </border>
    <border>
      <left style="thin">
        <color theme="0" tint="-0.0499893185216834"/>
      </left>
      <right style="thin">
        <color theme="0" tint="-0.0499893185216834"/>
      </right>
      <top/>
      <bottom/>
      <diagonal/>
    </border>
    <border>
      <left/>
      <right style="thin">
        <color theme="0" tint="-0.0499893185216834"/>
      </right>
      <top/>
      <bottom style="thin">
        <color theme="0" tint="-0.0499893185216834"/>
      </bottom>
      <diagonal/>
    </border>
    <border>
      <left/>
      <right style="thin">
        <color theme="0" tint="-0.0499893185216834"/>
      </right>
      <top/>
      <bottom/>
      <diagonal/>
    </border>
    <border>
      <left style="medium">
        <color rgb="FFE5E5E5"/>
      </left>
      <right style="medium">
        <color rgb="FFE5E5E5"/>
      </right>
      <top/>
      <bottom/>
      <diagonal/>
    </border>
    <border>
      <left/>
      <right style="medium">
        <color rgb="FFE5E5E5"/>
      </right>
      <top/>
      <bottom/>
      <diagonal/>
    </border>
    <border>
      <left/>
      <right style="medium">
        <color rgb="FFE5E5E5"/>
      </right>
      <top/>
      <bottom style="medium">
        <color rgb="FFE5E5E5"/>
      </bottom>
      <diagonal/>
    </border>
    <border>
      <left style="thin">
        <color theme="0" tint="-0.0499893185216834"/>
      </left>
      <right style="thin">
        <color theme="0" tint="-0.0499893185216834"/>
      </right>
      <top style="thin">
        <color theme="5"/>
      </top>
      <bottom style="thin">
        <color theme="5"/>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52">
    <xf numFmtId="0" fontId="0" fillId="0" borderId="0">
      <alignment vertical="top" wrapText="1"/>
    </xf>
    <xf numFmtId="0" fontId="15" fillId="0" borderId="0"/>
    <xf numFmtId="179" fontId="15" fillId="0" borderId="0"/>
    <xf numFmtId="0" fontId="27" fillId="39" borderId="0" applyNumberFormat="0" applyBorder="0" applyAlignment="0" applyProtection="0">
      <alignment vertical="center"/>
    </xf>
    <xf numFmtId="0" fontId="25" fillId="21" borderId="0" applyNumberFormat="0" applyBorder="0" applyAlignment="0" applyProtection="0">
      <alignment vertical="center"/>
    </xf>
    <xf numFmtId="0" fontId="27" fillId="31" borderId="0" applyNumberFormat="0" applyBorder="0" applyAlignment="0" applyProtection="0">
      <alignment vertical="center"/>
    </xf>
    <xf numFmtId="0" fontId="27" fillId="29" borderId="0" applyNumberFormat="0" applyBorder="0" applyAlignment="0" applyProtection="0">
      <alignment vertical="center"/>
    </xf>
    <xf numFmtId="0" fontId="25" fillId="44" borderId="0" applyNumberFormat="0" applyBorder="0" applyAlignment="0" applyProtection="0">
      <alignment vertical="center"/>
    </xf>
    <xf numFmtId="0" fontId="25" fillId="41" borderId="0" applyNumberFormat="0" applyBorder="0" applyAlignment="0" applyProtection="0">
      <alignment vertical="center"/>
    </xf>
    <xf numFmtId="0" fontId="27" fillId="43" borderId="0" applyNumberFormat="0" applyBorder="0" applyAlignment="0" applyProtection="0">
      <alignment vertical="center"/>
    </xf>
    <xf numFmtId="0" fontId="27" fillId="4" borderId="0" applyNumberFormat="0" applyBorder="0" applyAlignment="0" applyProtection="0">
      <alignment vertical="center"/>
    </xf>
    <xf numFmtId="0" fontId="25" fillId="37" borderId="0" applyNumberFormat="0" applyBorder="0" applyAlignment="0" applyProtection="0">
      <alignment vertical="center"/>
    </xf>
    <xf numFmtId="0" fontId="27" fillId="8" borderId="0" applyNumberFormat="0" applyBorder="0" applyAlignment="0" applyProtection="0">
      <alignment vertical="center"/>
    </xf>
    <xf numFmtId="0" fontId="37" fillId="0" borderId="22" applyNumberFormat="0" applyFill="0" applyAlignment="0" applyProtection="0">
      <alignment vertical="center"/>
    </xf>
    <xf numFmtId="0" fontId="25" fillId="35" borderId="0" applyNumberFormat="0" applyBorder="0" applyAlignment="0" applyProtection="0">
      <alignment vertical="center"/>
    </xf>
    <xf numFmtId="0" fontId="27" fillId="36" borderId="0" applyNumberFormat="0" applyBorder="0" applyAlignment="0" applyProtection="0">
      <alignment vertical="center"/>
    </xf>
    <xf numFmtId="0" fontId="27" fillId="15" borderId="0" applyNumberFormat="0" applyBorder="0" applyAlignment="0" applyProtection="0">
      <alignment vertical="center"/>
    </xf>
    <xf numFmtId="0" fontId="25" fillId="33" borderId="0" applyNumberFormat="0" applyBorder="0" applyAlignment="0" applyProtection="0">
      <alignment vertical="center"/>
    </xf>
    <xf numFmtId="0" fontId="25" fillId="45" borderId="0" applyNumberFormat="0" applyBorder="0" applyAlignment="0" applyProtection="0">
      <alignment vertical="center"/>
    </xf>
    <xf numFmtId="0" fontId="27" fillId="32" borderId="0" applyNumberFormat="0" applyBorder="0" applyAlignment="0" applyProtection="0">
      <alignment vertical="center"/>
    </xf>
    <xf numFmtId="0" fontId="25" fillId="30" borderId="0" applyNumberFormat="0" applyBorder="0" applyAlignment="0" applyProtection="0">
      <alignment vertical="center"/>
    </xf>
    <xf numFmtId="0" fontId="2" fillId="0" borderId="0">
      <alignment vertical="top" wrapText="1"/>
    </xf>
    <xf numFmtId="0" fontId="25" fillId="42" borderId="0" applyNumberFormat="0" applyBorder="0" applyAlignment="0" applyProtection="0">
      <alignment vertical="center"/>
    </xf>
    <xf numFmtId="0" fontId="27" fillId="34" borderId="0" applyNumberFormat="0" applyBorder="0" applyAlignment="0" applyProtection="0">
      <alignment vertical="center"/>
    </xf>
    <xf numFmtId="0" fontId="38" fillId="40" borderId="0" applyNumberFormat="0" applyBorder="0" applyAlignment="0" applyProtection="0">
      <alignment vertical="center"/>
    </xf>
    <xf numFmtId="0" fontId="27" fillId="27" borderId="0" applyNumberFormat="0" applyBorder="0" applyAlignment="0" applyProtection="0">
      <alignment vertical="center"/>
    </xf>
    <xf numFmtId="0" fontId="22" fillId="19" borderId="0" applyNumberFormat="0" applyBorder="0" applyAlignment="0" applyProtection="0">
      <alignment vertical="center"/>
    </xf>
    <xf numFmtId="0" fontId="25" fillId="38" borderId="0" applyNumberFormat="0" applyBorder="0" applyAlignment="0" applyProtection="0">
      <alignment vertical="center"/>
    </xf>
    <xf numFmtId="0" fontId="34" fillId="0" borderId="21" applyNumberFormat="0" applyFill="0" applyAlignment="0" applyProtection="0">
      <alignment vertical="center"/>
    </xf>
    <xf numFmtId="0" fontId="33" fillId="26" borderId="20" applyNumberFormat="0" applyAlignment="0" applyProtection="0">
      <alignment vertical="center"/>
    </xf>
    <xf numFmtId="44" fontId="18" fillId="0" borderId="0" applyFont="0" applyFill="0" applyBorder="0" applyAlignment="0" applyProtection="0">
      <alignment vertical="center"/>
    </xf>
    <xf numFmtId="0" fontId="25" fillId="23" borderId="0" applyNumberFormat="0" applyBorder="0" applyAlignment="0" applyProtection="0">
      <alignment vertical="center"/>
    </xf>
    <xf numFmtId="0" fontId="18" fillId="25" borderId="19" applyNumberFormat="0" applyFont="0" applyAlignment="0" applyProtection="0">
      <alignment vertical="center"/>
    </xf>
    <xf numFmtId="0" fontId="29" fillId="22" borderId="18" applyNumberFormat="0" applyAlignment="0" applyProtection="0">
      <alignment vertical="center"/>
    </xf>
    <xf numFmtId="0" fontId="32" fillId="0" borderId="0" applyNumberFormat="0" applyFill="0" applyBorder="0" applyAlignment="0" applyProtection="0">
      <alignment vertical="center"/>
    </xf>
    <xf numFmtId="0" fontId="39" fillId="26" borderId="18" applyNumberFormat="0" applyAlignment="0" applyProtection="0">
      <alignment vertical="center"/>
    </xf>
    <xf numFmtId="0" fontId="31" fillId="24" borderId="0" applyNumberFormat="0" applyBorder="0" applyAlignment="0" applyProtection="0">
      <alignment vertical="center"/>
    </xf>
    <xf numFmtId="0" fontId="32" fillId="0" borderId="23" applyNumberFormat="0" applyFill="0" applyAlignment="0" applyProtection="0">
      <alignment vertical="center"/>
    </xf>
    <xf numFmtId="0" fontId="35" fillId="0" borderId="0" applyNumberFormat="0" applyFill="0" applyBorder="0" applyAlignment="0" applyProtection="0">
      <alignment vertical="center"/>
    </xf>
    <xf numFmtId="0" fontId="28" fillId="0" borderId="17" applyNumberFormat="0" applyFill="0" applyAlignment="0" applyProtection="0">
      <alignment vertical="center"/>
    </xf>
    <xf numFmtId="41" fontId="18" fillId="0" borderId="0" applyFont="0" applyFill="0" applyBorder="0" applyAlignment="0" applyProtection="0">
      <alignment vertical="center"/>
    </xf>
    <xf numFmtId="0" fontId="25" fillId="20" borderId="0" applyNumberFormat="0" applyBorder="0" applyAlignment="0" applyProtection="0">
      <alignment vertical="center"/>
    </xf>
    <xf numFmtId="0" fontId="23" fillId="0" borderId="0" applyNumberFormat="0" applyFill="0" applyBorder="0" applyAlignment="0" applyProtection="0">
      <alignment vertical="center"/>
    </xf>
    <xf numFmtId="42" fontId="18" fillId="0" borderId="0" applyFont="0" applyFill="0" applyBorder="0" applyAlignment="0" applyProtection="0">
      <alignment vertical="center"/>
    </xf>
    <xf numFmtId="0" fontId="30"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4" fillId="0" borderId="17" applyNumberFormat="0" applyFill="0" applyAlignment="0" applyProtection="0">
      <alignment vertical="center"/>
    </xf>
    <xf numFmtId="43" fontId="18" fillId="0" borderId="0" applyFont="0" applyFill="0" applyBorder="0" applyAlignment="0" applyProtection="0">
      <alignment vertical="center"/>
    </xf>
    <xf numFmtId="0" fontId="21" fillId="18" borderId="16" applyNumberFormat="0" applyAlignment="0" applyProtection="0">
      <alignment vertical="center"/>
    </xf>
    <xf numFmtId="0" fontId="27" fillId="28" borderId="0" applyNumberFormat="0" applyBorder="0" applyAlignment="0" applyProtection="0">
      <alignment vertical="center"/>
    </xf>
    <xf numFmtId="9" fontId="18" fillId="0" borderId="0" applyFont="0" applyFill="0" applyBorder="0" applyAlignment="0" applyProtection="0">
      <alignment vertical="center"/>
    </xf>
    <xf numFmtId="0" fontId="26" fillId="0" borderId="0" applyNumberFormat="0" applyFill="0" applyBorder="0" applyAlignment="0" applyProtection="0">
      <alignment vertical="center"/>
    </xf>
  </cellStyleXfs>
  <cellXfs count="130">
    <xf numFmtId="0" fontId="0" fillId="0" borderId="0" xfId="0">
      <alignment vertical="top" wrapText="1"/>
    </xf>
    <xf numFmtId="0" fontId="0" fillId="2" borderId="1" xfId="0" applyFill="1" applyBorder="1" applyAlignment="1">
      <alignment vertical="center" wrapText="1"/>
    </xf>
    <xf numFmtId="0" fontId="0" fillId="3" borderId="1" xfId="0" applyFill="1" applyBorder="1">
      <alignment vertical="top" wrapText="1"/>
    </xf>
    <xf numFmtId="0" fontId="0" fillId="4" borderId="1" xfId="0" applyFill="1" applyBorder="1">
      <alignment vertical="top" wrapText="1"/>
    </xf>
    <xf numFmtId="0" fontId="0" fillId="0" borderId="2" xfId="0" applyBorder="1">
      <alignment vertical="top" wrapText="1"/>
    </xf>
    <xf numFmtId="0" fontId="0" fillId="0" borderId="1" xfId="0" applyBorder="1">
      <alignment vertical="top" wrapText="1"/>
    </xf>
    <xf numFmtId="178" fontId="0" fillId="0" borderId="1" xfId="0" applyNumberFormat="1" applyBorder="1">
      <alignment vertical="top" wrapText="1"/>
    </xf>
    <xf numFmtId="0" fontId="1" fillId="5" borderId="1" xfId="0" applyFont="1" applyFill="1" applyBorder="1" applyAlignment="1">
      <alignment horizontal="center" vertical="top" wrapText="1"/>
    </xf>
    <xf numFmtId="0" fontId="0" fillId="0" borderId="3" xfId="0" applyBorder="1" applyAlignment="1"/>
    <xf numFmtId="0" fontId="2" fillId="2" borderId="1" xfId="0" applyFont="1" applyFill="1" applyBorder="1" applyAlignment="1">
      <alignment vertical="center" wrapText="1"/>
    </xf>
    <xf numFmtId="177" fontId="3" fillId="0" borderId="1" xfId="0" applyNumberFormat="1" applyFont="1" applyBorder="1" applyAlignment="1">
      <alignment vertical="top"/>
    </xf>
    <xf numFmtId="0" fontId="3" fillId="0" borderId="1" xfId="0" applyFont="1" applyBorder="1" applyAlignment="1">
      <alignment vertical="top"/>
    </xf>
    <xf numFmtId="0" fontId="0" fillId="0" borderId="4" xfId="0" applyBorder="1" applyAlignment="1"/>
    <xf numFmtId="178" fontId="2" fillId="2" borderId="1" xfId="0" applyNumberFormat="1" applyFont="1" applyFill="1" applyBorder="1" applyAlignment="1">
      <alignment vertical="center" wrapText="1"/>
    </xf>
    <xf numFmtId="178" fontId="3" fillId="0" borderId="1" xfId="0" applyNumberFormat="1" applyFont="1" applyBorder="1" applyAlignment="1">
      <alignment vertical="top"/>
    </xf>
    <xf numFmtId="0" fontId="4" fillId="6" borderId="1" xfId="0" applyFont="1" applyFill="1" applyBorder="1">
      <alignment vertical="top" wrapText="1"/>
    </xf>
    <xf numFmtId="178" fontId="0" fillId="6" borderId="1" xfId="0" applyNumberFormat="1" applyFill="1" applyBorder="1">
      <alignment vertical="top" wrapText="1"/>
    </xf>
    <xf numFmtId="0" fontId="2" fillId="0" borderId="1" xfId="0" applyFont="1" applyBorder="1">
      <alignment vertical="top" wrapText="1"/>
    </xf>
    <xf numFmtId="1" fontId="0" fillId="0" borderId="1" xfId="0" applyNumberFormat="1" applyBorder="1">
      <alignment vertical="top" wrapText="1"/>
    </xf>
    <xf numFmtId="177" fontId="3" fillId="3" borderId="1" xfId="0" applyNumberFormat="1" applyFont="1" applyFill="1" applyBorder="1" applyAlignment="1">
      <alignment vertical="top"/>
    </xf>
    <xf numFmtId="0" fontId="3" fillId="3" borderId="1" xfId="0" applyFont="1" applyFill="1" applyBorder="1" applyAlignment="1">
      <alignment vertical="top"/>
    </xf>
    <xf numFmtId="177" fontId="5" fillId="0" borderId="1" xfId="0" applyNumberFormat="1" applyFont="1" applyBorder="1" applyAlignment="1">
      <alignment vertical="top"/>
    </xf>
    <xf numFmtId="178" fontId="3" fillId="3" borderId="1" xfId="0" applyNumberFormat="1" applyFont="1" applyFill="1" applyBorder="1" applyAlignment="1">
      <alignment vertical="top"/>
    </xf>
    <xf numFmtId="178" fontId="5" fillId="7" borderId="1" xfId="0" applyNumberFormat="1" applyFont="1" applyFill="1" applyBorder="1" applyAlignment="1">
      <alignment vertical="top"/>
    </xf>
    <xf numFmtId="0" fontId="3" fillId="8" borderId="1" xfId="0" applyFont="1" applyFill="1" applyBorder="1" applyAlignment="1">
      <alignment vertical="top"/>
    </xf>
    <xf numFmtId="178" fontId="5" fillId="0" borderId="1" xfId="0" applyNumberFormat="1" applyFont="1" applyBorder="1" applyAlignment="1">
      <alignment vertical="top"/>
    </xf>
    <xf numFmtId="177" fontId="3" fillId="9" borderId="1" xfId="0" applyNumberFormat="1" applyFont="1" applyFill="1" applyBorder="1" applyAlignment="1">
      <alignment vertical="top"/>
    </xf>
    <xf numFmtId="0" fontId="3" fillId="9" borderId="1" xfId="0" applyFont="1" applyFill="1" applyBorder="1" applyAlignment="1">
      <alignment vertical="top"/>
    </xf>
    <xf numFmtId="178" fontId="3" fillId="9" borderId="1" xfId="0" applyNumberFormat="1" applyFont="1" applyFill="1" applyBorder="1" applyAlignment="1">
      <alignment vertical="top"/>
    </xf>
    <xf numFmtId="177" fontId="3" fillId="0" borderId="1" xfId="0" applyNumberFormat="1" applyFont="1" applyBorder="1" applyAlignment="1">
      <alignment horizontal="right" vertical="top"/>
    </xf>
    <xf numFmtId="177" fontId="3" fillId="3" borderId="1" xfId="0" applyNumberFormat="1" applyFont="1" applyFill="1" applyBorder="1" applyAlignment="1">
      <alignment horizontal="right" vertical="top"/>
    </xf>
    <xf numFmtId="177" fontId="5" fillId="0" borderId="1" xfId="0" applyNumberFormat="1" applyFont="1" applyBorder="1" applyAlignment="1">
      <alignment horizontal="right" vertical="top"/>
    </xf>
    <xf numFmtId="177" fontId="3" fillId="9" borderId="1" xfId="0" applyNumberFormat="1" applyFont="1" applyFill="1" applyBorder="1" applyAlignment="1">
      <alignment horizontal="right" vertical="top"/>
    </xf>
    <xf numFmtId="177" fontId="5" fillId="4" borderId="1" xfId="0" applyNumberFormat="1" applyFont="1" applyFill="1" applyBorder="1" applyAlignment="1">
      <alignment horizontal="right" vertical="top"/>
    </xf>
    <xf numFmtId="0" fontId="3" fillId="4" borderId="1" xfId="0" applyFont="1" applyFill="1" applyBorder="1" applyAlignment="1">
      <alignment vertical="top"/>
    </xf>
    <xf numFmtId="178" fontId="6" fillId="3" borderId="1" xfId="0" applyNumberFormat="1" applyFont="1" applyFill="1" applyBorder="1" applyAlignment="1">
      <alignment vertical="top"/>
    </xf>
    <xf numFmtId="178" fontId="6" fillId="9" borderId="1" xfId="0" applyNumberFormat="1" applyFont="1" applyFill="1" applyBorder="1" applyAlignment="1">
      <alignment vertical="top"/>
    </xf>
    <xf numFmtId="178" fontId="3" fillId="4" borderId="1" xfId="0" applyNumberFormat="1" applyFont="1" applyFill="1" applyBorder="1" applyAlignment="1">
      <alignment vertical="top"/>
    </xf>
    <xf numFmtId="177" fontId="3" fillId="6" borderId="1" xfId="0" applyNumberFormat="1" applyFont="1" applyFill="1" applyBorder="1" applyAlignment="1">
      <alignment vertical="top"/>
    </xf>
    <xf numFmtId="177" fontId="3" fillId="10" borderId="1" xfId="0" applyNumberFormat="1" applyFont="1" applyFill="1" applyBorder="1" applyAlignment="1">
      <alignment vertical="top"/>
    </xf>
    <xf numFmtId="0" fontId="3" fillId="6" borderId="1" xfId="0" applyFont="1" applyFill="1" applyBorder="1" applyAlignment="1">
      <alignment vertical="top"/>
    </xf>
    <xf numFmtId="177" fontId="3" fillId="6" borderId="1" xfId="0" applyNumberFormat="1" applyFont="1" applyFill="1" applyBorder="1" applyAlignment="1">
      <alignment horizontal="right" vertical="top"/>
    </xf>
    <xf numFmtId="177" fontId="3" fillId="10" borderId="1" xfId="0" applyNumberFormat="1" applyFont="1" applyFill="1" applyBorder="1" applyAlignment="1">
      <alignment horizontal="right" vertical="top"/>
    </xf>
    <xf numFmtId="178" fontId="6" fillId="0" borderId="1" xfId="0" applyNumberFormat="1" applyFont="1" applyBorder="1" applyAlignment="1">
      <alignment vertical="top"/>
    </xf>
    <xf numFmtId="0" fontId="5" fillId="0" borderId="1" xfId="0" applyFont="1" applyBorder="1" applyAlignment="1">
      <alignment vertical="top"/>
    </xf>
    <xf numFmtId="0" fontId="3" fillId="11" borderId="1" xfId="0" applyFont="1" applyFill="1" applyBorder="1" applyAlignment="1">
      <alignment vertical="top"/>
    </xf>
    <xf numFmtId="177" fontId="3" fillId="0" borderId="2" xfId="0" applyNumberFormat="1" applyFont="1" applyBorder="1" applyAlignment="1">
      <alignment vertical="top"/>
    </xf>
    <xf numFmtId="0" fontId="3" fillId="0" borderId="2" xfId="0" applyFont="1" applyBorder="1" applyAlignment="1">
      <alignment vertical="top"/>
    </xf>
    <xf numFmtId="178" fontId="3" fillId="0" borderId="2" xfId="0" applyNumberFormat="1" applyFont="1" applyBorder="1" applyAlignment="1">
      <alignment vertical="top"/>
    </xf>
    <xf numFmtId="178" fontId="3" fillId="0" borderId="5" xfId="0" applyNumberFormat="1" applyFont="1" applyBorder="1">
      <alignment vertical="top" wrapText="1"/>
    </xf>
    <xf numFmtId="0" fontId="3" fillId="0" borderId="0" xfId="0" applyFont="1">
      <alignment vertical="top" wrapText="1"/>
    </xf>
    <xf numFmtId="0" fontId="3" fillId="0" borderId="0" xfId="0" applyFont="1" applyAlignment="1">
      <alignment vertical="top" wrapText="1"/>
    </xf>
    <xf numFmtId="0" fontId="7" fillId="0" borderId="0" xfId="0" applyFont="1" applyAlignment="1">
      <alignment vertical="top"/>
    </xf>
    <xf numFmtId="178" fontId="8" fillId="0" borderId="6" xfId="0" applyNumberFormat="1" applyFont="1" applyBorder="1" applyAlignment="1">
      <alignment vertical="top"/>
    </xf>
    <xf numFmtId="178" fontId="8" fillId="0" borderId="7" xfId="0" applyNumberFormat="1" applyFont="1" applyBorder="1" applyAlignment="1">
      <alignment vertical="top"/>
    </xf>
    <xf numFmtId="178" fontId="8" fillId="0" borderId="0" xfId="0" applyNumberFormat="1" applyFont="1" applyAlignment="1">
      <alignment vertical="top"/>
    </xf>
    <xf numFmtId="0" fontId="0" fillId="0" borderId="0" xfId="0" applyAlignment="1">
      <alignment vertical="top"/>
    </xf>
    <xf numFmtId="0" fontId="9" fillId="0" borderId="0" xfId="0" applyFont="1" applyAlignment="1">
      <alignment vertical="top"/>
    </xf>
    <xf numFmtId="0" fontId="0" fillId="0" borderId="0" xfId="0" applyAlignment="1">
      <alignment vertical="center" wrapText="1"/>
    </xf>
    <xf numFmtId="0" fontId="0" fillId="0" borderId="0" xfId="0" applyAlignment="1">
      <alignment vertical="top" wrapText="1"/>
    </xf>
    <xf numFmtId="178" fontId="0" fillId="0" borderId="0" xfId="0" applyNumberFormat="1" applyAlignment="1">
      <alignment vertical="top"/>
    </xf>
    <xf numFmtId="176" fontId="0" fillId="0" borderId="0" xfId="0" applyNumberFormat="1" applyAlignment="1">
      <alignment vertical="top"/>
    </xf>
    <xf numFmtId="49" fontId="0" fillId="0" borderId="0" xfId="0" applyNumberFormat="1" applyAlignment="1">
      <alignment vertical="top"/>
    </xf>
    <xf numFmtId="178"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center" vertical="top" wrapText="1"/>
    </xf>
    <xf numFmtId="49" fontId="10" fillId="3" borderId="8" xfId="0" applyNumberFormat="1" applyFont="1" applyFill="1" applyBorder="1" applyAlignment="1">
      <alignment horizontal="left" vertical="top" wrapText="1"/>
    </xf>
    <xf numFmtId="178" fontId="8" fillId="0" borderId="7" xfId="0" applyNumberFormat="1" applyFont="1" applyBorder="1" applyAlignment="1">
      <alignment horizontal="left" vertical="top"/>
    </xf>
    <xf numFmtId="178" fontId="8" fillId="0" borderId="6" xfId="0" applyNumberFormat="1" applyFont="1" applyBorder="1" applyAlignment="1">
      <alignment vertical="top" wrapText="1"/>
    </xf>
    <xf numFmtId="178" fontId="8" fillId="0" borderId="7" xfId="0" applyNumberFormat="1" applyFont="1" applyBorder="1" applyAlignment="1">
      <alignment vertical="top" wrapText="1"/>
    </xf>
    <xf numFmtId="178" fontId="10" fillId="3" borderId="8" xfId="0" applyNumberFormat="1" applyFont="1" applyFill="1" applyBorder="1" applyAlignment="1">
      <alignment horizontal="left" vertical="top" wrapText="1"/>
    </xf>
    <xf numFmtId="0" fontId="10" fillId="3" borderId="8" xfId="0" applyFont="1" applyFill="1" applyBorder="1" applyAlignment="1">
      <alignment horizontal="left" vertical="top" wrapText="1"/>
    </xf>
    <xf numFmtId="0" fontId="8" fillId="0" borderId="6" xfId="0" applyFont="1" applyBorder="1" applyAlignment="1">
      <alignment vertical="top"/>
    </xf>
    <xf numFmtId="0" fontId="8" fillId="0" borderId="7" xfId="0" applyFont="1" applyBorder="1" applyAlignment="1">
      <alignment vertical="top"/>
    </xf>
    <xf numFmtId="176" fontId="10" fillId="3" borderId="8" xfId="0" applyNumberFormat="1" applyFont="1" applyFill="1" applyBorder="1" applyAlignment="1">
      <alignment horizontal="left" vertical="top" wrapText="1"/>
    </xf>
    <xf numFmtId="0" fontId="8" fillId="0" borderId="7" xfId="0" applyFont="1" applyBorder="1" applyAlignment="1">
      <alignment horizontal="left" vertical="top"/>
    </xf>
    <xf numFmtId="178" fontId="11" fillId="0" borderId="7" xfId="0" applyNumberFormat="1" applyFont="1" applyBorder="1" applyAlignment="1">
      <alignment horizontal="left" vertical="top"/>
    </xf>
    <xf numFmtId="178" fontId="12" fillId="0" borderId="7" xfId="0" applyNumberFormat="1" applyFont="1" applyBorder="1" applyAlignment="1">
      <alignment horizontal="left" vertical="top"/>
    </xf>
    <xf numFmtId="178" fontId="8" fillId="0" borderId="9" xfId="0" applyNumberFormat="1" applyFont="1" applyBorder="1" applyAlignment="1">
      <alignment vertical="top"/>
    </xf>
    <xf numFmtId="178" fontId="8" fillId="0" borderId="9" xfId="0" applyNumberFormat="1" applyFont="1" applyBorder="1" applyAlignment="1">
      <alignment horizontal="left" vertical="top"/>
    </xf>
    <xf numFmtId="178" fontId="8" fillId="0" borderId="9" xfId="0" applyNumberFormat="1" applyFont="1" applyBorder="1" applyAlignment="1">
      <alignment vertical="top" wrapText="1"/>
    </xf>
    <xf numFmtId="0" fontId="8" fillId="0" borderId="9" xfId="0" applyFont="1" applyBorder="1" applyAlignment="1">
      <alignment vertical="top"/>
    </xf>
    <xf numFmtId="178" fontId="12" fillId="0" borderId="6" xfId="0" applyNumberFormat="1" applyFont="1" applyBorder="1" applyAlignment="1">
      <alignment vertical="top"/>
    </xf>
    <xf numFmtId="178" fontId="12" fillId="0" borderId="9" xfId="0" applyNumberFormat="1" applyFont="1" applyBorder="1" applyAlignment="1">
      <alignment vertical="top"/>
    </xf>
    <xf numFmtId="178" fontId="13" fillId="0" borderId="9" xfId="0" applyNumberFormat="1" applyFont="1" applyBorder="1" applyAlignment="1">
      <alignment vertical="top"/>
    </xf>
    <xf numFmtId="178" fontId="8" fillId="0" borderId="10" xfId="0" applyNumberFormat="1" applyFont="1" applyBorder="1" applyAlignment="1">
      <alignment vertical="top"/>
    </xf>
    <xf numFmtId="178" fontId="8" fillId="12" borderId="9" xfId="0" applyNumberFormat="1" applyFont="1" applyFill="1" applyBorder="1" applyAlignment="1">
      <alignment vertical="top"/>
    </xf>
    <xf numFmtId="178" fontId="14" fillId="0" borderId="9" xfId="0" applyNumberFormat="1" applyFont="1" applyBorder="1" applyAlignment="1">
      <alignment vertical="top"/>
    </xf>
    <xf numFmtId="178" fontId="12" fillId="13" borderId="9" xfId="0" applyNumberFormat="1" applyFont="1" applyFill="1" applyBorder="1" applyAlignment="1">
      <alignment vertical="top" wrapText="1"/>
    </xf>
    <xf numFmtId="178" fontId="12" fillId="13" borderId="9" xfId="0" applyNumberFormat="1" applyFont="1" applyFill="1" applyBorder="1" applyAlignment="1">
      <alignment vertical="top"/>
    </xf>
    <xf numFmtId="0" fontId="8" fillId="6" borderId="9" xfId="0" applyFont="1" applyFill="1" applyBorder="1" applyAlignment="1">
      <alignment vertical="top"/>
    </xf>
    <xf numFmtId="49" fontId="8" fillId="0" borderId="9" xfId="0" applyNumberFormat="1" applyFont="1" applyBorder="1" applyAlignment="1">
      <alignment vertical="top"/>
    </xf>
    <xf numFmtId="178" fontId="12" fillId="13" borderId="6" xfId="0" applyNumberFormat="1" applyFont="1" applyFill="1" applyBorder="1" applyAlignment="1">
      <alignment vertical="top"/>
    </xf>
    <xf numFmtId="0" fontId="8" fillId="6" borderId="6" xfId="0" applyFont="1" applyFill="1" applyBorder="1" applyAlignment="1">
      <alignment vertical="top"/>
    </xf>
    <xf numFmtId="49" fontId="8" fillId="0" borderId="6" xfId="0" applyNumberFormat="1" applyFont="1" applyBorder="1" applyAlignment="1">
      <alignment vertical="top"/>
    </xf>
    <xf numFmtId="178" fontId="8" fillId="12" borderId="6" xfId="0" applyNumberFormat="1" applyFont="1" applyFill="1" applyBorder="1" applyAlignment="1">
      <alignment vertical="top"/>
    </xf>
    <xf numFmtId="0" fontId="15" fillId="0" borderId="0" xfId="0" applyFont="1" applyAlignment="1">
      <alignment vertical="top"/>
    </xf>
    <xf numFmtId="178" fontId="12" fillId="13" borderId="6" xfId="0" applyNumberFormat="1" applyFont="1" applyFill="1" applyBorder="1" applyAlignment="1">
      <alignment vertical="top" wrapText="1"/>
    </xf>
    <xf numFmtId="0" fontId="15" fillId="0" borderId="0" xfId="0" applyFont="1" applyAlignment="1">
      <alignment vertical="top" wrapText="1"/>
    </xf>
    <xf numFmtId="178" fontId="8" fillId="0" borderId="11" xfId="0" applyNumberFormat="1" applyFont="1" applyBorder="1" applyAlignment="1">
      <alignment vertical="top"/>
    </xf>
    <xf numFmtId="0" fontId="15" fillId="0" borderId="0" xfId="0" applyFont="1" applyFill="1" applyAlignment="1">
      <alignment vertical="top"/>
    </xf>
    <xf numFmtId="0" fontId="15" fillId="0" borderId="0" xfId="0" applyFont="1" applyFill="1" applyAlignment="1">
      <alignment vertical="top" wrapText="1"/>
    </xf>
    <xf numFmtId="0" fontId="16" fillId="0" borderId="0" xfId="0" applyFont="1">
      <alignment vertical="top" wrapText="1"/>
    </xf>
    <xf numFmtId="0" fontId="17" fillId="0" borderId="12" xfId="0" applyFont="1" applyFill="1" applyBorder="1" applyAlignment="1">
      <alignment horizontal="left" vertical="top" wrapText="1"/>
    </xf>
    <xf numFmtId="0" fontId="17" fillId="0" borderId="13" xfId="0" applyFont="1" applyFill="1" applyBorder="1" applyAlignment="1">
      <alignment horizontal="left" vertical="top" wrapText="1"/>
    </xf>
    <xf numFmtId="0" fontId="18" fillId="0" borderId="12" xfId="0" applyFont="1" applyFill="1" applyBorder="1" applyAlignment="1">
      <alignment horizontal="left" vertical="top" wrapText="1"/>
    </xf>
    <xf numFmtId="0" fontId="18" fillId="0" borderId="13" xfId="0" applyFont="1" applyFill="1" applyBorder="1" applyAlignment="1">
      <alignment horizontal="left" vertical="top" wrapText="1"/>
    </xf>
    <xf numFmtId="0" fontId="18" fillId="0" borderId="14" xfId="0" applyFont="1" applyFill="1" applyBorder="1" applyAlignment="1">
      <alignment horizontal="left" vertical="top" wrapText="1"/>
    </xf>
    <xf numFmtId="0" fontId="18" fillId="0" borderId="0" xfId="0" applyFont="1" applyFill="1" applyAlignment="1">
      <alignment vertical="top"/>
    </xf>
    <xf numFmtId="0" fontId="18" fillId="0" borderId="0" xfId="0" applyFont="1" applyFill="1" applyAlignment="1">
      <alignment vertical="top" wrapText="1"/>
    </xf>
    <xf numFmtId="0" fontId="18" fillId="0" borderId="14" xfId="0" applyFont="1" applyFill="1" applyBorder="1" applyAlignment="1">
      <alignment vertical="top" wrapText="1"/>
    </xf>
    <xf numFmtId="0" fontId="18" fillId="0" borderId="13" xfId="0" applyFont="1" applyFill="1" applyBorder="1" applyAlignment="1">
      <alignment vertical="top" wrapText="1"/>
    </xf>
    <xf numFmtId="180" fontId="18" fillId="0" borderId="13" xfId="0" applyNumberFormat="1" applyFont="1" applyFill="1" applyBorder="1" applyAlignment="1">
      <alignment vertical="top" wrapText="1"/>
    </xf>
    <xf numFmtId="180" fontId="18" fillId="0" borderId="13" xfId="0" applyNumberFormat="1" applyFont="1" applyFill="1" applyBorder="1" applyAlignment="1">
      <alignment vertical="top"/>
    </xf>
    <xf numFmtId="180" fontId="18" fillId="0" borderId="14" xfId="0" applyNumberFormat="1" applyFont="1" applyFill="1" applyBorder="1" applyAlignment="1">
      <alignment vertical="top"/>
    </xf>
    <xf numFmtId="180" fontId="18" fillId="0" borderId="0" xfId="0" applyNumberFormat="1" applyFont="1" applyFill="1" applyAlignment="1">
      <alignment vertical="top"/>
    </xf>
    <xf numFmtId="178" fontId="14" fillId="14" borderId="15" xfId="0" applyNumberFormat="1" applyFont="1" applyFill="1" applyBorder="1" applyAlignment="1">
      <alignment vertical="top"/>
    </xf>
    <xf numFmtId="178" fontId="14" fillId="0" borderId="15" xfId="0" applyNumberFormat="1" applyFont="1" applyFill="1" applyBorder="1" applyAlignment="1">
      <alignment vertical="top"/>
    </xf>
    <xf numFmtId="178" fontId="8" fillId="12" borderId="7" xfId="0" applyNumberFormat="1" applyFont="1" applyFill="1" applyBorder="1" applyAlignment="1">
      <alignment vertical="top"/>
    </xf>
    <xf numFmtId="178" fontId="14" fillId="0" borderId="7" xfId="0" applyNumberFormat="1" applyFont="1" applyBorder="1" applyAlignment="1">
      <alignment vertical="top"/>
    </xf>
    <xf numFmtId="0" fontId="15" fillId="0" borderId="7" xfId="0" applyFont="1" applyFill="1" applyBorder="1" applyAlignment="1">
      <alignment vertical="top"/>
    </xf>
    <xf numFmtId="178" fontId="12" fillId="13" borderId="7" xfId="0" applyNumberFormat="1" applyFont="1" applyFill="1" applyBorder="1" applyAlignment="1">
      <alignment vertical="top" wrapText="1"/>
    </xf>
    <xf numFmtId="0" fontId="8" fillId="6" borderId="7" xfId="0" applyFont="1" applyFill="1" applyBorder="1" applyAlignment="1">
      <alignment vertical="top"/>
    </xf>
    <xf numFmtId="49" fontId="8" fillId="0" borderId="7" xfId="0" applyNumberFormat="1" applyFont="1" applyBorder="1" applyAlignment="1">
      <alignment vertical="top"/>
    </xf>
    <xf numFmtId="178" fontId="19" fillId="15" borderId="7" xfId="0" applyNumberFormat="1" applyFont="1" applyFill="1" applyBorder="1" applyAlignment="1">
      <alignment horizontal="center" vertical="top" wrapText="1"/>
    </xf>
    <xf numFmtId="178" fontId="20" fillId="16" borderId="7" xfId="0" applyNumberFormat="1" applyFont="1" applyFill="1" applyBorder="1" applyAlignment="1">
      <alignment horizontal="center" vertical="top"/>
    </xf>
    <xf numFmtId="178" fontId="12" fillId="13" borderId="7" xfId="0" applyNumberFormat="1" applyFont="1" applyFill="1" applyBorder="1" applyAlignment="1">
      <alignment vertical="top"/>
    </xf>
    <xf numFmtId="178" fontId="8" fillId="17" borderId="7" xfId="0" applyNumberFormat="1" applyFont="1" applyFill="1" applyBorder="1" applyAlignment="1">
      <alignment vertical="top"/>
    </xf>
    <xf numFmtId="0" fontId="8" fillId="0" borderId="9" xfId="0" applyFont="1" applyBorder="1" applyAlignment="1">
      <alignment vertical="top" wrapText="1"/>
    </xf>
    <xf numFmtId="178" fontId="12" fillId="0" borderId="7" xfId="0" applyNumberFormat="1" applyFont="1" applyBorder="1" applyAlignment="1">
      <alignment vertical="top"/>
    </xf>
    <xf numFmtId="49" fontId="8" fillId="17" borderId="7" xfId="0" applyNumberFormat="1" applyFont="1" applyFill="1" applyBorder="1" applyAlignment="1">
      <alignment vertical="top"/>
    </xf>
  </cellXfs>
  <cellStyles count="52">
    <cellStyle name="Normal" xfId="0" builtinId="0"/>
    <cellStyle name="Normal 2" xfId="1"/>
    <cellStyle name="Currency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Normal 3" xfId="21"/>
    <cellStyle name="20% - Accent1" xfId="22" builtinId="30"/>
    <cellStyle name="Accent1" xfId="23" builtinId="29"/>
    <cellStyle name="Neutral" xfId="24" builtinId="28"/>
    <cellStyle name="60% - Accent1" xfId="25" builtinId="32"/>
    <cellStyle name="Bad" xfId="26" builtinId="27"/>
    <cellStyle name="20% - Accent4" xfId="27" builtinId="42"/>
    <cellStyle name="Total" xfId="28" builtinId="25"/>
    <cellStyle name="Output" xfId="29" builtinId="21"/>
    <cellStyle name="Currency" xfId="30" builtinId="4"/>
    <cellStyle name="20% - Accent3" xfId="31" builtinId="38"/>
    <cellStyle name="Note" xfId="32" builtinId="10"/>
    <cellStyle name="Input" xfId="33" builtinId="20"/>
    <cellStyle name="Heading 4" xfId="34" builtinId="19"/>
    <cellStyle name="Calculation" xfId="35" builtinId="22"/>
    <cellStyle name="Good" xfId="36" builtinId="26"/>
    <cellStyle name="Heading 3" xfId="37" builtinId="18"/>
    <cellStyle name="CExplanatory Text" xfId="38" builtinId="53"/>
    <cellStyle name="Heading 1" xfId="39" builtinId="16"/>
    <cellStyle name="Comma [0]" xfId="40" builtinId="6"/>
    <cellStyle name="20% - Accent6" xfId="41" builtinId="50"/>
    <cellStyle name="Title" xfId="42" builtinId="15"/>
    <cellStyle name="Currency [0]" xfId="43" builtinId="7"/>
    <cellStyle name="Warning Text" xfId="44" builtinId="11"/>
    <cellStyle name="Followed Hyperlink" xfId="45" builtinId="9"/>
    <cellStyle name="Heading 2" xfId="46" builtinId="17"/>
    <cellStyle name="Comma" xfId="47" builtinId="3"/>
    <cellStyle name="Check Cell" xfId="48" builtinId="23"/>
    <cellStyle name="60% - Accent3" xfId="49" builtinId="40"/>
    <cellStyle name="Percent" xfId="50" builtinId="5"/>
    <cellStyle name="Hyperlink" xfId="51" builtinId="8"/>
  </cellStyles>
  <dxfs count="47">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fill>
        <patternFill patternType="solid">
          <fgColor rgb="FF000000"/>
          <bgColor rgb="FFFFFFFF"/>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b val="1"/>
        <strike val="0"/>
        <sz val="10"/>
        <color rgb="FF000000"/>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theme="1"/>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fill>
        <patternFill patternType="solid">
          <fgColor theme="4" tint="0.799951170384838"/>
          <bgColor theme="4" tint="0.799951170384838"/>
        </patternFill>
      </fill>
      <alignment vertical="top" wrapText="1"/>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fill>
        <patternFill patternType="solid">
          <fgColor theme="4" tint="0.799951170384838"/>
          <bgColor theme="4" tint="0.799951170384838"/>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rgb="FF000000"/>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fill>
        <patternFill patternType="solid">
          <bgColor theme="0"/>
        </patternFill>
      </fil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0" formatCode="General"/>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49" formatCode="@"/>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font>
        <name val="Helvetica Neue"/>
        <scheme val="none"/>
        <family val="2"/>
        <strike val="0"/>
        <sz val="10"/>
        <color indexed="8"/>
      </font>
      <numFmt numFmtId="178" formatCode="&quot;$&quot;#,##0.00"/>
      <alignment vertical="top"/>
      <border>
        <left style="thin">
          <color theme="0" tint="-0.0499893185216834"/>
        </left>
        <right style="thin">
          <color theme="0" tint="-0.0499893185216834"/>
        </right>
        <top/>
        <bottom style="thin">
          <color theme="0" tint="-0.0499893185216834"/>
        </bottom>
      </border>
    </dxf>
    <dxf>
      <alignment vertical="top"/>
    </dxf>
    <dxf>
      <fill>
        <patternFill patternType="solid">
          <bgColor theme="8" tint="0.399914548173467"/>
        </patternFill>
      </fill>
    </dxf>
    <dxf>
      <font>
        <color rgb="FF9C5700"/>
      </font>
      <fill>
        <patternFill patternType="solid">
          <bgColor rgb="FFFFEB9C"/>
        </patternFill>
      </fill>
    </dxf>
    <dxf>
      <font>
        <color rgb="FF9C0006"/>
      </font>
      <fill>
        <patternFill patternType="solid">
          <bgColor rgb="FFFFC7CE"/>
        </patternFill>
      </fill>
    </dxf>
    <dxf>
      <font>
        <color rgb="FF9C0006"/>
      </font>
    </dxf>
    <dxf>
      <font>
        <strike val="0"/>
        <sz val="9"/>
      </font>
      <border>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0" formatCode="General"/>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style="thin">
          <color theme="3" tint="0.799951170384838"/>
        </right>
        <top style="thin">
          <color theme="3" tint="0.799951170384838"/>
        </top>
        <bottom style="thin">
          <color theme="3" tint="0.799951170384838"/>
        </bottom>
      </border>
    </dxf>
    <dxf>
      <font>
        <strike val="0"/>
        <sz val="9"/>
      </font>
      <numFmt numFmtId="178" formatCode="&quot;$&quot;#,##0.00"/>
      <border>
        <left style="thin">
          <color theme="3" tint="0.799951170384838"/>
        </left>
        <right/>
        <top style="thin">
          <color theme="3" tint="0.799951170384838"/>
        </top>
        <bottom style="thin">
          <color theme="3" tint="0.799951170384838"/>
        </bottom>
      </border>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BDC0BF"/>
      <rgbColor rgb="00A5A5A5"/>
      <rgbColor rgb="003F3F3F"/>
      <rgbColor rgb="00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0</xdr:colOff>
      <xdr:row>1928</xdr:row>
      <xdr:rowOff>0</xdr:rowOff>
    </xdr:from>
    <xdr:to>
      <xdr:col>4</xdr:col>
      <xdr:colOff>406400</xdr:colOff>
      <xdr:row>1928</xdr:row>
      <xdr:rowOff>406400</xdr:rowOff>
    </xdr:to>
    <xdr:pic>
      <xdr:nvPicPr>
        <xdr:cNvPr id="62" name="Picture 61"/>
        <xdr:cNvPicPr>
          <a:picLocks noChangeAspect="1"/>
        </xdr:cNvPicPr>
      </xdr:nvPicPr>
      <xdr:blipFill>
        <a:stretch>
          <a:fillRect/>
        </a:stretch>
      </xdr:blipFill>
      <xdr:spPr>
        <a:xfrm>
          <a:off x="3982720" y="1224216500"/>
          <a:ext cx="406400" cy="406400"/>
        </a:xfrm>
        <a:prstGeom prst="rect">
          <a:avLst/>
        </a:prstGeom>
        <a:noFill/>
        <a:ln>
          <a:noFill/>
        </a:ln>
      </xdr:spPr>
    </xdr:pic>
    <xdr:clientData/>
  </xdr:twoCellAnchor>
  <xdr:twoCellAnchor editAs="oneCell">
    <xdr:from>
      <xdr:col>4</xdr:col>
      <xdr:colOff>0</xdr:colOff>
      <xdr:row>1929</xdr:row>
      <xdr:rowOff>0</xdr:rowOff>
    </xdr:from>
    <xdr:to>
      <xdr:col>4</xdr:col>
      <xdr:colOff>406400</xdr:colOff>
      <xdr:row>1929</xdr:row>
      <xdr:rowOff>406400</xdr:rowOff>
    </xdr:to>
    <xdr:pic>
      <xdr:nvPicPr>
        <xdr:cNvPr id="63" name="Picture 62"/>
        <xdr:cNvPicPr>
          <a:picLocks noChangeAspect="1"/>
        </xdr:cNvPicPr>
      </xdr:nvPicPr>
      <xdr:blipFill>
        <a:stretch>
          <a:fillRect/>
        </a:stretch>
      </xdr:blipFill>
      <xdr:spPr>
        <a:xfrm>
          <a:off x="3982720" y="1224851500"/>
          <a:ext cx="406400" cy="406400"/>
        </a:xfrm>
        <a:prstGeom prst="rect">
          <a:avLst/>
        </a:prstGeom>
        <a:noFill/>
        <a:ln>
          <a:noFill/>
        </a:ln>
      </xdr:spPr>
    </xdr:pic>
    <xdr:clientData/>
  </xdr:twoCellAnchor>
  <xdr:twoCellAnchor editAs="oneCell">
    <xdr:from>
      <xdr:col>4</xdr:col>
      <xdr:colOff>0</xdr:colOff>
      <xdr:row>1930</xdr:row>
      <xdr:rowOff>0</xdr:rowOff>
    </xdr:from>
    <xdr:to>
      <xdr:col>4</xdr:col>
      <xdr:colOff>406400</xdr:colOff>
      <xdr:row>1930</xdr:row>
      <xdr:rowOff>406400</xdr:rowOff>
    </xdr:to>
    <xdr:pic>
      <xdr:nvPicPr>
        <xdr:cNvPr id="64" name="Picture 63"/>
        <xdr:cNvPicPr>
          <a:picLocks noChangeAspect="1"/>
        </xdr:cNvPicPr>
      </xdr:nvPicPr>
      <xdr:blipFill>
        <a:stretch>
          <a:fillRect/>
        </a:stretch>
      </xdr:blipFill>
      <xdr:spPr>
        <a:xfrm>
          <a:off x="3982720" y="1225486500"/>
          <a:ext cx="406400" cy="406400"/>
        </a:xfrm>
        <a:prstGeom prst="rect">
          <a:avLst/>
        </a:prstGeom>
        <a:noFill/>
        <a:ln>
          <a:noFill/>
        </a:ln>
      </xdr:spPr>
    </xdr:pic>
    <xdr:clientData/>
  </xdr:twoCellAnchor>
  <xdr:twoCellAnchor editAs="oneCell">
    <xdr:from>
      <xdr:col>4</xdr:col>
      <xdr:colOff>0</xdr:colOff>
      <xdr:row>1931</xdr:row>
      <xdr:rowOff>0</xdr:rowOff>
    </xdr:from>
    <xdr:to>
      <xdr:col>4</xdr:col>
      <xdr:colOff>406400</xdr:colOff>
      <xdr:row>1931</xdr:row>
      <xdr:rowOff>406400</xdr:rowOff>
    </xdr:to>
    <xdr:pic>
      <xdr:nvPicPr>
        <xdr:cNvPr id="65" name="Picture 64"/>
        <xdr:cNvPicPr>
          <a:picLocks noChangeAspect="1"/>
        </xdr:cNvPicPr>
      </xdr:nvPicPr>
      <xdr:blipFill>
        <a:stretch>
          <a:fillRect/>
        </a:stretch>
      </xdr:blipFill>
      <xdr:spPr>
        <a:xfrm>
          <a:off x="3982720" y="1226121500"/>
          <a:ext cx="406400" cy="406400"/>
        </a:xfrm>
        <a:prstGeom prst="rect">
          <a:avLst/>
        </a:prstGeom>
        <a:noFill/>
        <a:ln>
          <a:noFill/>
        </a:ln>
      </xdr:spPr>
    </xdr:pic>
    <xdr:clientData/>
  </xdr:twoCellAnchor>
  <xdr:twoCellAnchor editAs="oneCell">
    <xdr:from>
      <xdr:col>4</xdr:col>
      <xdr:colOff>0</xdr:colOff>
      <xdr:row>1932</xdr:row>
      <xdr:rowOff>0</xdr:rowOff>
    </xdr:from>
    <xdr:to>
      <xdr:col>4</xdr:col>
      <xdr:colOff>406400</xdr:colOff>
      <xdr:row>1932</xdr:row>
      <xdr:rowOff>406400</xdr:rowOff>
    </xdr:to>
    <xdr:pic>
      <xdr:nvPicPr>
        <xdr:cNvPr id="66" name="Picture 65"/>
        <xdr:cNvPicPr>
          <a:picLocks noChangeAspect="1"/>
        </xdr:cNvPicPr>
      </xdr:nvPicPr>
      <xdr:blipFill>
        <a:stretch>
          <a:fillRect/>
        </a:stretch>
      </xdr:blipFill>
      <xdr:spPr>
        <a:xfrm>
          <a:off x="3982720" y="1226756500"/>
          <a:ext cx="406400" cy="406400"/>
        </a:xfrm>
        <a:prstGeom prst="rect">
          <a:avLst/>
        </a:prstGeom>
        <a:noFill/>
        <a:ln>
          <a:noFill/>
        </a:ln>
      </xdr:spPr>
    </xdr:pic>
    <xdr:clientData/>
  </xdr:twoCellAnchor>
  <xdr:twoCellAnchor editAs="oneCell">
    <xdr:from>
      <xdr:col>4</xdr:col>
      <xdr:colOff>0</xdr:colOff>
      <xdr:row>1933</xdr:row>
      <xdr:rowOff>0</xdr:rowOff>
    </xdr:from>
    <xdr:to>
      <xdr:col>4</xdr:col>
      <xdr:colOff>406400</xdr:colOff>
      <xdr:row>1933</xdr:row>
      <xdr:rowOff>406400</xdr:rowOff>
    </xdr:to>
    <xdr:pic>
      <xdr:nvPicPr>
        <xdr:cNvPr id="67" name="Picture 66"/>
        <xdr:cNvPicPr>
          <a:picLocks noChangeAspect="1"/>
        </xdr:cNvPicPr>
      </xdr:nvPicPr>
      <xdr:blipFill>
        <a:stretch>
          <a:fillRect/>
        </a:stretch>
      </xdr:blipFill>
      <xdr:spPr>
        <a:xfrm>
          <a:off x="3982720" y="1227391500"/>
          <a:ext cx="406400" cy="406400"/>
        </a:xfrm>
        <a:prstGeom prst="rect">
          <a:avLst/>
        </a:prstGeom>
        <a:noFill/>
        <a:ln>
          <a:noFill/>
        </a:ln>
      </xdr:spPr>
    </xdr:pic>
    <xdr:clientData/>
  </xdr:twoCellAnchor>
  <xdr:twoCellAnchor editAs="oneCell">
    <xdr:from>
      <xdr:col>4</xdr:col>
      <xdr:colOff>0</xdr:colOff>
      <xdr:row>1934</xdr:row>
      <xdr:rowOff>0</xdr:rowOff>
    </xdr:from>
    <xdr:to>
      <xdr:col>4</xdr:col>
      <xdr:colOff>406400</xdr:colOff>
      <xdr:row>1934</xdr:row>
      <xdr:rowOff>406400</xdr:rowOff>
    </xdr:to>
    <xdr:pic>
      <xdr:nvPicPr>
        <xdr:cNvPr id="68" name="Picture 67"/>
        <xdr:cNvPicPr>
          <a:picLocks noChangeAspect="1"/>
        </xdr:cNvPicPr>
      </xdr:nvPicPr>
      <xdr:blipFill>
        <a:stretch>
          <a:fillRect/>
        </a:stretch>
      </xdr:blipFill>
      <xdr:spPr>
        <a:xfrm>
          <a:off x="3982720" y="1228026500"/>
          <a:ext cx="406400" cy="406400"/>
        </a:xfrm>
        <a:prstGeom prst="rect">
          <a:avLst/>
        </a:prstGeom>
        <a:noFill/>
        <a:ln>
          <a:noFill/>
        </a:ln>
      </xdr:spPr>
    </xdr:pic>
    <xdr:clientData/>
  </xdr:twoCellAnchor>
  <xdr:twoCellAnchor editAs="oneCell">
    <xdr:from>
      <xdr:col>4</xdr:col>
      <xdr:colOff>0</xdr:colOff>
      <xdr:row>1935</xdr:row>
      <xdr:rowOff>0</xdr:rowOff>
    </xdr:from>
    <xdr:to>
      <xdr:col>4</xdr:col>
      <xdr:colOff>406400</xdr:colOff>
      <xdr:row>1935</xdr:row>
      <xdr:rowOff>406400</xdr:rowOff>
    </xdr:to>
    <xdr:pic>
      <xdr:nvPicPr>
        <xdr:cNvPr id="69" name="Picture 68"/>
        <xdr:cNvPicPr>
          <a:picLocks noChangeAspect="1"/>
        </xdr:cNvPicPr>
      </xdr:nvPicPr>
      <xdr:blipFill>
        <a:stretch>
          <a:fillRect/>
        </a:stretch>
      </xdr:blipFill>
      <xdr:spPr>
        <a:xfrm>
          <a:off x="3982720" y="1228661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0" name="Picture 69"/>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1" name="Picture 70"/>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2" name="Picture 71"/>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3" name="Picture 72"/>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4" name="Picture 73"/>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5" name="Picture 74"/>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6" name="Picture 75"/>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7" name="Picture 76"/>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8" name="Picture 77"/>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79" name="Picture 78"/>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0" name="Picture 79"/>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1" name="Picture 80"/>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2" name="Picture 81"/>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3" name="Picture 82"/>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4" name="Picture 83"/>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5" name="Picture 84"/>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6" name="Picture 85"/>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7" name="Picture 86"/>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8" name="Picture 87"/>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89" name="Picture 88"/>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90" name="Picture 89"/>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twoCellAnchor editAs="oneCell">
    <xdr:from>
      <xdr:col>4</xdr:col>
      <xdr:colOff>0</xdr:colOff>
      <xdr:row>1936</xdr:row>
      <xdr:rowOff>0</xdr:rowOff>
    </xdr:from>
    <xdr:to>
      <xdr:col>4</xdr:col>
      <xdr:colOff>406400</xdr:colOff>
      <xdr:row>1936</xdr:row>
      <xdr:rowOff>406400</xdr:rowOff>
    </xdr:to>
    <xdr:pic>
      <xdr:nvPicPr>
        <xdr:cNvPr id="91" name="Picture 90"/>
        <xdr:cNvPicPr>
          <a:picLocks noChangeAspect="1"/>
        </xdr:cNvPicPr>
      </xdr:nvPicPr>
      <xdr:blipFill>
        <a:stretch>
          <a:fillRect/>
        </a:stretch>
      </xdr:blipFill>
      <xdr:spPr>
        <a:xfrm>
          <a:off x="3982720" y="1229296500"/>
          <a:ext cx="406400" cy="406400"/>
        </a:xfrm>
        <a:prstGeom prst="rect">
          <a:avLst/>
        </a:prstGeom>
        <a:noFill/>
        <a:ln>
          <a:noFill/>
        </a:ln>
      </xdr:spPr>
    </xdr:pic>
    <xdr:clientData/>
  </xdr:twoCellAnchor>
</xdr:wsDr>
</file>

<file path=xl/tables/table1.xml><?xml version="1.0" encoding="utf-8"?>
<table xmlns="http://schemas.openxmlformats.org/spreadsheetml/2006/main" id="1" name="STOCK" displayName="STOCK" ref="A1:AD2104" totalsRowShown="0">
  <autoFilter ref="A1:AD2104"/>
  <tableColumns count="30">
    <tableColumn id="28" name="Code" dataDxfId="0"/>
    <tableColumn id="1" name="Foto" dataDxfId="1"/>
    <tableColumn id="3" name="Type" dataDxfId="2"/>
    <tableColumn id="4" name="Category" dataDxfId="3"/>
    <tableColumn id="5" name="Nombre del artículo" dataDxfId="4"/>
    <tableColumn id="6" name="Talla" dataDxfId="5"/>
    <tableColumn id="7" name="Brand" dataDxfId="6"/>
    <tableColumn id="12" name="Precio" dataDxfId="7"/>
    <tableColumn id="13" name="Pricing 1" dataDxfId="8"/>
    <tableColumn id="15" name="Entradas" dataDxfId="9"/>
    <tableColumn id="16" name="Salidas" dataDxfId="10"/>
    <tableColumn id="17" name="Stock Actual" dataDxfId="11"/>
    <tableColumn id="8" name="Comisión 10%" dataDxfId="12"/>
    <tableColumn id="18" name="Costo Unitario (MXN)" dataDxfId="13"/>
    <tableColumn id="19" name="USD -&gt; MXN" dataDxfId="14"/>
    <tableColumn id="20" name="Costo Unitario (USD)" dataDxfId="15"/>
    <tableColumn id="21" name="Peso (g)" dataDxfId="16"/>
    <tableColumn id="22" name="Precio Envío Kilogramo (USD)" dataDxfId="17"/>
    <tableColumn id="23" name="Costo Envío (USD)" dataDxfId="18"/>
    <tableColumn id="25" name="Costo total" dataDxfId="19"/>
    <tableColumn id="26" name="Precio Venta Ideal (x1.5)" dataDxfId="20"/>
    <tableColumn id="14" name="Precio Final" dataDxfId="21"/>
    <tableColumn id="27" name="Ganancia Unitaria" dataDxfId="22"/>
    <tableColumn id="9" name="Ganancia x Cant Ventas" dataDxfId="23"/>
    <tableColumn id="2" name="Detalles de la Compra" dataDxfId="24"/>
    <tableColumn id="11" name="Comisión Bazar 25%" dataDxfId="25"/>
    <tableColumn id="10" name="Gastos totales" dataDxfId="26"/>
    <tableColumn id="24" name="Valor Stock Actual" dataDxfId="27"/>
    <tableColumn id="29" name="Precio Promocion" dataDxfId="28"/>
    <tableColumn id="30" name="Column1" dataDxfId="29"/>
  </tableColumns>
  <tableStyleInfo name="TableStyleLight17" showFirstColumn="0" showLastColumn="0" showRowStripes="1" showColumnStripes="0"/>
</table>
</file>

<file path=xl/tables/table2.xml><?xml version="1.0" encoding="utf-8"?>
<table xmlns="http://schemas.openxmlformats.org/spreadsheetml/2006/main" id="2" name="VENTAS" displayName="VENTAS" ref="A2:M2176" totalsRowShown="0">
  <autoFilter ref="A2:M2176">
    <filterColumn colId="0">
      <filters>
        <dateGroupItem year="2024" month="11" dateTimeGrouping="month"/>
      </filters>
    </filterColumn>
  </autoFilter>
  <tableColumns count="13">
    <tableColumn id="10" name="Fecha" dataDxfId="34"/>
    <tableColumn id="1" name="Detalle de compra" dataDxfId="35"/>
    <tableColumn id="2" name="Nombre del Cliente" dataDxfId="36"/>
    <tableColumn id="16" name="Nombre del Gestor" dataDxfId="37"/>
    <tableColumn id="3" name="Código del producto Vendido" dataDxfId="38"/>
    <tableColumn id="4" name="Descripcion" dataDxfId="39"/>
    <tableColumn id="5" name="Cantidad" dataDxfId="40"/>
    <tableColumn id="6" name="Precio Venta" dataDxfId="41"/>
    <tableColumn id="9" name="Total" dataDxfId="42"/>
    <tableColumn id="17" name="Comisión 10%" dataDxfId="43"/>
    <tableColumn id="7" name="Costo SIN Comision" dataDxfId="44"/>
    <tableColumn id="8" name="Ganancia" dataDxfId="45"/>
    <tableColumn id="11" name="Observaciones" dataDxfId="46"/>
  </tableColumns>
  <tableStyleInfo name="TableStyleMedium4" showFirstColumn="0" showLastColumn="0" showRowStripes="1" showColumnStripes="0"/>
</table>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defRPr kumimoji="0" sz="1200" b="0" i="0" u="none" strike="noStrike" cap="none" spc="0" normalizeH="0" baseline="0">
            <a:ln>
              <a:noFill/>
            </a:ln>
            <a:solidFill>
              <a:srgbClr val="FFFFFF"/>
            </a:solidFill>
            <a:effectLst/>
            <a:uFillTx/>
            <a:latin typeface="Helvetica Neue Medium" panose="02000503000000020004"/>
            <a:ea typeface="Helvetica Neue Medium" panose="02000503000000020004"/>
            <a:cs typeface="Helvetica Neue Medium" panose="02000503000000020004"/>
            <a:sym typeface="Helvetica Neue Medium"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panose="020005030000000200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s://us.shein.com/SHEIN-EZwear-Solid-Wide-Leg-Dress-Pants-p-17027747.html" TargetMode="Externa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O2109"/>
  <sheetViews>
    <sheetView showGridLines="0" tabSelected="1" zoomScale="97" zoomScaleNormal="97" workbookViewId="0">
      <pane ySplit="1" topLeftCell="A1913" activePane="bottomLeft" state="frozen"/>
      <selection/>
      <selection pane="bottomLeft" activeCell="A1921" sqref="$A1921:$XFD1921"/>
    </sheetView>
  </sheetViews>
  <sheetFormatPr defaultColWidth="8" defaultRowHeight="20" customHeight="1"/>
  <cols>
    <col min="1" max="1" width="93" style="56" customWidth="1"/>
    <col min="2" max="3" width="68" style="56" customWidth="1"/>
    <col min="4" max="4" width="163" style="57" customWidth="1"/>
    <col min="5" max="5" width="255.0625" style="58" customWidth="1"/>
    <col min="6" max="6" width="104" style="59" customWidth="1"/>
    <col min="7" max="7" width="3" style="56" hidden="1" customWidth="1"/>
    <col min="8" max="9" width="70" style="56" customWidth="1"/>
    <col min="10" max="10" width="59" style="56" customWidth="1"/>
    <col min="11" max="11" width="70" style="56" customWidth="1"/>
    <col min="12" max="12" width="71" style="56" customWidth="1"/>
    <col min="13" max="13" width="74.125" style="56" customWidth="1"/>
    <col min="14" max="14" width="74" style="56" hidden="1" customWidth="1"/>
    <col min="15" max="15" width="53" style="60" hidden="1" customWidth="1"/>
    <col min="16" max="16" width="72" style="60" customWidth="1"/>
    <col min="17" max="17" width="70" style="56" hidden="1" customWidth="1"/>
    <col min="18" max="18" width="106" style="56" hidden="1" customWidth="1"/>
    <col min="19" max="19" width="60" style="60" customWidth="1"/>
    <col min="20" max="20" width="70" style="60" customWidth="1"/>
    <col min="21" max="21" width="112.5" style="61" customWidth="1"/>
    <col min="22" max="22" width="52" style="60" customWidth="1"/>
    <col min="23" max="23" width="74" style="60" customWidth="1"/>
    <col min="24" max="24" width="76" style="60" customWidth="1"/>
    <col min="25" max="25" width="213" style="62" customWidth="1"/>
    <col min="26" max="26" width="76" style="56" customWidth="1"/>
    <col min="27" max="28" width="70" style="56" customWidth="1"/>
    <col min="29" max="29" width="64" style="56" customWidth="1"/>
    <col min="30" max="30" width="8" style="56" customWidth="1"/>
    <col min="31" max="16384" width="8" style="56"/>
  </cols>
  <sheetData>
    <row r="1" s="52" customFormat="1" ht="55" customHeight="1" spans="1:41">
      <c r="A1" s="63" t="s">
        <v>0</v>
      </c>
      <c r="B1" s="63" t="s">
        <v>1</v>
      </c>
      <c r="C1" s="64" t="s">
        <v>2</v>
      </c>
      <c r="D1" s="65" t="s">
        <v>3</v>
      </c>
      <c r="E1" s="65" t="s">
        <v>4</v>
      </c>
      <c r="F1" s="65" t="s">
        <v>5</v>
      </c>
      <c r="G1" s="65" t="s">
        <v>6</v>
      </c>
      <c r="H1" s="65" t="s">
        <v>7</v>
      </c>
      <c r="I1" s="69" t="s">
        <v>8</v>
      </c>
      <c r="J1" s="70" t="s">
        <v>9</v>
      </c>
      <c r="K1" s="70" t="s">
        <v>10</v>
      </c>
      <c r="L1" s="70" t="s">
        <v>11</v>
      </c>
      <c r="M1" s="65" t="s">
        <v>12</v>
      </c>
      <c r="N1" s="69" t="s">
        <v>13</v>
      </c>
      <c r="O1" s="69" t="s">
        <v>14</v>
      </c>
      <c r="P1" s="69" t="s">
        <v>15</v>
      </c>
      <c r="Q1" s="70" t="s">
        <v>16</v>
      </c>
      <c r="R1" s="69" t="s">
        <v>17</v>
      </c>
      <c r="S1" s="69" t="s">
        <v>18</v>
      </c>
      <c r="T1" s="69" t="s">
        <v>19</v>
      </c>
      <c r="U1" s="73" t="s">
        <v>20</v>
      </c>
      <c r="V1" s="69" t="s">
        <v>21</v>
      </c>
      <c r="W1" s="69" t="s">
        <v>22</v>
      </c>
      <c r="X1" s="69" t="s">
        <v>23</v>
      </c>
      <c r="Y1" s="65" t="s">
        <v>24</v>
      </c>
      <c r="Z1" s="69" t="s">
        <v>25</v>
      </c>
      <c r="AA1" s="69" t="s">
        <v>26</v>
      </c>
      <c r="AB1" s="69" t="s">
        <v>27</v>
      </c>
      <c r="AC1" s="69" t="s">
        <v>28</v>
      </c>
      <c r="AD1" s="52" t="s">
        <v>29</v>
      </c>
      <c r="AO1" s="52" t="s">
        <v>30</v>
      </c>
    </row>
    <row r="2" s="53" customFormat="1" ht="50" customHeight="1" spans="1:28">
      <c r="A2" s="53" t="s">
        <v>31</v>
      </c>
      <c r="B2" s="66"/>
      <c r="C2" s="53" t="s">
        <v>32</v>
      </c>
      <c r="D2" s="53" t="s">
        <v>33</v>
      </c>
      <c r="E2" s="67" t="s">
        <v>34</v>
      </c>
      <c r="F2" s="53" t="s">
        <v>35</v>
      </c>
      <c r="G2" s="53" t="s">
        <v>36</v>
      </c>
      <c r="H2" s="53">
        <f>STOCK[[#This Row],[Precio Final]]</f>
        <v>8</v>
      </c>
      <c r="I2" s="53">
        <f>STOCK[[#This Row],[Precio Venta Ideal (x1.5)]]</f>
        <v>7.70583333333333</v>
      </c>
      <c r="J2" s="71">
        <v>15</v>
      </c>
      <c r="K2" s="71">
        <f>SUMIFS(VENTAS[Cantidad],VENTAS[Código del producto Vendido],STOCK[[#This Row],[Code]])</f>
        <v>13</v>
      </c>
      <c r="L2" s="71">
        <v>0</v>
      </c>
      <c r="M2" s="53">
        <f>STOCK[[#This Row],[Precio Final]]*10%</f>
        <v>0.8</v>
      </c>
      <c r="N2" s="53">
        <v>49</v>
      </c>
      <c r="O2" s="53">
        <v>18</v>
      </c>
      <c r="P2" s="53">
        <v>2.72222222222222</v>
      </c>
      <c r="Q2" s="71">
        <v>95</v>
      </c>
      <c r="R2" s="53">
        <v>17</v>
      </c>
      <c r="S2" s="53">
        <f>STOCK[[#This Row],[Peso (g)]]*STOCK[[#This Row],[Precio Envío Kilogramo (USD)]]/1000</f>
        <v>1.615</v>
      </c>
      <c r="T2" s="53">
        <f>STOCK[[#This Row],[Costo Unitario (USD)]]+STOCK[[#This Row],[Costo Envío (USD)]]+STOCK[[#This Row],[Comisión 10%]]</f>
        <v>5.13722222222222</v>
      </c>
      <c r="U2" s="53">
        <f>STOCK[[#This Row],[Costo total]]*1.5</f>
        <v>7.70583333333333</v>
      </c>
      <c r="V2" s="53">
        <v>8</v>
      </c>
      <c r="W2" s="53">
        <f>STOCK[[#This Row],[Precio Final]]-STOCK[[#This Row],[Costo total]]</f>
        <v>2.86277777777778</v>
      </c>
      <c r="X2" s="53">
        <f>STOCK[[#This Row],[Ganancia Unitaria]]*STOCK[[#This Row],[Salidas]]</f>
        <v>37.2161111111111</v>
      </c>
      <c r="AA2" s="53">
        <f>STOCK[[#This Row],[Costo total]]*STOCK[[#This Row],[Entradas]]</f>
        <v>77.0583333333333</v>
      </c>
      <c r="AB2" s="53">
        <f>STOCK[[#This Row],[Stock Actual]]*STOCK[[#This Row],[Costo total]]</f>
        <v>0</v>
      </c>
    </row>
    <row r="3" s="54" customFormat="1" ht="50" customHeight="1" spans="1:28">
      <c r="A3" s="54" t="s">
        <v>37</v>
      </c>
      <c r="B3" s="66"/>
      <c r="C3" s="54" t="s">
        <v>32</v>
      </c>
      <c r="D3" s="54" t="s">
        <v>38</v>
      </c>
      <c r="E3" s="68" t="s">
        <v>39</v>
      </c>
      <c r="F3" s="54" t="s">
        <v>40</v>
      </c>
      <c r="G3" s="54" t="s">
        <v>36</v>
      </c>
      <c r="H3" s="54">
        <f>STOCK[[#This Row],[Precio Final]]</f>
        <v>28</v>
      </c>
      <c r="I3" s="54">
        <f>STOCK[[#This Row],[Precio Venta Ideal (x1.5)]]</f>
        <v>31.7566666666666</v>
      </c>
      <c r="J3" s="72">
        <v>1</v>
      </c>
      <c r="K3" s="72">
        <f>SUMIFS(VENTAS[Cantidad],VENTAS[Código del producto Vendido],STOCK[[#This Row],[Code]])</f>
        <v>1</v>
      </c>
      <c r="L3" s="72">
        <f>STOCK[[#This Row],[Entradas]]-STOCK[[#This Row],[Salidas]]</f>
        <v>0</v>
      </c>
      <c r="M3" s="54">
        <f>STOCK[[#This Row],[Precio Final]]*10%</f>
        <v>2.8</v>
      </c>
      <c r="N3" s="54">
        <v>245</v>
      </c>
      <c r="O3" s="54">
        <v>18</v>
      </c>
      <c r="P3" s="54">
        <v>13.6111111111111</v>
      </c>
      <c r="Q3" s="72">
        <v>280</v>
      </c>
      <c r="R3" s="54">
        <v>17</v>
      </c>
      <c r="S3" s="54">
        <f>STOCK[[#This Row],[Peso (g)]]*STOCK[[#This Row],[Precio Envío Kilogramo (USD)]]/1000</f>
        <v>4.76</v>
      </c>
      <c r="T3" s="53">
        <f>STOCK[[#This Row],[Costo Unitario (USD)]]+STOCK[[#This Row],[Costo Envío (USD)]]+STOCK[[#This Row],[Comisión 10%]]</f>
        <v>21.1711111111111</v>
      </c>
      <c r="U3" s="54">
        <f>STOCK[[#This Row],[Costo total]]*1.5</f>
        <v>31.7566666666666</v>
      </c>
      <c r="V3" s="54">
        <v>28</v>
      </c>
      <c r="W3" s="54">
        <f>STOCK[[#This Row],[Precio Final]]-STOCK[[#This Row],[Costo total]]</f>
        <v>6.8288888888889</v>
      </c>
      <c r="X3" s="54">
        <f>STOCK[[#This Row],[Ganancia Unitaria]]*STOCK[[#This Row],[Salidas]]</f>
        <v>6.8288888888889</v>
      </c>
      <c r="AA3" s="54">
        <f>STOCK[[#This Row],[Costo total]]*STOCK[[#This Row],[Entradas]]</f>
        <v>21.1711111111111</v>
      </c>
      <c r="AB3" s="54">
        <f>STOCK[[#This Row],[Stock Actual]]*STOCK[[#This Row],[Costo total]]</f>
        <v>0</v>
      </c>
    </row>
    <row r="4" s="53" customFormat="1" ht="50" customHeight="1" spans="1:28">
      <c r="A4" s="53" t="s">
        <v>41</v>
      </c>
      <c r="B4" s="66"/>
      <c r="C4" s="53" t="s">
        <v>32</v>
      </c>
      <c r="D4" s="53" t="s">
        <v>38</v>
      </c>
      <c r="E4" s="67" t="s">
        <v>39</v>
      </c>
      <c r="F4" s="53" t="s">
        <v>42</v>
      </c>
      <c r="G4" s="53" t="s">
        <v>36</v>
      </c>
      <c r="H4" s="53">
        <f>STOCK[[#This Row],[Precio Final]]</f>
        <v>28</v>
      </c>
      <c r="I4" s="53">
        <f>STOCK[[#This Row],[Precio Venta Ideal (x1.5)]]</f>
        <v>33.5416666666667</v>
      </c>
      <c r="J4" s="71">
        <v>3</v>
      </c>
      <c r="K4" s="71">
        <f>SUMIFS(VENTAS[Cantidad],VENTAS[Código del producto Vendido],STOCK[[#This Row],[Code]])</f>
        <v>3</v>
      </c>
      <c r="L4" s="71">
        <f>STOCK[[#This Row],[Entradas]]-STOCK[[#This Row],[Salidas]]</f>
        <v>0</v>
      </c>
      <c r="M4" s="53">
        <f>STOCK[[#This Row],[Precio Final]]*10%</f>
        <v>2.8</v>
      </c>
      <c r="N4" s="53">
        <v>245</v>
      </c>
      <c r="O4" s="53">
        <v>18</v>
      </c>
      <c r="P4" s="53">
        <v>13.6111111111111</v>
      </c>
      <c r="Q4" s="71">
        <v>350</v>
      </c>
      <c r="R4" s="53">
        <v>17</v>
      </c>
      <c r="S4" s="53">
        <f>STOCK[[#This Row],[Peso (g)]]*STOCK[[#This Row],[Precio Envío Kilogramo (USD)]]/1000</f>
        <v>5.95</v>
      </c>
      <c r="T4" s="53">
        <f>STOCK[[#This Row],[Costo Unitario (USD)]]+STOCK[[#This Row],[Costo Envío (USD)]]+STOCK[[#This Row],[Comisión 10%]]</f>
        <v>22.3611111111111</v>
      </c>
      <c r="U4" s="53">
        <f>STOCK[[#This Row],[Costo total]]*1.5</f>
        <v>33.5416666666667</v>
      </c>
      <c r="V4" s="53">
        <v>28</v>
      </c>
      <c r="W4" s="53">
        <f>STOCK[[#This Row],[Precio Final]]-STOCK[[#This Row],[Costo total]]</f>
        <v>5.6388888888889</v>
      </c>
      <c r="X4" s="53">
        <f>STOCK[[#This Row],[Ganancia Unitaria]]*STOCK[[#This Row],[Salidas]]</f>
        <v>16.9166666666667</v>
      </c>
      <c r="AA4" s="53">
        <f>STOCK[[#This Row],[Costo total]]*STOCK[[#This Row],[Entradas]]</f>
        <v>67.0833333333333</v>
      </c>
      <c r="AB4" s="53">
        <f>STOCK[[#This Row],[Stock Actual]]*STOCK[[#This Row],[Costo total]]</f>
        <v>0</v>
      </c>
    </row>
    <row r="5" s="54" customFormat="1" ht="50" customHeight="1" spans="1:28">
      <c r="A5" s="54" t="s">
        <v>43</v>
      </c>
      <c r="B5" s="66"/>
      <c r="C5" s="54" t="s">
        <v>32</v>
      </c>
      <c r="D5" s="54" t="s">
        <v>44</v>
      </c>
      <c r="E5" s="68" t="s">
        <v>45</v>
      </c>
      <c r="F5" s="54" t="s">
        <v>46</v>
      </c>
      <c r="G5" s="54" t="s">
        <v>36</v>
      </c>
      <c r="H5" s="54">
        <f>STOCK[[#This Row],[Precio Final]]</f>
        <v>30</v>
      </c>
      <c r="I5" s="54">
        <f>STOCK[[#This Row],[Precio Venta Ideal (x1.5)]]</f>
        <v>33.0033333333333</v>
      </c>
      <c r="J5" s="72">
        <v>1</v>
      </c>
      <c r="K5" s="72">
        <f>SUMIFS(VENTAS[Cantidad],VENTAS[Código del producto Vendido],STOCK[[#This Row],[Code]])</f>
        <v>1</v>
      </c>
      <c r="L5" s="72">
        <f>STOCK[[#This Row],[Entradas]]-STOCK[[#This Row],[Salidas]]</f>
        <v>0</v>
      </c>
      <c r="M5" s="54">
        <f>STOCK[[#This Row],[Precio Final]]*10%</f>
        <v>3</v>
      </c>
      <c r="N5" s="54">
        <v>238</v>
      </c>
      <c r="O5" s="54">
        <v>18</v>
      </c>
      <c r="P5" s="54">
        <v>13.2222222222222</v>
      </c>
      <c r="Q5" s="72">
        <v>340</v>
      </c>
      <c r="R5" s="54">
        <v>17</v>
      </c>
      <c r="S5" s="54">
        <f>STOCK[[#This Row],[Peso (g)]]*STOCK[[#This Row],[Precio Envío Kilogramo (USD)]]/1000</f>
        <v>5.78</v>
      </c>
      <c r="T5" s="53">
        <f>STOCK[[#This Row],[Costo Unitario (USD)]]+STOCK[[#This Row],[Costo Envío (USD)]]+STOCK[[#This Row],[Comisión 10%]]</f>
        <v>22.0022222222222</v>
      </c>
      <c r="U5" s="54">
        <f>STOCK[[#This Row],[Costo total]]*1.5</f>
        <v>33.0033333333333</v>
      </c>
      <c r="V5" s="54">
        <v>30</v>
      </c>
      <c r="W5" s="54">
        <f>STOCK[[#This Row],[Precio Final]]-STOCK[[#This Row],[Costo total]]</f>
        <v>7.9977777777778</v>
      </c>
      <c r="X5" s="54">
        <f>STOCK[[#This Row],[Ganancia Unitaria]]*STOCK[[#This Row],[Salidas]]</f>
        <v>7.9977777777778</v>
      </c>
      <c r="AA5" s="54">
        <f>STOCK[[#This Row],[Costo total]]*STOCK[[#This Row],[Entradas]]</f>
        <v>22.0022222222222</v>
      </c>
      <c r="AB5" s="54">
        <f>STOCK[[#This Row],[Stock Actual]]*STOCK[[#This Row],[Costo total]]</f>
        <v>0</v>
      </c>
    </row>
    <row r="6" s="53" customFormat="1" ht="50" customHeight="1" spans="1:28">
      <c r="A6" s="53" t="s">
        <v>47</v>
      </c>
      <c r="B6" s="66"/>
      <c r="C6" s="53" t="s">
        <v>32</v>
      </c>
      <c r="D6" s="53" t="s">
        <v>44</v>
      </c>
      <c r="E6" s="67" t="s">
        <v>48</v>
      </c>
      <c r="F6" s="53" t="s">
        <v>49</v>
      </c>
      <c r="G6" s="53" t="s">
        <v>36</v>
      </c>
      <c r="H6" s="53">
        <f>STOCK[[#This Row],[Precio Final]]</f>
        <v>30</v>
      </c>
      <c r="I6" s="53">
        <f>STOCK[[#This Row],[Precio Venta Ideal (x1.5)]]</f>
        <v>33.0033333333333</v>
      </c>
      <c r="J6" s="71">
        <v>1</v>
      </c>
      <c r="K6" s="71">
        <f>SUMIFS(VENTAS[Cantidad],VENTAS[Código del producto Vendido],STOCK[[#This Row],[Code]])</f>
        <v>1</v>
      </c>
      <c r="L6" s="71">
        <f>STOCK[[#This Row],[Entradas]]-STOCK[[#This Row],[Salidas]]</f>
        <v>0</v>
      </c>
      <c r="M6" s="53">
        <f>STOCK[[#This Row],[Precio Final]]*10%</f>
        <v>3</v>
      </c>
      <c r="N6" s="53">
        <v>238</v>
      </c>
      <c r="O6" s="53">
        <v>18</v>
      </c>
      <c r="P6" s="53">
        <v>13.2222222222222</v>
      </c>
      <c r="Q6" s="71">
        <v>340</v>
      </c>
      <c r="R6" s="53">
        <v>17</v>
      </c>
      <c r="S6" s="53">
        <f>STOCK[[#This Row],[Peso (g)]]*STOCK[[#This Row],[Precio Envío Kilogramo (USD)]]/1000</f>
        <v>5.78</v>
      </c>
      <c r="T6" s="53">
        <f>STOCK[[#This Row],[Costo Unitario (USD)]]+STOCK[[#This Row],[Costo Envío (USD)]]+STOCK[[#This Row],[Comisión 10%]]</f>
        <v>22.0022222222222</v>
      </c>
      <c r="U6" s="53">
        <f>STOCK[[#This Row],[Costo total]]*1.5</f>
        <v>33.0033333333333</v>
      </c>
      <c r="V6" s="53">
        <v>30</v>
      </c>
      <c r="W6" s="53">
        <f>STOCK[[#This Row],[Precio Final]]-STOCK[[#This Row],[Costo total]]</f>
        <v>7.9977777777778</v>
      </c>
      <c r="X6" s="53">
        <f>STOCK[[#This Row],[Ganancia Unitaria]]*STOCK[[#This Row],[Salidas]]</f>
        <v>7.9977777777778</v>
      </c>
      <c r="AA6" s="53">
        <f>STOCK[[#This Row],[Costo total]]*STOCK[[#This Row],[Entradas]]</f>
        <v>22.0022222222222</v>
      </c>
      <c r="AB6" s="53">
        <f>STOCK[[#This Row],[Stock Actual]]*STOCK[[#This Row],[Costo total]]</f>
        <v>0</v>
      </c>
    </row>
    <row r="7" s="54" customFormat="1" ht="50" customHeight="1" spans="1:28">
      <c r="A7" s="54" t="s">
        <v>50</v>
      </c>
      <c r="B7" s="66"/>
      <c r="C7" s="54" t="s">
        <v>32</v>
      </c>
      <c r="D7" s="54" t="s">
        <v>44</v>
      </c>
      <c r="E7" s="68" t="s">
        <v>48</v>
      </c>
      <c r="F7" s="54" t="s">
        <v>40</v>
      </c>
      <c r="G7" s="54" t="s">
        <v>36</v>
      </c>
      <c r="H7" s="54">
        <f>STOCK[[#This Row],[Precio Final]]</f>
        <v>30</v>
      </c>
      <c r="I7" s="54">
        <f>STOCK[[#This Row],[Precio Venta Ideal (x1.5)]]</f>
        <v>32.3658333333333</v>
      </c>
      <c r="J7" s="72">
        <v>1</v>
      </c>
      <c r="K7" s="72">
        <f>SUMIFS(VENTAS[Cantidad],VENTAS[Código del producto Vendido],STOCK[[#This Row],[Code]])</f>
        <v>1</v>
      </c>
      <c r="L7" s="72">
        <f>STOCK[[#This Row],[Entradas]]-STOCK[[#This Row],[Salidas]]</f>
        <v>0</v>
      </c>
      <c r="M7" s="54">
        <f>STOCK[[#This Row],[Precio Final]]*10%</f>
        <v>3</v>
      </c>
      <c r="N7" s="54">
        <v>238</v>
      </c>
      <c r="O7" s="54">
        <v>18</v>
      </c>
      <c r="P7" s="54">
        <v>13.2222222222222</v>
      </c>
      <c r="Q7" s="72">
        <v>315</v>
      </c>
      <c r="R7" s="54">
        <v>17</v>
      </c>
      <c r="S7" s="54">
        <f>STOCK[[#This Row],[Peso (g)]]*STOCK[[#This Row],[Precio Envío Kilogramo (USD)]]/1000</f>
        <v>5.355</v>
      </c>
      <c r="T7" s="53">
        <f>STOCK[[#This Row],[Costo Unitario (USD)]]+STOCK[[#This Row],[Costo Envío (USD)]]+STOCK[[#This Row],[Comisión 10%]]</f>
        <v>21.5772222222222</v>
      </c>
      <c r="U7" s="54">
        <f>STOCK[[#This Row],[Costo total]]*1.5</f>
        <v>32.3658333333333</v>
      </c>
      <c r="V7" s="54">
        <v>30</v>
      </c>
      <c r="W7" s="54">
        <f>STOCK[[#This Row],[Precio Final]]-STOCK[[#This Row],[Costo total]]</f>
        <v>8.4227777777778</v>
      </c>
      <c r="X7" s="54">
        <f>STOCK[[#This Row],[Ganancia Unitaria]]*STOCK[[#This Row],[Salidas]]</f>
        <v>8.4227777777778</v>
      </c>
      <c r="AA7" s="54">
        <f>STOCK[[#This Row],[Costo total]]*STOCK[[#This Row],[Entradas]]</f>
        <v>21.5772222222222</v>
      </c>
      <c r="AB7" s="54">
        <f>STOCK[[#This Row],[Stock Actual]]*STOCK[[#This Row],[Costo total]]</f>
        <v>0</v>
      </c>
    </row>
    <row r="8" s="53" customFormat="1" ht="50" customHeight="1" spans="1:28">
      <c r="A8" s="53" t="s">
        <v>51</v>
      </c>
      <c r="B8" s="66"/>
      <c r="C8" s="53" t="s">
        <v>32</v>
      </c>
      <c r="D8" s="53" t="s">
        <v>38</v>
      </c>
      <c r="E8" s="67" t="s">
        <v>52</v>
      </c>
      <c r="F8" s="53" t="s">
        <v>40</v>
      </c>
      <c r="G8" s="53" t="s">
        <v>36</v>
      </c>
      <c r="H8" s="53">
        <f>STOCK[[#This Row],[Precio Final]]</f>
        <v>15</v>
      </c>
      <c r="I8" s="53">
        <f>STOCK[[#This Row],[Precio Venta Ideal (x1.5)]]</f>
        <v>17.345</v>
      </c>
      <c r="J8" s="71">
        <v>2</v>
      </c>
      <c r="K8" s="71">
        <f>SUMIFS(VENTAS[Cantidad],VENTAS[Código del producto Vendido],STOCK[[#This Row],[Code]])</f>
        <v>2</v>
      </c>
      <c r="L8" s="71">
        <f>STOCK[[#This Row],[Entradas]]-STOCK[[#This Row],[Salidas]]</f>
        <v>0</v>
      </c>
      <c r="M8" s="53">
        <f>STOCK[[#This Row],[Precio Final]]*10%</f>
        <v>1.5</v>
      </c>
      <c r="N8" s="53">
        <v>123</v>
      </c>
      <c r="O8" s="53">
        <v>18</v>
      </c>
      <c r="P8" s="53">
        <v>6.83333333333333</v>
      </c>
      <c r="Q8" s="71">
        <v>190</v>
      </c>
      <c r="R8" s="53">
        <v>17</v>
      </c>
      <c r="S8" s="53">
        <f>STOCK[[#This Row],[Peso (g)]]*STOCK[[#This Row],[Precio Envío Kilogramo (USD)]]/1000</f>
        <v>3.23</v>
      </c>
      <c r="T8" s="53">
        <f>STOCK[[#This Row],[Costo Unitario (USD)]]+STOCK[[#This Row],[Costo Envío (USD)]]+STOCK[[#This Row],[Comisión 10%]]</f>
        <v>11.5633333333333</v>
      </c>
      <c r="U8" s="53">
        <f>STOCK[[#This Row],[Costo total]]*1.5</f>
        <v>17.345</v>
      </c>
      <c r="V8" s="53">
        <v>15</v>
      </c>
      <c r="W8" s="53">
        <f>STOCK[[#This Row],[Precio Final]]-STOCK[[#This Row],[Costo total]]</f>
        <v>3.43666666666667</v>
      </c>
      <c r="X8" s="53">
        <f>STOCK[[#This Row],[Ganancia Unitaria]]*STOCK[[#This Row],[Salidas]]</f>
        <v>6.87333333333334</v>
      </c>
      <c r="Y8" s="53" t="s">
        <v>53</v>
      </c>
      <c r="AA8" s="53">
        <f>STOCK[[#This Row],[Costo total]]*STOCK[[#This Row],[Entradas]]</f>
        <v>23.1266666666667</v>
      </c>
      <c r="AB8" s="53">
        <f>STOCK[[#This Row],[Stock Actual]]*STOCK[[#This Row],[Costo total]]</f>
        <v>0</v>
      </c>
    </row>
    <row r="9" s="54" customFormat="1" ht="50" customHeight="1" spans="1:28">
      <c r="A9" s="54" t="s">
        <v>54</v>
      </c>
      <c r="B9" s="66"/>
      <c r="C9" s="54" t="s">
        <v>32</v>
      </c>
      <c r="D9" s="54" t="s">
        <v>38</v>
      </c>
      <c r="E9" s="68" t="s">
        <v>55</v>
      </c>
      <c r="F9" s="54" t="s">
        <v>49</v>
      </c>
      <c r="G9" s="54" t="s">
        <v>36</v>
      </c>
      <c r="H9" s="54">
        <f>STOCK[[#This Row],[Precio Final]]</f>
        <v>15</v>
      </c>
      <c r="I9" s="54">
        <f>STOCK[[#This Row],[Precio Venta Ideal (x1.5)]]</f>
        <v>17.345</v>
      </c>
      <c r="J9" s="72">
        <v>2</v>
      </c>
      <c r="K9" s="72">
        <f>SUMIFS(VENTAS[Cantidad],VENTAS[Código del producto Vendido],STOCK[[#This Row],[Code]])</f>
        <v>2</v>
      </c>
      <c r="L9" s="72">
        <f>STOCK[[#This Row],[Entradas]]-STOCK[[#This Row],[Salidas]]</f>
        <v>0</v>
      </c>
      <c r="M9" s="54">
        <f>STOCK[[#This Row],[Precio Final]]*10%</f>
        <v>1.5</v>
      </c>
      <c r="N9" s="54">
        <v>123</v>
      </c>
      <c r="O9" s="54">
        <v>18</v>
      </c>
      <c r="P9" s="54">
        <v>6.83333333333333</v>
      </c>
      <c r="Q9" s="72">
        <v>190</v>
      </c>
      <c r="R9" s="54">
        <v>17</v>
      </c>
      <c r="S9" s="54">
        <f>STOCK[[#This Row],[Peso (g)]]*STOCK[[#This Row],[Precio Envío Kilogramo (USD)]]/1000</f>
        <v>3.23</v>
      </c>
      <c r="T9" s="53">
        <f>STOCK[[#This Row],[Costo Unitario (USD)]]+STOCK[[#This Row],[Costo Envío (USD)]]+STOCK[[#This Row],[Comisión 10%]]</f>
        <v>11.5633333333333</v>
      </c>
      <c r="U9" s="54">
        <f>STOCK[[#This Row],[Costo total]]*1.5</f>
        <v>17.345</v>
      </c>
      <c r="V9" s="54">
        <v>15</v>
      </c>
      <c r="W9" s="54">
        <f>STOCK[[#This Row],[Precio Final]]-STOCK[[#This Row],[Costo total]]</f>
        <v>3.43666666666667</v>
      </c>
      <c r="X9" s="54">
        <f>STOCK[[#This Row],[Ganancia Unitaria]]*STOCK[[#This Row],[Salidas]]</f>
        <v>6.87333333333334</v>
      </c>
      <c r="AA9" s="54">
        <f>STOCK[[#This Row],[Costo total]]*STOCK[[#This Row],[Entradas]]</f>
        <v>23.1266666666667</v>
      </c>
      <c r="AB9" s="54">
        <f>STOCK[[#This Row],[Stock Actual]]*STOCK[[#This Row],[Costo total]]</f>
        <v>0</v>
      </c>
    </row>
    <row r="10" s="53" customFormat="1" ht="50" customHeight="1" spans="1:28">
      <c r="A10" s="53" t="s">
        <v>56</v>
      </c>
      <c r="B10" s="66"/>
      <c r="C10" s="53" t="s">
        <v>32</v>
      </c>
      <c r="D10" s="53" t="s">
        <v>38</v>
      </c>
      <c r="E10" s="67" t="s">
        <v>57</v>
      </c>
      <c r="F10" s="53" t="s">
        <v>46</v>
      </c>
      <c r="G10" s="53" t="s">
        <v>36</v>
      </c>
      <c r="H10" s="53">
        <f>STOCK[[#This Row],[Precio Final]]</f>
        <v>15</v>
      </c>
      <c r="I10" s="53">
        <f>STOCK[[#This Row],[Precio Venta Ideal (x1.5)]]</f>
        <v>17.345</v>
      </c>
      <c r="J10" s="71">
        <v>2</v>
      </c>
      <c r="K10" s="71">
        <f>SUMIFS(VENTAS[Cantidad],VENTAS[Código del producto Vendido],STOCK[[#This Row],[Code]])</f>
        <v>2</v>
      </c>
      <c r="L10" s="71">
        <f>STOCK[[#This Row],[Entradas]]-STOCK[[#This Row],[Salidas]]</f>
        <v>0</v>
      </c>
      <c r="M10" s="53">
        <f>STOCK[[#This Row],[Precio Final]]*10%</f>
        <v>1.5</v>
      </c>
      <c r="N10" s="53">
        <v>123</v>
      </c>
      <c r="O10" s="53">
        <v>18</v>
      </c>
      <c r="P10" s="53">
        <v>6.83333333333333</v>
      </c>
      <c r="Q10" s="71">
        <v>190</v>
      </c>
      <c r="R10" s="53">
        <v>17</v>
      </c>
      <c r="S10" s="53">
        <f>STOCK[[#This Row],[Peso (g)]]*STOCK[[#This Row],[Precio Envío Kilogramo (USD)]]/1000</f>
        <v>3.23</v>
      </c>
      <c r="T10" s="53">
        <f>STOCK[[#This Row],[Costo Unitario (USD)]]+STOCK[[#This Row],[Costo Envío (USD)]]+STOCK[[#This Row],[Comisión 10%]]</f>
        <v>11.5633333333333</v>
      </c>
      <c r="U10" s="53">
        <f>STOCK[[#This Row],[Costo total]]*1.5</f>
        <v>17.345</v>
      </c>
      <c r="V10" s="53">
        <v>15</v>
      </c>
      <c r="W10" s="53">
        <f>STOCK[[#This Row],[Precio Final]]-STOCK[[#This Row],[Costo total]]</f>
        <v>3.43666666666667</v>
      </c>
      <c r="X10" s="53">
        <f>STOCK[[#This Row],[Ganancia Unitaria]]*STOCK[[#This Row],[Salidas]]</f>
        <v>6.87333333333334</v>
      </c>
      <c r="AA10" s="53">
        <f>STOCK[[#This Row],[Costo total]]*STOCK[[#This Row],[Entradas]]</f>
        <v>23.1266666666667</v>
      </c>
      <c r="AB10" s="53">
        <f>STOCK[[#This Row],[Stock Actual]]*STOCK[[#This Row],[Costo total]]</f>
        <v>0</v>
      </c>
    </row>
    <row r="11" s="54" customFormat="1" ht="50" customHeight="1" spans="1:28">
      <c r="A11" s="54" t="s">
        <v>58</v>
      </c>
      <c r="B11" s="66"/>
      <c r="C11" s="54" t="s">
        <v>32</v>
      </c>
      <c r="D11" s="54" t="s">
        <v>38</v>
      </c>
      <c r="E11" s="68" t="s">
        <v>59</v>
      </c>
      <c r="F11" s="54" t="s">
        <v>46</v>
      </c>
      <c r="G11" s="54" t="s">
        <v>36</v>
      </c>
      <c r="H11" s="54">
        <f>STOCK[[#This Row],[Precio Final]]</f>
        <v>28</v>
      </c>
      <c r="I11" s="54">
        <f>STOCK[[#This Row],[Precio Venta Ideal (x1.5)]]</f>
        <v>28.0750000000001</v>
      </c>
      <c r="J11" s="72">
        <v>1</v>
      </c>
      <c r="K11" s="72">
        <f>SUMIFS(VENTAS[Cantidad],VENTAS[Código del producto Vendido],STOCK[[#This Row],[Code]])</f>
        <v>1</v>
      </c>
      <c r="L11" s="72">
        <f>STOCK[[#This Row],[Entradas]]-STOCK[[#This Row],[Salidas]]</f>
        <v>0</v>
      </c>
      <c r="M11" s="54">
        <f>STOCK[[#This Row],[Precio Final]]*10%</f>
        <v>2.8</v>
      </c>
      <c r="N11" s="54">
        <v>210</v>
      </c>
      <c r="O11" s="54">
        <v>18</v>
      </c>
      <c r="P11" s="54">
        <v>11.6666666666667</v>
      </c>
      <c r="Q11" s="72">
        <v>250</v>
      </c>
      <c r="R11" s="54">
        <v>17</v>
      </c>
      <c r="S11" s="54">
        <f>STOCK[[#This Row],[Peso (g)]]*STOCK[[#This Row],[Precio Envío Kilogramo (USD)]]/1000</f>
        <v>4.25</v>
      </c>
      <c r="T11" s="53">
        <f>STOCK[[#This Row],[Costo Unitario (USD)]]+STOCK[[#This Row],[Costo Envío (USD)]]+STOCK[[#This Row],[Comisión 10%]]</f>
        <v>18.7166666666667</v>
      </c>
      <c r="U11" s="54">
        <f>STOCK[[#This Row],[Costo total]]*1.5</f>
        <v>28.0750000000001</v>
      </c>
      <c r="V11" s="54">
        <v>28</v>
      </c>
      <c r="W11" s="54">
        <f>STOCK[[#This Row],[Precio Final]]-STOCK[[#This Row],[Costo total]]</f>
        <v>9.2833333333333</v>
      </c>
      <c r="X11" s="54">
        <f>STOCK[[#This Row],[Ganancia Unitaria]]*STOCK[[#This Row],[Salidas]]</f>
        <v>9.2833333333333</v>
      </c>
      <c r="AA11" s="54">
        <f>STOCK[[#This Row],[Costo total]]*STOCK[[#This Row],[Entradas]]</f>
        <v>18.7166666666667</v>
      </c>
      <c r="AB11" s="54">
        <f>STOCK[[#This Row],[Stock Actual]]*STOCK[[#This Row],[Costo total]]</f>
        <v>0</v>
      </c>
    </row>
    <row r="12" s="53" customFormat="1" ht="50" customHeight="1" spans="1:28">
      <c r="A12" s="53" t="s">
        <v>60</v>
      </c>
      <c r="B12" s="66"/>
      <c r="C12" s="53" t="s">
        <v>32</v>
      </c>
      <c r="D12" s="53" t="s">
        <v>38</v>
      </c>
      <c r="E12" s="67" t="s">
        <v>61</v>
      </c>
      <c r="F12" s="53" t="s">
        <v>62</v>
      </c>
      <c r="G12" s="53" t="s">
        <v>36</v>
      </c>
      <c r="H12" s="53">
        <f>STOCK[[#This Row],[Precio Final]]</f>
        <v>25</v>
      </c>
      <c r="I12" s="53">
        <f>STOCK[[#This Row],[Precio Venta Ideal (x1.5)]]</f>
        <v>25.4925</v>
      </c>
      <c r="J12" s="71">
        <v>2</v>
      </c>
      <c r="K12" s="71">
        <f>SUMIFS(VENTAS[Cantidad],VENTAS[Código del producto Vendido],STOCK[[#This Row],[Code]])</f>
        <v>2</v>
      </c>
      <c r="L12" s="71">
        <f>STOCK[[#This Row],[Entradas]]-STOCK[[#This Row],[Salidas]]</f>
        <v>0</v>
      </c>
      <c r="M12" s="53">
        <f>STOCK[[#This Row],[Precio Final]]*10%</f>
        <v>2.5</v>
      </c>
      <c r="N12" s="53">
        <v>189</v>
      </c>
      <c r="O12" s="53">
        <v>18</v>
      </c>
      <c r="P12" s="53">
        <v>10.5</v>
      </c>
      <c r="Q12" s="71">
        <v>235</v>
      </c>
      <c r="R12" s="53">
        <v>17</v>
      </c>
      <c r="S12" s="53">
        <f>STOCK[[#This Row],[Peso (g)]]*STOCK[[#This Row],[Precio Envío Kilogramo (USD)]]/1000</f>
        <v>3.995</v>
      </c>
      <c r="T12" s="53">
        <f>STOCK[[#This Row],[Costo Unitario (USD)]]+STOCK[[#This Row],[Costo Envío (USD)]]+STOCK[[#This Row],[Comisión 10%]]</f>
        <v>16.995</v>
      </c>
      <c r="U12" s="53">
        <f>STOCK[[#This Row],[Costo total]]*1.5</f>
        <v>25.4925</v>
      </c>
      <c r="V12" s="53">
        <v>25</v>
      </c>
      <c r="W12" s="53">
        <f>STOCK[[#This Row],[Precio Final]]-STOCK[[#This Row],[Costo total]]</f>
        <v>8.005</v>
      </c>
      <c r="X12" s="53">
        <f>STOCK[[#This Row],[Ganancia Unitaria]]*STOCK[[#This Row],[Salidas]]</f>
        <v>16.01</v>
      </c>
      <c r="AA12" s="53">
        <f>STOCK[[#This Row],[Costo total]]*STOCK[[#This Row],[Entradas]]</f>
        <v>33.99</v>
      </c>
      <c r="AB12" s="53">
        <f>STOCK[[#This Row],[Stock Actual]]*STOCK[[#This Row],[Costo total]]</f>
        <v>0</v>
      </c>
    </row>
    <row r="13" s="54" customFormat="1" ht="50" customHeight="1" spans="1:28">
      <c r="A13" s="54" t="s">
        <v>63</v>
      </c>
      <c r="B13" s="66"/>
      <c r="C13" s="54" t="s">
        <v>32</v>
      </c>
      <c r="D13" s="54" t="s">
        <v>38</v>
      </c>
      <c r="E13" s="68" t="s">
        <v>61</v>
      </c>
      <c r="F13" s="54" t="s">
        <v>49</v>
      </c>
      <c r="G13" s="54" t="s">
        <v>36</v>
      </c>
      <c r="H13" s="54">
        <f>STOCK[[#This Row],[Precio Final]]</f>
        <v>22</v>
      </c>
      <c r="I13" s="54">
        <f>STOCK[[#This Row],[Precio Venta Ideal (x1.5)]]</f>
        <v>25.0425</v>
      </c>
      <c r="J13" s="72">
        <v>2</v>
      </c>
      <c r="K13" s="72">
        <f>SUMIFS(VENTAS[Cantidad],VENTAS[Código del producto Vendido],STOCK[[#This Row],[Code]])</f>
        <v>2</v>
      </c>
      <c r="L13" s="72">
        <f>STOCK[[#This Row],[Entradas]]-STOCK[[#This Row],[Salidas]]</f>
        <v>0</v>
      </c>
      <c r="M13" s="54">
        <f>STOCK[[#This Row],[Precio Final]]*10%</f>
        <v>2.2</v>
      </c>
      <c r="N13" s="54">
        <v>189</v>
      </c>
      <c r="O13" s="54">
        <v>18</v>
      </c>
      <c r="P13" s="54">
        <v>10.5</v>
      </c>
      <c r="Q13" s="72">
        <v>235</v>
      </c>
      <c r="R13" s="54">
        <v>17</v>
      </c>
      <c r="S13" s="54">
        <f>STOCK[[#This Row],[Peso (g)]]*STOCK[[#This Row],[Precio Envío Kilogramo (USD)]]/1000</f>
        <v>3.995</v>
      </c>
      <c r="T13" s="53">
        <f>STOCK[[#This Row],[Costo Unitario (USD)]]+STOCK[[#This Row],[Costo Envío (USD)]]+STOCK[[#This Row],[Comisión 10%]]</f>
        <v>16.695</v>
      </c>
      <c r="U13" s="54">
        <f>STOCK[[#This Row],[Costo total]]*1.5</f>
        <v>25.0425</v>
      </c>
      <c r="V13" s="54">
        <v>22</v>
      </c>
      <c r="W13" s="54">
        <f>STOCK[[#This Row],[Precio Final]]-STOCK[[#This Row],[Costo total]]</f>
        <v>5.305</v>
      </c>
      <c r="X13" s="54">
        <f>STOCK[[#This Row],[Ganancia Unitaria]]*STOCK[[#This Row],[Salidas]]</f>
        <v>10.61</v>
      </c>
      <c r="AA13" s="54">
        <f>STOCK[[#This Row],[Costo total]]*STOCK[[#This Row],[Entradas]]</f>
        <v>33.39</v>
      </c>
      <c r="AB13" s="54">
        <f>STOCK[[#This Row],[Stock Actual]]*STOCK[[#This Row],[Costo total]]</f>
        <v>0</v>
      </c>
    </row>
    <row r="14" s="53" customFormat="1" ht="50" customHeight="1" spans="1:28">
      <c r="A14" s="53" t="s">
        <v>64</v>
      </c>
      <c r="B14" s="66"/>
      <c r="C14" s="53" t="s">
        <v>32</v>
      </c>
      <c r="D14" s="53" t="s">
        <v>38</v>
      </c>
      <c r="E14" s="67" t="s">
        <v>65</v>
      </c>
      <c r="F14" s="53" t="s">
        <v>62</v>
      </c>
      <c r="G14" s="53" t="s">
        <v>36</v>
      </c>
      <c r="H14" s="53">
        <f>STOCK[[#This Row],[Precio Final]]</f>
        <v>17</v>
      </c>
      <c r="I14" s="53">
        <f>STOCK[[#This Row],[Precio Venta Ideal (x1.5)]]</f>
        <v>21.145</v>
      </c>
      <c r="J14" s="71">
        <v>1</v>
      </c>
      <c r="K14" s="71">
        <f>SUMIFS(VENTAS[Cantidad],VENTAS[Código del producto Vendido],STOCK[[#This Row],[Code]])</f>
        <v>1</v>
      </c>
      <c r="L14" s="71">
        <f>STOCK[[#This Row],[Entradas]]-STOCK[[#This Row],[Salidas]]</f>
        <v>0</v>
      </c>
      <c r="M14" s="53">
        <f>STOCK[[#This Row],[Precio Final]]*10%</f>
        <v>1.7</v>
      </c>
      <c r="N14" s="53">
        <v>165</v>
      </c>
      <c r="O14" s="53">
        <v>18</v>
      </c>
      <c r="P14" s="53">
        <v>9.16666666666667</v>
      </c>
      <c r="Q14" s="71">
        <v>190</v>
      </c>
      <c r="R14" s="53">
        <v>17</v>
      </c>
      <c r="S14" s="53">
        <f>STOCK[[#This Row],[Peso (g)]]*STOCK[[#This Row],[Precio Envío Kilogramo (USD)]]/1000</f>
        <v>3.23</v>
      </c>
      <c r="T14" s="53">
        <f>STOCK[[#This Row],[Costo Unitario (USD)]]+STOCK[[#This Row],[Costo Envío (USD)]]+STOCK[[#This Row],[Comisión 10%]]</f>
        <v>14.0966666666667</v>
      </c>
      <c r="U14" s="53">
        <f>STOCK[[#This Row],[Costo total]]*1.5</f>
        <v>21.145</v>
      </c>
      <c r="V14" s="53">
        <v>17</v>
      </c>
      <c r="W14" s="53">
        <f>STOCK[[#This Row],[Precio Final]]-STOCK[[#This Row],[Costo total]]</f>
        <v>2.90333333333333</v>
      </c>
      <c r="X14" s="53">
        <f>STOCK[[#This Row],[Ganancia Unitaria]]*STOCK[[#This Row],[Salidas]]</f>
        <v>2.90333333333333</v>
      </c>
      <c r="AA14" s="53">
        <f>STOCK[[#This Row],[Costo total]]*STOCK[[#This Row],[Entradas]]</f>
        <v>14.0966666666667</v>
      </c>
      <c r="AB14" s="53">
        <f>STOCK[[#This Row],[Stock Actual]]*STOCK[[#This Row],[Costo total]]</f>
        <v>0</v>
      </c>
    </row>
    <row r="15" s="54" customFormat="1" ht="50" customHeight="1" spans="1:28">
      <c r="A15" s="54" t="s">
        <v>66</v>
      </c>
      <c r="B15" s="66"/>
      <c r="C15" s="54" t="s">
        <v>32</v>
      </c>
      <c r="D15" s="54" t="s">
        <v>38</v>
      </c>
      <c r="E15" s="68" t="s">
        <v>67</v>
      </c>
      <c r="F15" s="54" t="s">
        <v>62</v>
      </c>
      <c r="G15" s="54" t="s">
        <v>36</v>
      </c>
      <c r="H15" s="54">
        <f>STOCK[[#This Row],[Precio Final]]</f>
        <v>22</v>
      </c>
      <c r="I15" s="54">
        <f>STOCK[[#This Row],[Precio Venta Ideal (x1.5)]]</f>
        <v>21.2575</v>
      </c>
      <c r="J15" s="72">
        <v>1</v>
      </c>
      <c r="K15" s="72">
        <f>SUMIFS(VENTAS[Cantidad],VENTAS[Código del producto Vendido],STOCK[[#This Row],[Code]])</f>
        <v>1</v>
      </c>
      <c r="L15" s="72">
        <f>STOCK[[#This Row],[Entradas]]-STOCK[[#This Row],[Salidas]]</f>
        <v>0</v>
      </c>
      <c r="M15" s="54">
        <f>STOCK[[#This Row],[Precio Final]]*10%</f>
        <v>2.2</v>
      </c>
      <c r="N15" s="54">
        <v>165</v>
      </c>
      <c r="O15" s="54">
        <v>18</v>
      </c>
      <c r="P15" s="54">
        <v>9.16666666666667</v>
      </c>
      <c r="Q15" s="72">
        <v>165</v>
      </c>
      <c r="R15" s="54">
        <v>17</v>
      </c>
      <c r="S15" s="54">
        <f>STOCK[[#This Row],[Peso (g)]]*STOCK[[#This Row],[Precio Envío Kilogramo (USD)]]/1000</f>
        <v>2.805</v>
      </c>
      <c r="T15" s="53">
        <f>STOCK[[#This Row],[Costo Unitario (USD)]]+STOCK[[#This Row],[Costo Envío (USD)]]+STOCK[[#This Row],[Comisión 10%]]</f>
        <v>14.1716666666667</v>
      </c>
      <c r="U15" s="54">
        <f>STOCK[[#This Row],[Costo total]]*1.5</f>
        <v>21.2575</v>
      </c>
      <c r="V15" s="54">
        <v>22</v>
      </c>
      <c r="W15" s="54">
        <f>STOCK[[#This Row],[Precio Final]]-STOCK[[#This Row],[Costo total]]</f>
        <v>7.82833333333333</v>
      </c>
      <c r="X15" s="54">
        <f>STOCK[[#This Row],[Ganancia Unitaria]]*STOCK[[#This Row],[Salidas]]</f>
        <v>7.82833333333333</v>
      </c>
      <c r="AA15" s="54">
        <f>STOCK[[#This Row],[Costo total]]*STOCK[[#This Row],[Entradas]]</f>
        <v>14.1716666666667</v>
      </c>
      <c r="AB15" s="54">
        <f>STOCK[[#This Row],[Stock Actual]]*STOCK[[#This Row],[Costo total]]</f>
        <v>0</v>
      </c>
    </row>
    <row r="16" s="53" customFormat="1" ht="50" customHeight="1" spans="1:28">
      <c r="A16" s="53" t="s">
        <v>68</v>
      </c>
      <c r="B16" s="66"/>
      <c r="C16" s="53" t="s">
        <v>32</v>
      </c>
      <c r="D16" s="53" t="s">
        <v>38</v>
      </c>
      <c r="E16" s="67" t="s">
        <v>69</v>
      </c>
      <c r="F16" s="53" t="s">
        <v>49</v>
      </c>
      <c r="G16" s="53" t="s">
        <v>36</v>
      </c>
      <c r="H16" s="53">
        <f>STOCK[[#This Row],[Precio Final]]</f>
        <v>18</v>
      </c>
      <c r="I16" s="53">
        <f>STOCK[[#This Row],[Precio Venta Ideal (x1.5)]]</f>
        <v>21.1625</v>
      </c>
      <c r="J16" s="71">
        <v>1</v>
      </c>
      <c r="K16" s="71">
        <f>SUMIFS(VENTAS[Cantidad],VENTAS[Código del producto Vendido],STOCK[[#This Row],[Code]])</f>
        <v>1</v>
      </c>
      <c r="L16" s="71">
        <f>STOCK[[#This Row],[Entradas]]-STOCK[[#This Row],[Salidas]]</f>
        <v>0</v>
      </c>
      <c r="M16" s="53">
        <f>STOCK[[#This Row],[Precio Final]]*10%</f>
        <v>1.8</v>
      </c>
      <c r="N16" s="53">
        <v>168</v>
      </c>
      <c r="O16" s="53">
        <v>18</v>
      </c>
      <c r="P16" s="53">
        <v>9.33333333333333</v>
      </c>
      <c r="Q16" s="71">
        <v>175</v>
      </c>
      <c r="R16" s="53">
        <v>17</v>
      </c>
      <c r="S16" s="53">
        <f>STOCK[[#This Row],[Peso (g)]]*STOCK[[#This Row],[Precio Envío Kilogramo (USD)]]/1000</f>
        <v>2.975</v>
      </c>
      <c r="T16" s="53">
        <f>STOCK[[#This Row],[Costo Unitario (USD)]]+STOCK[[#This Row],[Costo Envío (USD)]]+STOCK[[#This Row],[Comisión 10%]]</f>
        <v>14.1083333333333</v>
      </c>
      <c r="U16" s="53">
        <f>STOCK[[#This Row],[Costo total]]*1.5</f>
        <v>21.1625</v>
      </c>
      <c r="V16" s="53">
        <v>18</v>
      </c>
      <c r="W16" s="53">
        <f>STOCK[[#This Row],[Precio Final]]-STOCK[[#This Row],[Costo total]]</f>
        <v>3.89166666666667</v>
      </c>
      <c r="X16" s="53">
        <f>STOCK[[#This Row],[Ganancia Unitaria]]*STOCK[[#This Row],[Salidas]]</f>
        <v>3.89166666666667</v>
      </c>
      <c r="AA16" s="53">
        <f>STOCK[[#This Row],[Costo total]]*STOCK[[#This Row],[Entradas]]</f>
        <v>14.1083333333333</v>
      </c>
      <c r="AB16" s="53">
        <f>STOCK[[#This Row],[Stock Actual]]*STOCK[[#This Row],[Costo total]]</f>
        <v>0</v>
      </c>
    </row>
    <row r="17" s="54" customFormat="1" ht="50" customHeight="1" spans="1:28">
      <c r="A17" s="54" t="s">
        <v>70</v>
      </c>
      <c r="B17" s="66"/>
      <c r="C17" s="54" t="s">
        <v>32</v>
      </c>
      <c r="D17" s="54" t="s">
        <v>38</v>
      </c>
      <c r="E17" s="68" t="s">
        <v>69</v>
      </c>
      <c r="F17" s="54" t="s">
        <v>40</v>
      </c>
      <c r="G17" s="54" t="s">
        <v>36</v>
      </c>
      <c r="H17" s="54">
        <f>STOCK[[#This Row],[Precio Final]]</f>
        <v>18</v>
      </c>
      <c r="I17" s="54">
        <f>STOCK[[#This Row],[Precio Venta Ideal (x1.5)]]</f>
        <v>21.1625</v>
      </c>
      <c r="J17" s="72">
        <v>1</v>
      </c>
      <c r="K17" s="72">
        <f>SUMIFS(VENTAS[Cantidad],VENTAS[Código del producto Vendido],STOCK[[#This Row],[Code]])</f>
        <v>1</v>
      </c>
      <c r="L17" s="72">
        <f>STOCK[[#This Row],[Entradas]]-STOCK[[#This Row],[Salidas]]</f>
        <v>0</v>
      </c>
      <c r="M17" s="54">
        <f>STOCK[[#This Row],[Precio Final]]*10%</f>
        <v>1.8</v>
      </c>
      <c r="N17" s="54">
        <v>168</v>
      </c>
      <c r="O17" s="54">
        <v>18</v>
      </c>
      <c r="P17" s="54">
        <v>9.33333333333333</v>
      </c>
      <c r="Q17" s="72">
        <v>175</v>
      </c>
      <c r="R17" s="54">
        <v>17</v>
      </c>
      <c r="S17" s="54">
        <f>STOCK[[#This Row],[Peso (g)]]*STOCK[[#This Row],[Precio Envío Kilogramo (USD)]]/1000</f>
        <v>2.975</v>
      </c>
      <c r="T17" s="53">
        <f>STOCK[[#This Row],[Costo Unitario (USD)]]+STOCK[[#This Row],[Costo Envío (USD)]]+STOCK[[#This Row],[Comisión 10%]]</f>
        <v>14.1083333333333</v>
      </c>
      <c r="U17" s="54">
        <f>STOCK[[#This Row],[Costo total]]*1.5</f>
        <v>21.1625</v>
      </c>
      <c r="V17" s="54">
        <v>18</v>
      </c>
      <c r="W17" s="54">
        <f>STOCK[[#This Row],[Precio Final]]-STOCK[[#This Row],[Costo total]]</f>
        <v>3.89166666666667</v>
      </c>
      <c r="X17" s="54">
        <f>STOCK[[#This Row],[Ganancia Unitaria]]*STOCK[[#This Row],[Salidas]]</f>
        <v>3.89166666666667</v>
      </c>
      <c r="AA17" s="54">
        <f>STOCK[[#This Row],[Costo total]]*STOCK[[#This Row],[Entradas]]</f>
        <v>14.1083333333333</v>
      </c>
      <c r="AB17" s="54">
        <f>STOCK[[#This Row],[Stock Actual]]*STOCK[[#This Row],[Costo total]]</f>
        <v>0</v>
      </c>
    </row>
    <row r="18" s="53" customFormat="1" ht="50" customHeight="1" spans="1:28">
      <c r="A18" s="53" t="s">
        <v>71</v>
      </c>
      <c r="B18" s="66"/>
      <c r="C18" s="53" t="s">
        <v>32</v>
      </c>
      <c r="D18" s="53" t="s">
        <v>38</v>
      </c>
      <c r="E18" s="67" t="s">
        <v>72</v>
      </c>
      <c r="F18" s="53" t="s">
        <v>62</v>
      </c>
      <c r="G18" s="53" t="s">
        <v>36</v>
      </c>
      <c r="H18" s="53">
        <f>STOCK[[#This Row],[Precio Final]]</f>
        <v>25</v>
      </c>
      <c r="I18" s="53">
        <f>STOCK[[#This Row],[Precio Venta Ideal (x1.5)]]</f>
        <v>27.2766666666666</v>
      </c>
      <c r="J18" s="71">
        <v>1</v>
      </c>
      <c r="K18" s="71">
        <f>SUMIFS(VENTAS[Cantidad],VENTAS[Código del producto Vendido],STOCK[[#This Row],[Code]])</f>
        <v>1</v>
      </c>
      <c r="L18" s="71">
        <f>STOCK[[#This Row],[Entradas]]-STOCK[[#This Row],[Salidas]]</f>
        <v>0</v>
      </c>
      <c r="M18" s="53">
        <f>STOCK[[#This Row],[Precio Final]]*10%</f>
        <v>2.5</v>
      </c>
      <c r="N18" s="53">
        <v>215</v>
      </c>
      <c r="O18" s="53">
        <v>18</v>
      </c>
      <c r="P18" s="53">
        <v>11.9444444444444</v>
      </c>
      <c r="Q18" s="71">
        <v>220</v>
      </c>
      <c r="R18" s="53">
        <v>17</v>
      </c>
      <c r="S18" s="53">
        <f>STOCK[[#This Row],[Peso (g)]]*STOCK[[#This Row],[Precio Envío Kilogramo (USD)]]/1000</f>
        <v>3.74</v>
      </c>
      <c r="T18" s="53">
        <f>STOCK[[#This Row],[Costo Unitario (USD)]]+STOCK[[#This Row],[Costo Envío (USD)]]+STOCK[[#This Row],[Comisión 10%]]</f>
        <v>18.1844444444444</v>
      </c>
      <c r="U18" s="53">
        <f>STOCK[[#This Row],[Costo total]]*1.5</f>
        <v>27.2766666666666</v>
      </c>
      <c r="V18" s="53">
        <v>25</v>
      </c>
      <c r="W18" s="53">
        <f>STOCK[[#This Row],[Precio Final]]-STOCK[[#This Row],[Costo total]]</f>
        <v>6.8155555555556</v>
      </c>
      <c r="X18" s="53">
        <f>STOCK[[#This Row],[Ganancia Unitaria]]*STOCK[[#This Row],[Salidas]]</f>
        <v>6.8155555555556</v>
      </c>
      <c r="AA18" s="53">
        <f>STOCK[[#This Row],[Costo total]]*STOCK[[#This Row],[Entradas]]</f>
        <v>18.1844444444444</v>
      </c>
      <c r="AB18" s="53">
        <f>STOCK[[#This Row],[Stock Actual]]*STOCK[[#This Row],[Costo total]]</f>
        <v>0</v>
      </c>
    </row>
    <row r="19" s="54" customFormat="1" ht="50" customHeight="1" spans="1:28">
      <c r="A19" s="54" t="s">
        <v>73</v>
      </c>
      <c r="B19" s="66"/>
      <c r="C19" s="54" t="s">
        <v>32</v>
      </c>
      <c r="D19" s="54" t="s">
        <v>38</v>
      </c>
      <c r="E19" s="68" t="s">
        <v>74</v>
      </c>
      <c r="F19" s="54" t="s">
        <v>42</v>
      </c>
      <c r="G19" s="54" t="s">
        <v>36</v>
      </c>
      <c r="H19" s="54">
        <f>STOCK[[#This Row],[Precio Final]]</f>
        <v>25</v>
      </c>
      <c r="I19" s="54">
        <f>STOCK[[#This Row],[Precio Venta Ideal (x1.5)]]</f>
        <v>33.5083333333333</v>
      </c>
      <c r="J19" s="72">
        <v>1</v>
      </c>
      <c r="K19" s="72">
        <f>SUMIFS(VENTAS[Cantidad],VENTAS[Código del producto Vendido],STOCK[[#This Row],[Code]])</f>
        <v>1</v>
      </c>
      <c r="L19" s="72">
        <f>STOCK[[#This Row],[Entradas]]-STOCK[[#This Row],[Salidas]]</f>
        <v>0</v>
      </c>
      <c r="M19" s="54">
        <f>STOCK[[#This Row],[Precio Final]]*10%</f>
        <v>2.5</v>
      </c>
      <c r="N19" s="54">
        <v>250</v>
      </c>
      <c r="O19" s="54">
        <v>18</v>
      </c>
      <c r="P19" s="54">
        <v>13.8888888888889</v>
      </c>
      <c r="Q19" s="72">
        <v>350</v>
      </c>
      <c r="R19" s="54">
        <v>17</v>
      </c>
      <c r="S19" s="54">
        <f>STOCK[[#This Row],[Peso (g)]]*STOCK[[#This Row],[Precio Envío Kilogramo (USD)]]/1000</f>
        <v>5.95</v>
      </c>
      <c r="T19" s="53">
        <f>STOCK[[#This Row],[Costo Unitario (USD)]]+STOCK[[#This Row],[Costo Envío (USD)]]+STOCK[[#This Row],[Comisión 10%]]</f>
        <v>22.3388888888889</v>
      </c>
      <c r="U19" s="54">
        <f>STOCK[[#This Row],[Costo total]]*1.5</f>
        <v>33.5083333333333</v>
      </c>
      <c r="V19" s="54">
        <v>25</v>
      </c>
      <c r="W19" s="54">
        <f>STOCK[[#This Row],[Precio Final]]-STOCK[[#This Row],[Costo total]]</f>
        <v>2.6611111111111</v>
      </c>
      <c r="X19" s="54">
        <f>STOCK[[#This Row],[Ganancia Unitaria]]*STOCK[[#This Row],[Salidas]]</f>
        <v>2.6611111111111</v>
      </c>
      <c r="AA19" s="54">
        <f>STOCK[[#This Row],[Costo total]]*STOCK[[#This Row],[Entradas]]</f>
        <v>22.3388888888889</v>
      </c>
      <c r="AB19" s="54">
        <f>STOCK[[#This Row],[Stock Actual]]*STOCK[[#This Row],[Costo total]]</f>
        <v>0</v>
      </c>
    </row>
    <row r="20" s="53" customFormat="1" ht="50" customHeight="1" spans="1:28">
      <c r="A20" s="53" t="s">
        <v>75</v>
      </c>
      <c r="B20" s="66"/>
      <c r="C20" s="53" t="s">
        <v>32</v>
      </c>
      <c r="D20" s="53" t="s">
        <v>38</v>
      </c>
      <c r="E20" s="67" t="s">
        <v>76</v>
      </c>
      <c r="F20" s="53" t="s">
        <v>42</v>
      </c>
      <c r="G20" s="53" t="s">
        <v>36</v>
      </c>
      <c r="H20" s="53">
        <f>STOCK[[#This Row],[Precio Final]]</f>
        <v>28</v>
      </c>
      <c r="I20" s="53">
        <f>STOCK[[#This Row],[Precio Venta Ideal (x1.5)]]</f>
        <v>31.2808333333333</v>
      </c>
      <c r="J20" s="71">
        <v>2</v>
      </c>
      <c r="K20" s="71">
        <f>SUMIFS(VENTAS[Cantidad],VENTAS[Código del producto Vendido],STOCK[[#This Row],[Code]])</f>
        <v>2</v>
      </c>
      <c r="L20" s="71">
        <f>STOCK[[#This Row],[Entradas]]-STOCK[[#This Row],[Salidas]]</f>
        <v>0</v>
      </c>
      <c r="M20" s="53">
        <f>STOCK[[#This Row],[Precio Final]]*10%</f>
        <v>2.8</v>
      </c>
      <c r="N20" s="53">
        <v>250</v>
      </c>
      <c r="O20" s="53">
        <v>18</v>
      </c>
      <c r="P20" s="53">
        <v>13.8888888888889</v>
      </c>
      <c r="Q20" s="71">
        <v>245</v>
      </c>
      <c r="R20" s="53">
        <v>17</v>
      </c>
      <c r="S20" s="53">
        <f>STOCK[[#This Row],[Peso (g)]]*STOCK[[#This Row],[Precio Envío Kilogramo (USD)]]/1000</f>
        <v>4.165</v>
      </c>
      <c r="T20" s="53">
        <f>STOCK[[#This Row],[Costo Unitario (USD)]]+STOCK[[#This Row],[Costo Envío (USD)]]+STOCK[[#This Row],[Comisión 10%]]</f>
        <v>20.8538888888889</v>
      </c>
      <c r="U20" s="53">
        <f>STOCK[[#This Row],[Costo total]]*1.5</f>
        <v>31.2808333333333</v>
      </c>
      <c r="V20" s="53">
        <v>28</v>
      </c>
      <c r="W20" s="53">
        <f>STOCK[[#This Row],[Precio Final]]-STOCK[[#This Row],[Costo total]]</f>
        <v>7.1461111111111</v>
      </c>
      <c r="X20" s="53">
        <f>STOCK[[#This Row],[Ganancia Unitaria]]*STOCK[[#This Row],[Salidas]]</f>
        <v>14.2922222222222</v>
      </c>
      <c r="AA20" s="53">
        <f>STOCK[[#This Row],[Costo total]]*STOCK[[#This Row],[Entradas]]</f>
        <v>41.7077777777778</v>
      </c>
      <c r="AB20" s="53">
        <f>STOCK[[#This Row],[Stock Actual]]*STOCK[[#This Row],[Costo total]]</f>
        <v>0</v>
      </c>
    </row>
    <row r="21" s="54" customFormat="1" ht="50" customHeight="1" spans="1:28">
      <c r="A21" s="54" t="s">
        <v>77</v>
      </c>
      <c r="B21" s="66"/>
      <c r="C21" s="54" t="s">
        <v>32</v>
      </c>
      <c r="D21" s="54" t="s">
        <v>38</v>
      </c>
      <c r="E21" s="68" t="s">
        <v>78</v>
      </c>
      <c r="F21" s="54" t="s">
        <v>40</v>
      </c>
      <c r="G21" s="54" t="s">
        <v>36</v>
      </c>
      <c r="H21" s="54">
        <f>STOCK[[#This Row],[Precio Final]]</f>
        <v>15</v>
      </c>
      <c r="I21" s="54">
        <f>STOCK[[#This Row],[Precio Venta Ideal (x1.5)]]</f>
        <v>16.2908333333333</v>
      </c>
      <c r="J21" s="72">
        <v>2</v>
      </c>
      <c r="K21" s="72">
        <f>SUMIFS(VENTAS[Cantidad],VENTAS[Código del producto Vendido],STOCK[[#This Row],[Code]])</f>
        <v>2</v>
      </c>
      <c r="L21" s="72">
        <f>STOCK[[#This Row],[Entradas]]-STOCK[[#This Row],[Salidas]]</f>
        <v>0</v>
      </c>
      <c r="M21" s="54">
        <f>STOCK[[#This Row],[Precio Final]]*10%</f>
        <v>1.5</v>
      </c>
      <c r="N21" s="54">
        <v>118</v>
      </c>
      <c r="O21" s="54">
        <v>18</v>
      </c>
      <c r="P21" s="54">
        <v>6.55555555555556</v>
      </c>
      <c r="Q21" s="72">
        <v>165</v>
      </c>
      <c r="R21" s="54">
        <v>17</v>
      </c>
      <c r="S21" s="54">
        <f>STOCK[[#This Row],[Peso (g)]]*STOCK[[#This Row],[Precio Envío Kilogramo (USD)]]/1000</f>
        <v>2.805</v>
      </c>
      <c r="T21" s="53">
        <f>STOCK[[#This Row],[Costo Unitario (USD)]]+STOCK[[#This Row],[Costo Envío (USD)]]+STOCK[[#This Row],[Comisión 10%]]</f>
        <v>10.8605555555556</v>
      </c>
      <c r="U21" s="54">
        <f>STOCK[[#This Row],[Costo total]]*1.5</f>
        <v>16.2908333333333</v>
      </c>
      <c r="V21" s="54">
        <v>15</v>
      </c>
      <c r="W21" s="54">
        <f>STOCK[[#This Row],[Precio Final]]-STOCK[[#This Row],[Costo total]]</f>
        <v>4.13944444444444</v>
      </c>
      <c r="X21" s="54">
        <f>STOCK[[#This Row],[Ganancia Unitaria]]*STOCK[[#This Row],[Salidas]]</f>
        <v>8.27888888888888</v>
      </c>
      <c r="AA21" s="54">
        <f>STOCK[[#This Row],[Costo total]]*STOCK[[#This Row],[Entradas]]</f>
        <v>21.7211111111111</v>
      </c>
      <c r="AB21" s="54">
        <f>STOCK[[#This Row],[Stock Actual]]*STOCK[[#This Row],[Costo total]]</f>
        <v>0</v>
      </c>
    </row>
    <row r="22" s="53" customFormat="1" ht="50" customHeight="1" spans="1:28">
      <c r="A22" s="53" t="s">
        <v>79</v>
      </c>
      <c r="B22" s="66"/>
      <c r="C22" s="53" t="s">
        <v>32</v>
      </c>
      <c r="D22" s="53" t="s">
        <v>38</v>
      </c>
      <c r="E22" s="67" t="s">
        <v>80</v>
      </c>
      <c r="F22" s="53" t="s">
        <v>42</v>
      </c>
      <c r="G22" s="53" t="s">
        <v>36</v>
      </c>
      <c r="H22" s="53">
        <f>STOCK[[#This Row],[Precio Final]]</f>
        <v>22</v>
      </c>
      <c r="I22" s="53">
        <f>STOCK[[#This Row],[Precio Venta Ideal (x1.5)]]</f>
        <v>25.425</v>
      </c>
      <c r="J22" s="71">
        <v>1</v>
      </c>
      <c r="K22" s="71">
        <f>SUMIFS(VENTAS[Cantidad],VENTAS[Código del producto Vendido],STOCK[[#This Row],[Code]])</f>
        <v>1</v>
      </c>
      <c r="L22" s="71">
        <f>STOCK[[#This Row],[Entradas]]-STOCK[[#This Row],[Salidas]]</f>
        <v>0</v>
      </c>
      <c r="M22" s="53">
        <f>STOCK[[#This Row],[Precio Final]]*10%</f>
        <v>2.2</v>
      </c>
      <c r="N22" s="53">
        <v>189</v>
      </c>
      <c r="O22" s="53">
        <v>18</v>
      </c>
      <c r="P22" s="53">
        <v>10.5</v>
      </c>
      <c r="Q22" s="71">
        <v>250</v>
      </c>
      <c r="R22" s="53">
        <v>17</v>
      </c>
      <c r="S22" s="53">
        <f>STOCK[[#This Row],[Peso (g)]]*STOCK[[#This Row],[Precio Envío Kilogramo (USD)]]/1000</f>
        <v>4.25</v>
      </c>
      <c r="T22" s="53">
        <f>STOCK[[#This Row],[Costo Unitario (USD)]]+STOCK[[#This Row],[Costo Envío (USD)]]+STOCK[[#This Row],[Comisión 10%]]</f>
        <v>16.95</v>
      </c>
      <c r="U22" s="53">
        <f>STOCK[[#This Row],[Costo total]]*1.5</f>
        <v>25.425</v>
      </c>
      <c r="V22" s="53">
        <v>22</v>
      </c>
      <c r="W22" s="53">
        <f>STOCK[[#This Row],[Precio Final]]-STOCK[[#This Row],[Costo total]]</f>
        <v>5.05</v>
      </c>
      <c r="X22" s="53">
        <f>STOCK[[#This Row],[Ganancia Unitaria]]*STOCK[[#This Row],[Salidas]]</f>
        <v>5.05</v>
      </c>
      <c r="AA22" s="53">
        <f>STOCK[[#This Row],[Costo total]]*STOCK[[#This Row],[Entradas]]</f>
        <v>16.95</v>
      </c>
      <c r="AB22" s="53">
        <f>STOCK[[#This Row],[Stock Actual]]*STOCK[[#This Row],[Costo total]]</f>
        <v>0</v>
      </c>
    </row>
    <row r="23" s="54" customFormat="1" ht="50" customHeight="1" spans="1:28">
      <c r="A23" s="54" t="s">
        <v>81</v>
      </c>
      <c r="B23" s="66"/>
      <c r="C23" s="54" t="s">
        <v>32</v>
      </c>
      <c r="D23" s="54" t="s">
        <v>82</v>
      </c>
      <c r="E23" s="68" t="s">
        <v>78</v>
      </c>
      <c r="F23" s="54" t="s">
        <v>83</v>
      </c>
      <c r="G23" s="54" t="s">
        <v>36</v>
      </c>
      <c r="H23" s="54">
        <f>STOCK[[#This Row],[Precio Final]]</f>
        <v>15</v>
      </c>
      <c r="I23" s="54">
        <f>STOCK[[#This Row],[Precio Venta Ideal (x1.5)]]</f>
        <v>17.1833333333333</v>
      </c>
      <c r="J23" s="72">
        <v>2</v>
      </c>
      <c r="K23" s="72">
        <f>SUMIFS(VENTAS[Cantidad],VENTAS[Código del producto Vendido],STOCK[[#This Row],[Code]])</f>
        <v>2</v>
      </c>
      <c r="L23" s="72">
        <f>STOCK[[#This Row],[Entradas]]-STOCK[[#This Row],[Salidas]]</f>
        <v>0</v>
      </c>
      <c r="M23" s="54">
        <f>STOCK[[#This Row],[Precio Final]]*10%</f>
        <v>1.5</v>
      </c>
      <c r="N23" s="54">
        <v>118</v>
      </c>
      <c r="O23" s="54">
        <v>18</v>
      </c>
      <c r="P23" s="54">
        <v>6.55555555555556</v>
      </c>
      <c r="Q23" s="72">
        <v>200</v>
      </c>
      <c r="R23" s="54">
        <v>17</v>
      </c>
      <c r="S23" s="54">
        <f>STOCK[[#This Row],[Peso (g)]]*STOCK[[#This Row],[Precio Envío Kilogramo (USD)]]/1000</f>
        <v>3.4</v>
      </c>
      <c r="T23" s="53">
        <f>STOCK[[#This Row],[Costo Unitario (USD)]]+STOCK[[#This Row],[Costo Envío (USD)]]+STOCK[[#This Row],[Comisión 10%]]</f>
        <v>11.4555555555556</v>
      </c>
      <c r="U23" s="54">
        <f>STOCK[[#This Row],[Costo total]]*1.5</f>
        <v>17.1833333333333</v>
      </c>
      <c r="V23" s="54">
        <v>15</v>
      </c>
      <c r="W23" s="54">
        <f>STOCK[[#This Row],[Precio Final]]-STOCK[[#This Row],[Costo total]]</f>
        <v>3.54444444444444</v>
      </c>
      <c r="X23" s="54">
        <f>STOCK[[#This Row],[Ganancia Unitaria]]*STOCK[[#This Row],[Salidas]]</f>
        <v>7.08888888888888</v>
      </c>
      <c r="AA23" s="54">
        <f>STOCK[[#This Row],[Costo total]]*STOCK[[#This Row],[Entradas]]</f>
        <v>22.9111111111111</v>
      </c>
      <c r="AB23" s="54">
        <f>STOCK[[#This Row],[Stock Actual]]*STOCK[[#This Row],[Costo total]]</f>
        <v>0</v>
      </c>
    </row>
    <row r="24" s="53" customFormat="1" ht="50" customHeight="1" spans="1:28">
      <c r="A24" s="53" t="s">
        <v>84</v>
      </c>
      <c r="B24" s="66"/>
      <c r="C24" s="53" t="s">
        <v>32</v>
      </c>
      <c r="D24" s="53" t="s">
        <v>38</v>
      </c>
      <c r="E24" s="67" t="s">
        <v>85</v>
      </c>
      <c r="F24" s="53" t="s">
        <v>42</v>
      </c>
      <c r="G24" s="53" t="s">
        <v>36</v>
      </c>
      <c r="H24" s="53">
        <f>STOCK[[#This Row],[Precio Final]]</f>
        <v>15</v>
      </c>
      <c r="I24" s="53">
        <f>STOCK[[#This Row],[Precio Venta Ideal (x1.5)]]</f>
        <v>22.2475</v>
      </c>
      <c r="J24" s="71">
        <v>1</v>
      </c>
      <c r="K24" s="71">
        <f>SUMIFS(VENTAS[Cantidad],VENTAS[Código del producto Vendido],STOCK[[#This Row],[Code]])</f>
        <v>1</v>
      </c>
      <c r="L24" s="71">
        <f>STOCK[[#This Row],[Entradas]]-STOCK[[#This Row],[Salidas]]</f>
        <v>0</v>
      </c>
      <c r="M24" s="53">
        <f>STOCK[[#This Row],[Precio Final]]*10%</f>
        <v>1.5</v>
      </c>
      <c r="N24" s="53">
        <v>165</v>
      </c>
      <c r="O24" s="53">
        <v>18</v>
      </c>
      <c r="P24" s="53">
        <v>9.16666666666667</v>
      </c>
      <c r="Q24" s="71">
        <v>245</v>
      </c>
      <c r="R24" s="53">
        <v>17</v>
      </c>
      <c r="S24" s="53">
        <f>STOCK[[#This Row],[Peso (g)]]*STOCK[[#This Row],[Precio Envío Kilogramo (USD)]]/1000</f>
        <v>4.165</v>
      </c>
      <c r="T24" s="53">
        <f>STOCK[[#This Row],[Costo Unitario (USD)]]+STOCK[[#This Row],[Costo Envío (USD)]]+STOCK[[#This Row],[Comisión 10%]]</f>
        <v>14.8316666666667</v>
      </c>
      <c r="U24" s="53">
        <f>STOCK[[#This Row],[Costo total]]*1.5</f>
        <v>22.2475</v>
      </c>
      <c r="V24" s="53">
        <v>15</v>
      </c>
      <c r="W24" s="53">
        <f>STOCK[[#This Row],[Precio Final]]-STOCK[[#This Row],[Costo total]]</f>
        <v>0.168333333333329</v>
      </c>
      <c r="X24" s="53">
        <f>STOCK[[#This Row],[Ganancia Unitaria]]*STOCK[[#This Row],[Salidas]]</f>
        <v>0.168333333333329</v>
      </c>
      <c r="AA24" s="53">
        <f>STOCK[[#This Row],[Costo total]]*STOCK[[#This Row],[Entradas]]</f>
        <v>14.8316666666667</v>
      </c>
      <c r="AB24" s="53">
        <f>STOCK[[#This Row],[Stock Actual]]*STOCK[[#This Row],[Costo total]]</f>
        <v>0</v>
      </c>
    </row>
    <row r="25" s="54" customFormat="1" ht="50" customHeight="1" spans="1:28">
      <c r="A25" s="54" t="s">
        <v>86</v>
      </c>
      <c r="B25" s="66"/>
      <c r="C25" s="54" t="s">
        <v>32</v>
      </c>
      <c r="D25" s="54" t="s">
        <v>38</v>
      </c>
      <c r="E25" s="68" t="s">
        <v>87</v>
      </c>
      <c r="F25" s="54" t="s">
        <v>88</v>
      </c>
      <c r="G25" s="54" t="s">
        <v>36</v>
      </c>
      <c r="H25" s="54">
        <f>STOCK[[#This Row],[Precio Final]]</f>
        <v>18</v>
      </c>
      <c r="I25" s="54">
        <f>STOCK[[#This Row],[Precio Venta Ideal (x1.5)]]</f>
        <v>21.7458333333333</v>
      </c>
      <c r="J25" s="72">
        <v>1</v>
      </c>
      <c r="K25" s="72">
        <f>SUMIFS(VENTAS[Cantidad],VENTAS[Código del producto Vendido],STOCK[[#This Row],[Code]])</f>
        <v>1</v>
      </c>
      <c r="L25" s="72">
        <f>STOCK[[#This Row],[Entradas]]-STOCK[[#This Row],[Salidas]]</f>
        <v>0</v>
      </c>
      <c r="M25" s="54">
        <f>STOCK[[#This Row],[Precio Final]]*10%</f>
        <v>1.8</v>
      </c>
      <c r="N25" s="54">
        <v>175</v>
      </c>
      <c r="O25" s="54">
        <v>18</v>
      </c>
      <c r="P25" s="54">
        <v>9.72222222222222</v>
      </c>
      <c r="Q25" s="72">
        <v>175</v>
      </c>
      <c r="R25" s="54">
        <v>17</v>
      </c>
      <c r="S25" s="54">
        <f>STOCK[[#This Row],[Peso (g)]]*STOCK[[#This Row],[Precio Envío Kilogramo (USD)]]/1000</f>
        <v>2.975</v>
      </c>
      <c r="T25" s="53">
        <f>STOCK[[#This Row],[Costo Unitario (USD)]]+STOCK[[#This Row],[Costo Envío (USD)]]+STOCK[[#This Row],[Comisión 10%]]</f>
        <v>14.4972222222222</v>
      </c>
      <c r="U25" s="54">
        <f>STOCK[[#This Row],[Costo total]]*1.5</f>
        <v>21.7458333333333</v>
      </c>
      <c r="V25" s="54">
        <v>18</v>
      </c>
      <c r="W25" s="54">
        <f>STOCK[[#This Row],[Precio Final]]-STOCK[[#This Row],[Costo total]]</f>
        <v>3.50277777777778</v>
      </c>
      <c r="X25" s="54">
        <f>STOCK[[#This Row],[Ganancia Unitaria]]*STOCK[[#This Row],[Salidas]]</f>
        <v>3.50277777777778</v>
      </c>
      <c r="AA25" s="54">
        <f>STOCK[[#This Row],[Costo total]]*STOCK[[#This Row],[Entradas]]</f>
        <v>14.4972222222222</v>
      </c>
      <c r="AB25" s="54">
        <f>STOCK[[#This Row],[Stock Actual]]*STOCK[[#This Row],[Costo total]]</f>
        <v>0</v>
      </c>
    </row>
    <row r="26" s="53" customFormat="1" ht="50" customHeight="1" spans="1:28">
      <c r="A26" s="53" t="s">
        <v>89</v>
      </c>
      <c r="B26" s="66"/>
      <c r="C26" s="53" t="s">
        <v>32</v>
      </c>
      <c r="D26" s="53" t="s">
        <v>38</v>
      </c>
      <c r="E26" s="67" t="s">
        <v>69</v>
      </c>
      <c r="F26" s="53" t="s">
        <v>40</v>
      </c>
      <c r="G26" s="53" t="s">
        <v>36</v>
      </c>
      <c r="H26" s="53">
        <f>STOCK[[#This Row],[Precio Final]]</f>
        <v>18</v>
      </c>
      <c r="I26" s="53">
        <f>STOCK[[#This Row],[Precio Venta Ideal (x1.5)]]</f>
        <v>21.7458333333333</v>
      </c>
      <c r="J26" s="71">
        <v>1</v>
      </c>
      <c r="K26" s="71">
        <f>SUMIFS(VENTAS[Cantidad],VENTAS[Código del producto Vendido],STOCK[[#This Row],[Code]])</f>
        <v>1</v>
      </c>
      <c r="L26" s="71">
        <f>STOCK[[#This Row],[Entradas]]-STOCK[[#This Row],[Salidas]]</f>
        <v>0</v>
      </c>
      <c r="M26" s="53">
        <f>STOCK[[#This Row],[Precio Final]]*10%</f>
        <v>1.8</v>
      </c>
      <c r="N26" s="53">
        <v>175</v>
      </c>
      <c r="O26" s="53">
        <v>18</v>
      </c>
      <c r="P26" s="53">
        <v>9.72222222222222</v>
      </c>
      <c r="Q26" s="71">
        <v>175</v>
      </c>
      <c r="R26" s="53">
        <v>17</v>
      </c>
      <c r="S26" s="53">
        <f>STOCK[[#This Row],[Peso (g)]]*STOCK[[#This Row],[Precio Envío Kilogramo (USD)]]/1000</f>
        <v>2.975</v>
      </c>
      <c r="T26" s="53">
        <f>STOCK[[#This Row],[Costo Unitario (USD)]]+STOCK[[#This Row],[Costo Envío (USD)]]+STOCK[[#This Row],[Comisión 10%]]</f>
        <v>14.4972222222222</v>
      </c>
      <c r="U26" s="53">
        <f>STOCK[[#This Row],[Costo total]]*1.5</f>
        <v>21.7458333333333</v>
      </c>
      <c r="V26" s="53">
        <v>18</v>
      </c>
      <c r="W26" s="53">
        <f>STOCK[[#This Row],[Precio Final]]-STOCK[[#This Row],[Costo total]]</f>
        <v>3.50277777777778</v>
      </c>
      <c r="X26" s="53">
        <f>STOCK[[#This Row],[Ganancia Unitaria]]*STOCK[[#This Row],[Salidas]]</f>
        <v>3.50277777777778</v>
      </c>
      <c r="AA26" s="53">
        <f>STOCK[[#This Row],[Costo total]]*STOCK[[#This Row],[Entradas]]</f>
        <v>14.4972222222222</v>
      </c>
      <c r="AB26" s="53">
        <f>STOCK[[#This Row],[Stock Actual]]*STOCK[[#This Row],[Costo total]]</f>
        <v>0</v>
      </c>
    </row>
    <row r="27" s="54" customFormat="1" ht="50" customHeight="1" spans="1:28">
      <c r="A27" s="54" t="s">
        <v>90</v>
      </c>
      <c r="B27" s="66"/>
      <c r="C27" s="54" t="s">
        <v>32</v>
      </c>
      <c r="D27" s="54" t="s">
        <v>38</v>
      </c>
      <c r="E27" s="68" t="s">
        <v>91</v>
      </c>
      <c r="F27" s="54" t="s">
        <v>92</v>
      </c>
      <c r="G27" s="54" t="s">
        <v>36</v>
      </c>
      <c r="H27" s="54">
        <f>STOCK[[#This Row],[Precio Final]]</f>
        <v>28</v>
      </c>
      <c r="I27" s="54">
        <f>STOCK[[#This Row],[Precio Venta Ideal (x1.5)]]</f>
        <v>35.8208333333334</v>
      </c>
      <c r="J27" s="72">
        <v>1</v>
      </c>
      <c r="K27" s="72">
        <f>SUMIFS(VENTAS[Cantidad],VENTAS[Código del producto Vendido],STOCK[[#This Row],[Code]])</f>
        <v>1</v>
      </c>
      <c r="L27" s="72">
        <f>STOCK[[#This Row],[Entradas]]-STOCK[[#This Row],[Salidas]]</f>
        <v>0</v>
      </c>
      <c r="M27" s="54">
        <f>STOCK[[#This Row],[Precio Final]]*10%</f>
        <v>2.8</v>
      </c>
      <c r="N27" s="54">
        <v>280</v>
      </c>
      <c r="O27" s="54">
        <v>18</v>
      </c>
      <c r="P27" s="54">
        <v>15.5555555555556</v>
      </c>
      <c r="Q27" s="72">
        <v>325</v>
      </c>
      <c r="R27" s="54">
        <v>17</v>
      </c>
      <c r="S27" s="54">
        <f>STOCK[[#This Row],[Peso (g)]]*STOCK[[#This Row],[Precio Envío Kilogramo (USD)]]/1000</f>
        <v>5.525</v>
      </c>
      <c r="T27" s="53">
        <f>STOCK[[#This Row],[Costo Unitario (USD)]]+STOCK[[#This Row],[Costo Envío (USD)]]+STOCK[[#This Row],[Comisión 10%]]</f>
        <v>23.8805555555556</v>
      </c>
      <c r="U27" s="54">
        <f>STOCK[[#This Row],[Costo total]]*1.5</f>
        <v>35.8208333333334</v>
      </c>
      <c r="V27" s="54">
        <v>28</v>
      </c>
      <c r="W27" s="54">
        <f>STOCK[[#This Row],[Precio Final]]-STOCK[[#This Row],[Costo total]]</f>
        <v>4.1194444444444</v>
      </c>
      <c r="X27" s="54">
        <f>STOCK[[#This Row],[Ganancia Unitaria]]*STOCK[[#This Row],[Salidas]]</f>
        <v>4.1194444444444</v>
      </c>
      <c r="AA27" s="54">
        <f>STOCK[[#This Row],[Costo total]]*STOCK[[#This Row],[Entradas]]</f>
        <v>23.8805555555556</v>
      </c>
      <c r="AB27" s="54">
        <f>STOCK[[#This Row],[Stock Actual]]*STOCK[[#This Row],[Costo total]]</f>
        <v>0</v>
      </c>
    </row>
    <row r="28" s="53" customFormat="1" ht="50" customHeight="1" spans="1:28">
      <c r="A28" s="53" t="s">
        <v>93</v>
      </c>
      <c r="B28" s="66"/>
      <c r="C28" s="53" t="s">
        <v>32</v>
      </c>
      <c r="D28" s="53" t="s">
        <v>38</v>
      </c>
      <c r="E28" s="67" t="s">
        <v>94</v>
      </c>
      <c r="F28" s="53" t="s">
        <v>49</v>
      </c>
      <c r="G28" s="53" t="s">
        <v>36</v>
      </c>
      <c r="H28" s="53">
        <f>STOCK[[#This Row],[Precio Final]]</f>
        <v>22</v>
      </c>
      <c r="I28" s="53">
        <f>STOCK[[#This Row],[Precio Venta Ideal (x1.5)]]</f>
        <v>24.3949999999999</v>
      </c>
      <c r="J28" s="71">
        <v>1</v>
      </c>
      <c r="K28" s="71">
        <f>SUMIFS(VENTAS[Cantidad],VENTAS[Código del producto Vendido],STOCK[[#This Row],[Code]])</f>
        <v>1</v>
      </c>
      <c r="L28" s="71">
        <f>STOCK[[#This Row],[Entradas]]-STOCK[[#This Row],[Salidas]]</f>
        <v>0</v>
      </c>
      <c r="M28" s="53">
        <f>STOCK[[#This Row],[Precio Final]]*10%</f>
        <v>2.2</v>
      </c>
      <c r="N28" s="53">
        <v>195</v>
      </c>
      <c r="O28" s="53">
        <v>18</v>
      </c>
      <c r="P28" s="53">
        <v>10.8333333333333</v>
      </c>
      <c r="Q28" s="71">
        <v>190</v>
      </c>
      <c r="R28" s="53">
        <v>17</v>
      </c>
      <c r="S28" s="53">
        <f>STOCK[[#This Row],[Peso (g)]]*STOCK[[#This Row],[Precio Envío Kilogramo (USD)]]/1000</f>
        <v>3.23</v>
      </c>
      <c r="T28" s="53">
        <f>STOCK[[#This Row],[Costo Unitario (USD)]]+STOCK[[#This Row],[Costo Envío (USD)]]+STOCK[[#This Row],[Comisión 10%]]</f>
        <v>16.2633333333333</v>
      </c>
      <c r="U28" s="53">
        <f>STOCK[[#This Row],[Costo total]]*1.5</f>
        <v>24.3949999999999</v>
      </c>
      <c r="V28" s="53">
        <v>22</v>
      </c>
      <c r="W28" s="53">
        <f>STOCK[[#This Row],[Precio Final]]-STOCK[[#This Row],[Costo total]]</f>
        <v>5.7366666666667</v>
      </c>
      <c r="X28" s="53">
        <f>STOCK[[#This Row],[Ganancia Unitaria]]*STOCK[[#This Row],[Salidas]]</f>
        <v>5.7366666666667</v>
      </c>
      <c r="AA28" s="53">
        <f>STOCK[[#This Row],[Costo total]]*STOCK[[#This Row],[Entradas]]</f>
        <v>16.2633333333333</v>
      </c>
      <c r="AB28" s="53">
        <f>STOCK[[#This Row],[Stock Actual]]*STOCK[[#This Row],[Costo total]]</f>
        <v>0</v>
      </c>
    </row>
    <row r="29" s="54" customFormat="1" ht="50" customHeight="1" spans="1:28">
      <c r="A29" s="54" t="s">
        <v>95</v>
      </c>
      <c r="B29" s="66"/>
      <c r="C29" s="54" t="s">
        <v>32</v>
      </c>
      <c r="D29" s="54" t="s">
        <v>38</v>
      </c>
      <c r="E29" s="68" t="s">
        <v>96</v>
      </c>
      <c r="F29" s="54" t="s">
        <v>46</v>
      </c>
      <c r="G29" s="54" t="s">
        <v>36</v>
      </c>
      <c r="H29" s="54">
        <f>STOCK[[#This Row],[Precio Final]]</f>
        <v>25</v>
      </c>
      <c r="I29" s="54">
        <f>STOCK[[#This Row],[Precio Venta Ideal (x1.5)]]</f>
        <v>25.3891666666666</v>
      </c>
      <c r="J29" s="72">
        <v>1</v>
      </c>
      <c r="K29" s="72">
        <f>SUMIFS(VENTAS[Cantidad],VENTAS[Código del producto Vendido],STOCK[[#This Row],[Code]])</f>
        <v>1</v>
      </c>
      <c r="L29" s="72">
        <f>STOCK[[#This Row],[Entradas]]-STOCK[[#This Row],[Salidas]]</f>
        <v>0</v>
      </c>
      <c r="M29" s="54">
        <f>STOCK[[#This Row],[Precio Final]]*10%</f>
        <v>2.5</v>
      </c>
      <c r="N29" s="54">
        <v>200</v>
      </c>
      <c r="O29" s="54">
        <v>18</v>
      </c>
      <c r="P29" s="54">
        <v>11.1111111111111</v>
      </c>
      <c r="Q29" s="72">
        <v>195</v>
      </c>
      <c r="R29" s="54">
        <v>17</v>
      </c>
      <c r="S29" s="54">
        <f>STOCK[[#This Row],[Peso (g)]]*STOCK[[#This Row],[Precio Envío Kilogramo (USD)]]/1000</f>
        <v>3.315</v>
      </c>
      <c r="T29" s="53">
        <f>STOCK[[#This Row],[Costo Unitario (USD)]]+STOCK[[#This Row],[Costo Envío (USD)]]+STOCK[[#This Row],[Comisión 10%]]</f>
        <v>16.9261111111111</v>
      </c>
      <c r="U29" s="54">
        <f>STOCK[[#This Row],[Costo total]]*1.5</f>
        <v>25.3891666666666</v>
      </c>
      <c r="V29" s="54">
        <v>25</v>
      </c>
      <c r="W29" s="54">
        <f>STOCK[[#This Row],[Precio Final]]-STOCK[[#This Row],[Costo total]]</f>
        <v>8.0738888888889</v>
      </c>
      <c r="X29" s="54">
        <f>STOCK[[#This Row],[Ganancia Unitaria]]*STOCK[[#This Row],[Salidas]]</f>
        <v>8.0738888888889</v>
      </c>
      <c r="AA29" s="54">
        <f>STOCK[[#This Row],[Costo total]]*STOCK[[#This Row],[Entradas]]</f>
        <v>16.9261111111111</v>
      </c>
      <c r="AB29" s="54">
        <f>STOCK[[#This Row],[Stock Actual]]*STOCK[[#This Row],[Costo total]]</f>
        <v>0</v>
      </c>
    </row>
    <row r="30" s="53" customFormat="1" ht="50" customHeight="1" spans="1:28">
      <c r="A30" s="53" t="s">
        <v>97</v>
      </c>
      <c r="B30" s="66"/>
      <c r="C30" s="53" t="s">
        <v>32</v>
      </c>
      <c r="D30" s="53" t="s">
        <v>38</v>
      </c>
      <c r="E30" s="67" t="s">
        <v>98</v>
      </c>
      <c r="F30" s="53" t="s">
        <v>62</v>
      </c>
      <c r="G30" s="53" t="s">
        <v>36</v>
      </c>
      <c r="H30" s="53">
        <f>STOCK[[#This Row],[Precio Final]]</f>
        <v>25</v>
      </c>
      <c r="I30" s="53">
        <f>STOCK[[#This Row],[Precio Venta Ideal (x1.5)]]</f>
        <v>26.4433333333334</v>
      </c>
      <c r="J30" s="71">
        <v>1</v>
      </c>
      <c r="K30" s="71">
        <f>SUMIFS(VENTAS[Cantidad],VENTAS[Código del producto Vendido],STOCK[[#This Row],[Code]])</f>
        <v>1</v>
      </c>
      <c r="L30" s="71">
        <f>STOCK[[#This Row],[Entradas]]-STOCK[[#This Row],[Salidas]]</f>
        <v>0</v>
      </c>
      <c r="M30" s="53">
        <f>STOCK[[#This Row],[Precio Final]]*10%</f>
        <v>2.5</v>
      </c>
      <c r="N30" s="53">
        <v>205</v>
      </c>
      <c r="O30" s="53">
        <v>18</v>
      </c>
      <c r="P30" s="53">
        <v>11.3888888888889</v>
      </c>
      <c r="Q30" s="71">
        <v>220</v>
      </c>
      <c r="R30" s="53">
        <v>17</v>
      </c>
      <c r="S30" s="53">
        <f>STOCK[[#This Row],[Peso (g)]]*STOCK[[#This Row],[Precio Envío Kilogramo (USD)]]/1000</f>
        <v>3.74</v>
      </c>
      <c r="T30" s="53">
        <f>STOCK[[#This Row],[Costo Unitario (USD)]]+STOCK[[#This Row],[Costo Envío (USD)]]+STOCK[[#This Row],[Comisión 10%]]</f>
        <v>17.6288888888889</v>
      </c>
      <c r="U30" s="53">
        <f>STOCK[[#This Row],[Costo total]]*1.5</f>
        <v>26.4433333333334</v>
      </c>
      <c r="V30" s="53">
        <v>25</v>
      </c>
      <c r="W30" s="53">
        <f>STOCK[[#This Row],[Precio Final]]-STOCK[[#This Row],[Costo total]]</f>
        <v>7.3711111111111</v>
      </c>
      <c r="X30" s="53">
        <f>STOCK[[#This Row],[Ganancia Unitaria]]*STOCK[[#This Row],[Salidas]]</f>
        <v>7.3711111111111</v>
      </c>
      <c r="AA30" s="53">
        <f>STOCK[[#This Row],[Costo total]]*STOCK[[#This Row],[Entradas]]</f>
        <v>17.6288888888889</v>
      </c>
      <c r="AB30" s="53">
        <f>STOCK[[#This Row],[Stock Actual]]*STOCK[[#This Row],[Costo total]]</f>
        <v>0</v>
      </c>
    </row>
    <row r="31" s="54" customFormat="1" ht="50" customHeight="1" spans="1:28">
      <c r="A31" s="54" t="s">
        <v>99</v>
      </c>
      <c r="B31" s="66"/>
      <c r="C31" s="54" t="s">
        <v>32</v>
      </c>
      <c r="D31" s="54" t="s">
        <v>38</v>
      </c>
      <c r="E31" s="68" t="s">
        <v>100</v>
      </c>
      <c r="F31" s="54" t="s">
        <v>49</v>
      </c>
      <c r="G31" s="54" t="s">
        <v>36</v>
      </c>
      <c r="H31" s="54">
        <f>STOCK[[#This Row],[Precio Final]]</f>
        <v>25</v>
      </c>
      <c r="I31" s="54">
        <f>STOCK[[#This Row],[Precio Venta Ideal (x1.5)]]</f>
        <v>27.7183333333333</v>
      </c>
      <c r="J31" s="72">
        <v>3</v>
      </c>
      <c r="K31" s="72">
        <f>SUMIFS(VENTAS[Cantidad],VENTAS[Código del producto Vendido],STOCK[[#This Row],[Code]])</f>
        <v>3</v>
      </c>
      <c r="L31" s="72">
        <f>STOCK[[#This Row],[Entradas]]-STOCK[[#This Row],[Salidas]]</f>
        <v>0</v>
      </c>
      <c r="M31" s="54">
        <f>STOCK[[#This Row],[Precio Final]]*10%</f>
        <v>2.5</v>
      </c>
      <c r="N31" s="54">
        <v>205</v>
      </c>
      <c r="O31" s="54">
        <v>18</v>
      </c>
      <c r="P31" s="54">
        <v>11.3888888888889</v>
      </c>
      <c r="Q31" s="72">
        <v>270</v>
      </c>
      <c r="R31" s="54">
        <v>17</v>
      </c>
      <c r="S31" s="54">
        <f>STOCK[[#This Row],[Peso (g)]]*STOCK[[#This Row],[Precio Envío Kilogramo (USD)]]/1000</f>
        <v>4.59</v>
      </c>
      <c r="T31" s="53">
        <f>STOCK[[#This Row],[Costo Unitario (USD)]]+STOCK[[#This Row],[Costo Envío (USD)]]+STOCK[[#This Row],[Comisión 10%]]</f>
        <v>18.4788888888889</v>
      </c>
      <c r="U31" s="54">
        <f>STOCK[[#This Row],[Costo total]]*1.5</f>
        <v>27.7183333333333</v>
      </c>
      <c r="V31" s="54">
        <v>25</v>
      </c>
      <c r="W31" s="54">
        <f>STOCK[[#This Row],[Precio Final]]-STOCK[[#This Row],[Costo total]]</f>
        <v>6.5211111111111</v>
      </c>
      <c r="X31" s="54">
        <f>STOCK[[#This Row],[Ganancia Unitaria]]*STOCK[[#This Row],[Salidas]]</f>
        <v>19.5633333333333</v>
      </c>
      <c r="AA31" s="54">
        <f>STOCK[[#This Row],[Costo total]]*STOCK[[#This Row],[Entradas]]</f>
        <v>55.4366666666667</v>
      </c>
      <c r="AB31" s="54">
        <f>STOCK[[#This Row],[Stock Actual]]*STOCK[[#This Row],[Costo total]]</f>
        <v>0</v>
      </c>
    </row>
    <row r="32" s="53" customFormat="1" ht="50" customHeight="1" spans="1:28">
      <c r="A32" s="53" t="s">
        <v>101</v>
      </c>
      <c r="B32" s="66"/>
      <c r="C32" s="53" t="s">
        <v>32</v>
      </c>
      <c r="D32" s="53" t="s">
        <v>38</v>
      </c>
      <c r="E32" s="67" t="s">
        <v>100</v>
      </c>
      <c r="F32" s="53" t="s">
        <v>46</v>
      </c>
      <c r="G32" s="53" t="s">
        <v>36</v>
      </c>
      <c r="H32" s="53">
        <f>STOCK[[#This Row],[Precio Final]]</f>
        <v>25</v>
      </c>
      <c r="I32" s="53">
        <f>STOCK[[#This Row],[Precio Venta Ideal (x1.5)]]</f>
        <v>27.7183333333333</v>
      </c>
      <c r="J32" s="71">
        <v>1</v>
      </c>
      <c r="K32" s="71">
        <f>SUMIFS(VENTAS[Cantidad],VENTAS[Código del producto Vendido],STOCK[[#This Row],[Code]])</f>
        <v>1</v>
      </c>
      <c r="L32" s="71">
        <f>STOCK[[#This Row],[Entradas]]-STOCK[[#This Row],[Salidas]]</f>
        <v>0</v>
      </c>
      <c r="M32" s="53">
        <f>STOCK[[#This Row],[Precio Final]]*10%</f>
        <v>2.5</v>
      </c>
      <c r="N32" s="53">
        <v>205</v>
      </c>
      <c r="O32" s="53">
        <v>18</v>
      </c>
      <c r="P32" s="53">
        <v>11.3888888888889</v>
      </c>
      <c r="Q32" s="71">
        <v>270</v>
      </c>
      <c r="R32" s="53">
        <v>17</v>
      </c>
      <c r="S32" s="53">
        <f>STOCK[[#This Row],[Peso (g)]]*STOCK[[#This Row],[Precio Envío Kilogramo (USD)]]/1000</f>
        <v>4.59</v>
      </c>
      <c r="T32" s="53">
        <f>STOCK[[#This Row],[Costo Unitario (USD)]]+STOCK[[#This Row],[Costo Envío (USD)]]+STOCK[[#This Row],[Comisión 10%]]</f>
        <v>18.4788888888889</v>
      </c>
      <c r="U32" s="53">
        <f>STOCK[[#This Row],[Costo total]]*1.5</f>
        <v>27.7183333333333</v>
      </c>
      <c r="V32" s="53">
        <v>25</v>
      </c>
      <c r="W32" s="53">
        <f>STOCK[[#This Row],[Precio Final]]-STOCK[[#This Row],[Costo total]]</f>
        <v>6.5211111111111</v>
      </c>
      <c r="X32" s="53">
        <f>STOCK[[#This Row],[Ganancia Unitaria]]*STOCK[[#This Row],[Salidas]]</f>
        <v>6.5211111111111</v>
      </c>
      <c r="AA32" s="53">
        <f>STOCK[[#This Row],[Costo total]]*STOCK[[#This Row],[Entradas]]</f>
        <v>18.4788888888889</v>
      </c>
      <c r="AB32" s="53">
        <f>STOCK[[#This Row],[Stock Actual]]*STOCK[[#This Row],[Costo total]]</f>
        <v>0</v>
      </c>
    </row>
    <row r="33" s="54" customFormat="1" ht="50" customHeight="1" spans="1:28">
      <c r="A33" s="54" t="s">
        <v>102</v>
      </c>
      <c r="B33" s="66"/>
      <c r="C33" s="54" t="s">
        <v>32</v>
      </c>
      <c r="D33" s="54" t="s">
        <v>103</v>
      </c>
      <c r="E33" s="68" t="s">
        <v>78</v>
      </c>
      <c r="F33" s="54" t="s">
        <v>88</v>
      </c>
      <c r="G33" s="54" t="s">
        <v>36</v>
      </c>
      <c r="H33" s="54">
        <f>STOCK[[#This Row],[Precio Final]]</f>
        <v>15</v>
      </c>
      <c r="I33" s="54">
        <f>STOCK[[#This Row],[Precio Venta Ideal (x1.5)]]</f>
        <v>16.9283333333333</v>
      </c>
      <c r="J33" s="72">
        <v>4</v>
      </c>
      <c r="K33" s="72">
        <f>SUMIFS(VENTAS[Cantidad],VENTAS[Código del producto Vendido],STOCK[[#This Row],[Code]])</f>
        <v>4</v>
      </c>
      <c r="L33" s="72">
        <f>STOCK[[#This Row],[Entradas]]-STOCK[[#This Row],[Salidas]]</f>
        <v>0</v>
      </c>
      <c r="M33" s="54">
        <f>STOCK[[#This Row],[Precio Final]]*10%</f>
        <v>1.5</v>
      </c>
      <c r="N33" s="54">
        <v>118</v>
      </c>
      <c r="O33" s="54">
        <v>18</v>
      </c>
      <c r="P33" s="54">
        <v>6.55555555555556</v>
      </c>
      <c r="Q33" s="72">
        <v>190</v>
      </c>
      <c r="R33" s="54">
        <v>17</v>
      </c>
      <c r="S33" s="54">
        <f>STOCK[[#This Row],[Peso (g)]]*STOCK[[#This Row],[Precio Envío Kilogramo (USD)]]/1000</f>
        <v>3.23</v>
      </c>
      <c r="T33" s="53">
        <f>STOCK[[#This Row],[Costo Unitario (USD)]]+STOCK[[#This Row],[Costo Envío (USD)]]+STOCK[[#This Row],[Comisión 10%]]</f>
        <v>11.2855555555556</v>
      </c>
      <c r="U33" s="54">
        <f>STOCK[[#This Row],[Costo total]]*1.5</f>
        <v>16.9283333333333</v>
      </c>
      <c r="V33" s="54">
        <v>15</v>
      </c>
      <c r="W33" s="54">
        <f>STOCK[[#This Row],[Precio Final]]-STOCK[[#This Row],[Costo total]]</f>
        <v>3.71444444444444</v>
      </c>
      <c r="X33" s="54">
        <f>STOCK[[#This Row],[Ganancia Unitaria]]*STOCK[[#This Row],[Salidas]]</f>
        <v>14.8577777777778</v>
      </c>
      <c r="AA33" s="54">
        <f>STOCK[[#This Row],[Costo total]]*STOCK[[#This Row],[Entradas]]</f>
        <v>45.1422222222222</v>
      </c>
      <c r="AB33" s="54">
        <f>STOCK[[#This Row],[Stock Actual]]*STOCK[[#This Row],[Costo total]]</f>
        <v>0</v>
      </c>
    </row>
    <row r="34" s="53" customFormat="1" ht="50" customHeight="1" spans="1:28">
      <c r="A34" s="53" t="s">
        <v>104</v>
      </c>
      <c r="B34" s="66"/>
      <c r="C34" s="53" t="s">
        <v>32</v>
      </c>
      <c r="D34" s="53" t="s">
        <v>38</v>
      </c>
      <c r="E34" s="67" t="s">
        <v>105</v>
      </c>
      <c r="F34" s="53" t="s">
        <v>49</v>
      </c>
      <c r="G34" s="53" t="s">
        <v>36</v>
      </c>
      <c r="H34" s="53">
        <f>STOCK[[#This Row],[Precio Final]]</f>
        <v>22</v>
      </c>
      <c r="I34" s="53">
        <f>STOCK[[#This Row],[Precio Venta Ideal (x1.5)]]</f>
        <v>25.5425</v>
      </c>
      <c r="J34" s="71">
        <v>1</v>
      </c>
      <c r="K34" s="71">
        <f>SUMIFS(VENTAS[Cantidad],VENTAS[Código del producto Vendido],STOCK[[#This Row],[Code]])</f>
        <v>1</v>
      </c>
      <c r="L34" s="71">
        <f>STOCK[[#This Row],[Entradas]]-STOCK[[#This Row],[Salidas]]</f>
        <v>0</v>
      </c>
      <c r="M34" s="53">
        <f>STOCK[[#This Row],[Precio Final]]*10%</f>
        <v>2.2</v>
      </c>
      <c r="N34" s="53">
        <v>195</v>
      </c>
      <c r="O34" s="53">
        <v>18</v>
      </c>
      <c r="P34" s="53">
        <v>10.8333333333333</v>
      </c>
      <c r="Q34" s="71">
        <v>235</v>
      </c>
      <c r="R34" s="53">
        <v>17</v>
      </c>
      <c r="S34" s="53">
        <f>STOCK[[#This Row],[Peso (g)]]*STOCK[[#This Row],[Precio Envío Kilogramo (USD)]]/1000</f>
        <v>3.995</v>
      </c>
      <c r="T34" s="53">
        <f>STOCK[[#This Row],[Costo Unitario (USD)]]+STOCK[[#This Row],[Costo Envío (USD)]]+STOCK[[#This Row],[Comisión 10%]]</f>
        <v>17.0283333333333</v>
      </c>
      <c r="U34" s="53">
        <f>STOCK[[#This Row],[Costo total]]*1.5</f>
        <v>25.5425</v>
      </c>
      <c r="V34" s="53">
        <v>22</v>
      </c>
      <c r="W34" s="53">
        <f>STOCK[[#This Row],[Precio Final]]-STOCK[[#This Row],[Costo total]]</f>
        <v>4.9716666666667</v>
      </c>
      <c r="X34" s="53">
        <f>STOCK[[#This Row],[Ganancia Unitaria]]*STOCK[[#This Row],[Salidas]]</f>
        <v>4.9716666666667</v>
      </c>
      <c r="AA34" s="53">
        <f>STOCK[[#This Row],[Costo total]]*STOCK[[#This Row],[Entradas]]</f>
        <v>17.0283333333333</v>
      </c>
      <c r="AB34" s="53">
        <f>STOCK[[#This Row],[Stock Actual]]*STOCK[[#This Row],[Costo total]]</f>
        <v>0</v>
      </c>
    </row>
    <row r="35" s="54" customFormat="1" ht="50" customHeight="1" spans="1:28">
      <c r="A35" s="54" t="s">
        <v>106</v>
      </c>
      <c r="B35" s="66"/>
      <c r="C35" s="54" t="s">
        <v>32</v>
      </c>
      <c r="D35" s="54" t="s">
        <v>38</v>
      </c>
      <c r="E35" s="68" t="s">
        <v>69</v>
      </c>
      <c r="F35" s="54" t="s">
        <v>49</v>
      </c>
      <c r="G35" s="54" t="s">
        <v>36</v>
      </c>
      <c r="H35" s="54">
        <f>STOCK[[#This Row],[Precio Final]]</f>
        <v>18</v>
      </c>
      <c r="I35" s="54">
        <f>STOCK[[#This Row],[Precio Venta Ideal (x1.5)]]</f>
        <v>21.3291666666667</v>
      </c>
      <c r="J35" s="72">
        <v>1</v>
      </c>
      <c r="K35" s="72">
        <f>SUMIFS(VENTAS[Cantidad],VENTAS[Código del producto Vendido],STOCK[[#This Row],[Code]])</f>
        <v>1</v>
      </c>
      <c r="L35" s="72">
        <f>STOCK[[#This Row],[Entradas]]-STOCK[[#This Row],[Salidas]]</f>
        <v>0</v>
      </c>
      <c r="M35" s="54">
        <f>STOCK[[#This Row],[Precio Final]]*10%</f>
        <v>1.8</v>
      </c>
      <c r="N35" s="54">
        <v>170</v>
      </c>
      <c r="O35" s="54">
        <v>18</v>
      </c>
      <c r="P35" s="54">
        <v>9.44444444444444</v>
      </c>
      <c r="Q35" s="72">
        <v>175</v>
      </c>
      <c r="R35" s="54">
        <v>17</v>
      </c>
      <c r="S35" s="54">
        <f>STOCK[[#This Row],[Peso (g)]]*STOCK[[#This Row],[Precio Envío Kilogramo (USD)]]/1000</f>
        <v>2.975</v>
      </c>
      <c r="T35" s="53">
        <f>STOCK[[#This Row],[Costo Unitario (USD)]]+STOCK[[#This Row],[Costo Envío (USD)]]+STOCK[[#This Row],[Comisión 10%]]</f>
        <v>14.2194444444444</v>
      </c>
      <c r="U35" s="54">
        <f>STOCK[[#This Row],[Costo total]]*1.5</f>
        <v>21.3291666666667</v>
      </c>
      <c r="V35" s="54">
        <v>18</v>
      </c>
      <c r="W35" s="54">
        <f>STOCK[[#This Row],[Precio Final]]-STOCK[[#This Row],[Costo total]]</f>
        <v>3.78055555555556</v>
      </c>
      <c r="X35" s="54">
        <f>STOCK[[#This Row],[Ganancia Unitaria]]*STOCK[[#This Row],[Salidas]]</f>
        <v>3.78055555555556</v>
      </c>
      <c r="AA35" s="54">
        <f>STOCK[[#This Row],[Costo total]]*STOCK[[#This Row],[Entradas]]</f>
        <v>14.2194444444444</v>
      </c>
      <c r="AB35" s="54">
        <f>STOCK[[#This Row],[Stock Actual]]*STOCK[[#This Row],[Costo total]]</f>
        <v>0</v>
      </c>
    </row>
    <row r="36" s="53" customFormat="1" ht="50" customHeight="1" spans="1:29">
      <c r="A36" s="53" t="s">
        <v>107</v>
      </c>
      <c r="B36" s="66"/>
      <c r="C36" s="53" t="s">
        <v>32</v>
      </c>
      <c r="D36" s="53" t="s">
        <v>33</v>
      </c>
      <c r="E36" s="67" t="s">
        <v>108</v>
      </c>
      <c r="F36" s="53" t="s">
        <v>40</v>
      </c>
      <c r="G36" s="53" t="s">
        <v>36</v>
      </c>
      <c r="H36" s="53">
        <f>STOCK[[#This Row],[Precio Final]]</f>
        <v>20</v>
      </c>
      <c r="I36" s="53">
        <f>STOCK[[#This Row],[Precio Venta Ideal (x1.5)]]</f>
        <v>21.6291666666667</v>
      </c>
      <c r="J36" s="71">
        <v>2</v>
      </c>
      <c r="K36" s="71">
        <f>SUMIFS(VENTAS[Cantidad],VENTAS[Código del producto Vendido],STOCK[[#This Row],[Code]])</f>
        <v>1</v>
      </c>
      <c r="L36" s="71">
        <f>STOCK[[#This Row],[Entradas]]-STOCK[[#This Row],[Salidas]]</f>
        <v>1</v>
      </c>
      <c r="M36" s="53">
        <f>STOCK[[#This Row],[Precio Final]]*10%</f>
        <v>2</v>
      </c>
      <c r="N36" s="53">
        <v>170</v>
      </c>
      <c r="O36" s="53">
        <v>18</v>
      </c>
      <c r="P36" s="53">
        <v>9.44444444444444</v>
      </c>
      <c r="Q36" s="71">
        <v>175</v>
      </c>
      <c r="R36" s="53">
        <v>17</v>
      </c>
      <c r="S36" s="53">
        <f>STOCK[[#This Row],[Peso (g)]]*STOCK[[#This Row],[Precio Envío Kilogramo (USD)]]/1000</f>
        <v>2.975</v>
      </c>
      <c r="T36" s="53">
        <f>STOCK[[#This Row],[Costo Unitario (USD)]]+STOCK[[#This Row],[Costo Envío (USD)]]+STOCK[[#This Row],[Comisión 10%]]</f>
        <v>14.4194444444444</v>
      </c>
      <c r="U36" s="53">
        <f>STOCK[[#This Row],[Costo total]]*1.5</f>
        <v>21.6291666666667</v>
      </c>
      <c r="V36" s="53">
        <v>20</v>
      </c>
      <c r="W36" s="53">
        <f>STOCK[[#This Row],[Precio Final]]-STOCK[[#This Row],[Costo total]]</f>
        <v>5.58055555555556</v>
      </c>
      <c r="X36" s="53">
        <f>STOCK[[#This Row],[Ganancia Unitaria]]*STOCK[[#This Row],[Salidas]]</f>
        <v>5.58055555555556</v>
      </c>
      <c r="AA36" s="53">
        <f>STOCK[[#This Row],[Costo total]]*STOCK[[#This Row],[Entradas]]</f>
        <v>28.8388888888889</v>
      </c>
      <c r="AB36" s="53">
        <f>STOCK[[#This Row],[Stock Actual]]*STOCK[[#This Row],[Costo total]]</f>
        <v>14.4194444444444</v>
      </c>
      <c r="AC36" s="53">
        <v>18</v>
      </c>
    </row>
    <row r="37" s="54" customFormat="1" ht="50" customHeight="1" spans="1:28">
      <c r="A37" s="54" t="s">
        <v>109</v>
      </c>
      <c r="B37" s="66"/>
      <c r="C37" s="54" t="s">
        <v>32</v>
      </c>
      <c r="D37" s="54" t="s">
        <v>38</v>
      </c>
      <c r="E37" s="68" t="s">
        <v>110</v>
      </c>
      <c r="F37" s="54" t="s">
        <v>62</v>
      </c>
      <c r="G37" s="54" t="s">
        <v>36</v>
      </c>
      <c r="H37" s="54">
        <f>STOCK[[#This Row],[Precio Final]]</f>
        <v>25</v>
      </c>
      <c r="I37" s="54">
        <f>STOCK[[#This Row],[Precio Venta Ideal (x1.5)]]</f>
        <v>31.4683333333333</v>
      </c>
      <c r="J37" s="72">
        <v>1</v>
      </c>
      <c r="K37" s="72">
        <f>SUMIFS(VENTAS[Cantidad],VENTAS[Código del producto Vendido],STOCK[[#This Row],[Code]])</f>
        <v>1</v>
      </c>
      <c r="L37" s="72">
        <f>STOCK[[#This Row],[Entradas]]-STOCK[[#This Row],[Salidas]]</f>
        <v>0</v>
      </c>
      <c r="M37" s="54">
        <f>STOCK[[#This Row],[Precio Final]]*10%</f>
        <v>2.5</v>
      </c>
      <c r="N37" s="54">
        <v>250</v>
      </c>
      <c r="O37" s="54">
        <v>18</v>
      </c>
      <c r="P37" s="54">
        <v>13.8888888888889</v>
      </c>
      <c r="Q37" s="72">
        <v>270</v>
      </c>
      <c r="R37" s="54">
        <v>17</v>
      </c>
      <c r="S37" s="54">
        <f>STOCK[[#This Row],[Peso (g)]]*STOCK[[#This Row],[Precio Envío Kilogramo (USD)]]/1000</f>
        <v>4.59</v>
      </c>
      <c r="T37" s="53">
        <f>STOCK[[#This Row],[Costo Unitario (USD)]]+STOCK[[#This Row],[Costo Envío (USD)]]+STOCK[[#This Row],[Comisión 10%]]</f>
        <v>20.9788888888889</v>
      </c>
      <c r="U37" s="54">
        <f>STOCK[[#This Row],[Costo total]]*1.5</f>
        <v>31.4683333333333</v>
      </c>
      <c r="V37" s="54">
        <v>25</v>
      </c>
      <c r="W37" s="54">
        <f>STOCK[[#This Row],[Precio Final]]-STOCK[[#This Row],[Costo total]]</f>
        <v>4.0211111111111</v>
      </c>
      <c r="X37" s="54">
        <f>STOCK[[#This Row],[Ganancia Unitaria]]*STOCK[[#This Row],[Salidas]]</f>
        <v>4.0211111111111</v>
      </c>
      <c r="AA37" s="54">
        <f>STOCK[[#This Row],[Costo total]]*STOCK[[#This Row],[Entradas]]</f>
        <v>20.9788888888889</v>
      </c>
      <c r="AB37" s="54">
        <f>STOCK[[#This Row],[Stock Actual]]*STOCK[[#This Row],[Costo total]]</f>
        <v>0</v>
      </c>
    </row>
    <row r="38" s="53" customFormat="1" ht="50" customHeight="1" spans="1:28">
      <c r="A38" s="53" t="s">
        <v>111</v>
      </c>
      <c r="B38" s="66"/>
      <c r="C38" s="53" t="s">
        <v>32</v>
      </c>
      <c r="D38" s="53" t="s">
        <v>82</v>
      </c>
      <c r="E38" s="67" t="s">
        <v>112</v>
      </c>
      <c r="F38" s="53" t="s">
        <v>83</v>
      </c>
      <c r="G38" s="53" t="s">
        <v>36</v>
      </c>
      <c r="H38" s="53">
        <f>STOCK[[#This Row],[Precio Final]]</f>
        <v>25</v>
      </c>
      <c r="I38" s="53">
        <f>STOCK[[#This Row],[Precio Venta Ideal (x1.5)]]</f>
        <v>32.4883333333334</v>
      </c>
      <c r="J38" s="71">
        <v>2</v>
      </c>
      <c r="K38" s="71">
        <f>SUMIFS(VENTAS[Cantidad],VENTAS[Código del producto Vendido],STOCK[[#This Row],[Code]])</f>
        <v>2</v>
      </c>
      <c r="L38" s="71">
        <f>STOCK[[#This Row],[Entradas]]-STOCK[[#This Row],[Salidas]]</f>
        <v>0</v>
      </c>
      <c r="M38" s="53">
        <f>STOCK[[#This Row],[Precio Final]]*10%</f>
        <v>2.5</v>
      </c>
      <c r="N38" s="53">
        <v>250</v>
      </c>
      <c r="O38" s="53">
        <v>18</v>
      </c>
      <c r="P38" s="53">
        <v>13.8888888888889</v>
      </c>
      <c r="Q38" s="71">
        <v>310</v>
      </c>
      <c r="R38" s="53">
        <v>17</v>
      </c>
      <c r="S38" s="53">
        <f>STOCK[[#This Row],[Peso (g)]]*STOCK[[#This Row],[Precio Envío Kilogramo (USD)]]/1000</f>
        <v>5.27</v>
      </c>
      <c r="T38" s="53">
        <f>STOCK[[#This Row],[Costo Unitario (USD)]]+STOCK[[#This Row],[Costo Envío (USD)]]+STOCK[[#This Row],[Comisión 10%]]</f>
        <v>21.6588888888889</v>
      </c>
      <c r="U38" s="53">
        <f>STOCK[[#This Row],[Costo total]]*1.5</f>
        <v>32.4883333333334</v>
      </c>
      <c r="V38" s="53">
        <v>25</v>
      </c>
      <c r="W38" s="53">
        <f>STOCK[[#This Row],[Precio Final]]-STOCK[[#This Row],[Costo total]]</f>
        <v>3.3411111111111</v>
      </c>
      <c r="X38" s="53">
        <f>STOCK[[#This Row],[Ganancia Unitaria]]*STOCK[[#This Row],[Salidas]]</f>
        <v>6.6822222222222</v>
      </c>
      <c r="AA38" s="53">
        <f>STOCK[[#This Row],[Costo total]]*STOCK[[#This Row],[Entradas]]</f>
        <v>43.3177777777778</v>
      </c>
      <c r="AB38" s="53">
        <f>STOCK[[#This Row],[Stock Actual]]*STOCK[[#This Row],[Costo total]]</f>
        <v>0</v>
      </c>
    </row>
    <row r="39" s="54" customFormat="1" ht="50" customHeight="1" spans="1:28">
      <c r="A39" s="54" t="s">
        <v>113</v>
      </c>
      <c r="B39" s="66"/>
      <c r="C39" s="54" t="s">
        <v>32</v>
      </c>
      <c r="D39" s="54" t="s">
        <v>38</v>
      </c>
      <c r="E39" s="68" t="s">
        <v>39</v>
      </c>
      <c r="F39" s="54" t="s">
        <v>62</v>
      </c>
      <c r="G39" s="54" t="s">
        <v>36</v>
      </c>
      <c r="H39" s="54">
        <f>STOCK[[#This Row],[Precio Final]]</f>
        <v>28</v>
      </c>
      <c r="I39" s="54">
        <f>STOCK[[#This Row],[Precio Venta Ideal (x1.5)]]</f>
        <v>32.3008333333334</v>
      </c>
      <c r="J39" s="72">
        <v>1</v>
      </c>
      <c r="K39" s="72">
        <f>SUMIFS(VENTAS[Cantidad],VENTAS[Código del producto Vendido],STOCK[[#This Row],[Code]])</f>
        <v>1</v>
      </c>
      <c r="L39" s="72">
        <f>STOCK[[#This Row],[Entradas]]-STOCK[[#This Row],[Salidas]]</f>
        <v>0</v>
      </c>
      <c r="M39" s="54">
        <f>STOCK[[#This Row],[Precio Final]]*10%</f>
        <v>2.8</v>
      </c>
      <c r="N39" s="54">
        <v>250</v>
      </c>
      <c r="O39" s="54">
        <v>18</v>
      </c>
      <c r="P39" s="54">
        <v>13.8888888888889</v>
      </c>
      <c r="Q39" s="72">
        <v>285</v>
      </c>
      <c r="R39" s="54">
        <v>17</v>
      </c>
      <c r="S39" s="54">
        <f>STOCK[[#This Row],[Peso (g)]]*STOCK[[#This Row],[Precio Envío Kilogramo (USD)]]/1000</f>
        <v>4.845</v>
      </c>
      <c r="T39" s="53">
        <f>STOCK[[#This Row],[Costo Unitario (USD)]]+STOCK[[#This Row],[Costo Envío (USD)]]+STOCK[[#This Row],[Comisión 10%]]</f>
        <v>21.5338888888889</v>
      </c>
      <c r="U39" s="54">
        <f>STOCK[[#This Row],[Costo total]]*1.5</f>
        <v>32.3008333333334</v>
      </c>
      <c r="V39" s="54">
        <v>28</v>
      </c>
      <c r="W39" s="54">
        <f>STOCK[[#This Row],[Precio Final]]-STOCK[[#This Row],[Costo total]]</f>
        <v>6.4661111111111</v>
      </c>
      <c r="X39" s="54">
        <f>STOCK[[#This Row],[Ganancia Unitaria]]*STOCK[[#This Row],[Salidas]]</f>
        <v>6.4661111111111</v>
      </c>
      <c r="AA39" s="54">
        <f>STOCK[[#This Row],[Costo total]]*STOCK[[#This Row],[Entradas]]</f>
        <v>21.5338888888889</v>
      </c>
      <c r="AB39" s="54">
        <f>STOCK[[#This Row],[Stock Actual]]*STOCK[[#This Row],[Costo total]]</f>
        <v>0</v>
      </c>
    </row>
    <row r="40" s="53" customFormat="1" ht="50" customHeight="1" spans="1:28">
      <c r="A40" s="53" t="s">
        <v>114</v>
      </c>
      <c r="B40" s="66"/>
      <c r="C40" s="53" t="s">
        <v>32</v>
      </c>
      <c r="D40" s="53" t="s">
        <v>38</v>
      </c>
      <c r="E40" s="67" t="s">
        <v>115</v>
      </c>
      <c r="F40" s="53" t="s">
        <v>49</v>
      </c>
      <c r="G40" s="53" t="s">
        <v>36</v>
      </c>
      <c r="H40" s="53">
        <f>STOCK[[#This Row],[Precio Final]]</f>
        <v>25</v>
      </c>
      <c r="I40" s="53">
        <f>STOCK[[#This Row],[Precio Venta Ideal (x1.5)]]</f>
        <v>24.8108333333334</v>
      </c>
      <c r="J40" s="71">
        <v>1</v>
      </c>
      <c r="K40" s="71">
        <f>SUMIFS(VENTAS[Cantidad],VENTAS[Código del producto Vendido],STOCK[[#This Row],[Code]])</f>
        <v>1</v>
      </c>
      <c r="L40" s="71">
        <f>STOCK[[#This Row],[Entradas]]-STOCK[[#This Row],[Salidas]]</f>
        <v>0</v>
      </c>
      <c r="M40" s="53">
        <f>STOCK[[#This Row],[Precio Final]]*10%</f>
        <v>2.5</v>
      </c>
      <c r="N40" s="53">
        <v>190</v>
      </c>
      <c r="O40" s="53">
        <v>18</v>
      </c>
      <c r="P40" s="53">
        <v>10.5555555555556</v>
      </c>
      <c r="Q40" s="71">
        <v>205</v>
      </c>
      <c r="R40" s="53">
        <v>17</v>
      </c>
      <c r="S40" s="53">
        <f>STOCK[[#This Row],[Peso (g)]]*STOCK[[#This Row],[Precio Envío Kilogramo (USD)]]/1000</f>
        <v>3.485</v>
      </c>
      <c r="T40" s="53">
        <f>STOCK[[#This Row],[Costo Unitario (USD)]]+STOCK[[#This Row],[Costo Envío (USD)]]+STOCK[[#This Row],[Comisión 10%]]</f>
        <v>16.5405555555556</v>
      </c>
      <c r="U40" s="53">
        <f>STOCK[[#This Row],[Costo total]]*1.5</f>
        <v>24.8108333333334</v>
      </c>
      <c r="V40" s="53">
        <v>25</v>
      </c>
      <c r="W40" s="53">
        <f>STOCK[[#This Row],[Precio Final]]-STOCK[[#This Row],[Costo total]]</f>
        <v>8.4594444444444</v>
      </c>
      <c r="X40" s="53">
        <f>STOCK[[#This Row],[Ganancia Unitaria]]*STOCK[[#This Row],[Salidas]]</f>
        <v>8.4594444444444</v>
      </c>
      <c r="AA40" s="53">
        <f>STOCK[[#This Row],[Costo total]]*STOCK[[#This Row],[Entradas]]</f>
        <v>16.5405555555556</v>
      </c>
      <c r="AB40" s="53">
        <f>STOCK[[#This Row],[Stock Actual]]*STOCK[[#This Row],[Costo total]]</f>
        <v>0</v>
      </c>
    </row>
    <row r="41" s="54" customFormat="1" ht="50" customHeight="1" spans="1:28">
      <c r="A41" s="54" t="s">
        <v>116</v>
      </c>
      <c r="B41" s="66"/>
      <c r="C41" s="54" t="s">
        <v>32</v>
      </c>
      <c r="D41" s="54" t="s">
        <v>38</v>
      </c>
      <c r="E41" s="68" t="s">
        <v>80</v>
      </c>
      <c r="F41" s="54" t="s">
        <v>49</v>
      </c>
      <c r="G41" s="54" t="s">
        <v>36</v>
      </c>
      <c r="H41" s="54">
        <f>STOCK[[#This Row],[Precio Final]]</f>
        <v>22</v>
      </c>
      <c r="I41" s="54">
        <f>STOCK[[#This Row],[Precio Venta Ideal (x1.5)]]</f>
        <v>25.1258333333334</v>
      </c>
      <c r="J41" s="72">
        <v>1</v>
      </c>
      <c r="K41" s="72">
        <f>SUMIFS(VENTAS[Cantidad],VENTAS[Código del producto Vendido],STOCK[[#This Row],[Code]])</f>
        <v>1</v>
      </c>
      <c r="L41" s="72">
        <f>STOCK[[#This Row],[Entradas]]-STOCK[[#This Row],[Salidas]]</f>
        <v>0</v>
      </c>
      <c r="M41" s="54">
        <f>STOCK[[#This Row],[Precio Final]]*10%</f>
        <v>2.2</v>
      </c>
      <c r="N41" s="54">
        <v>190</v>
      </c>
      <c r="O41" s="54">
        <v>18</v>
      </c>
      <c r="P41" s="54">
        <v>10.5555555555556</v>
      </c>
      <c r="Q41" s="72">
        <v>235</v>
      </c>
      <c r="R41" s="54">
        <v>17</v>
      </c>
      <c r="S41" s="54">
        <f>STOCK[[#This Row],[Peso (g)]]*STOCK[[#This Row],[Precio Envío Kilogramo (USD)]]/1000</f>
        <v>3.995</v>
      </c>
      <c r="T41" s="53">
        <f>STOCK[[#This Row],[Costo Unitario (USD)]]+STOCK[[#This Row],[Costo Envío (USD)]]+STOCK[[#This Row],[Comisión 10%]]</f>
        <v>16.7505555555556</v>
      </c>
      <c r="U41" s="54">
        <f>STOCK[[#This Row],[Costo total]]*1.5</f>
        <v>25.1258333333334</v>
      </c>
      <c r="V41" s="54">
        <v>22</v>
      </c>
      <c r="W41" s="54">
        <f>STOCK[[#This Row],[Precio Final]]-STOCK[[#This Row],[Costo total]]</f>
        <v>5.2494444444444</v>
      </c>
      <c r="X41" s="54">
        <f>STOCK[[#This Row],[Ganancia Unitaria]]*STOCK[[#This Row],[Salidas]]</f>
        <v>5.2494444444444</v>
      </c>
      <c r="AA41" s="54">
        <f>STOCK[[#This Row],[Costo total]]*STOCK[[#This Row],[Entradas]]</f>
        <v>16.7505555555556</v>
      </c>
      <c r="AB41" s="54">
        <f>STOCK[[#This Row],[Stock Actual]]*STOCK[[#This Row],[Costo total]]</f>
        <v>0</v>
      </c>
    </row>
    <row r="42" s="53" customFormat="1" ht="50" customHeight="1" spans="1:28">
      <c r="A42" s="53" t="s">
        <v>117</v>
      </c>
      <c r="B42" s="66"/>
      <c r="C42" s="53" t="s">
        <v>32</v>
      </c>
      <c r="D42" s="53" t="s">
        <v>38</v>
      </c>
      <c r="E42" s="67" t="s">
        <v>74</v>
      </c>
      <c r="F42" s="53" t="s">
        <v>49</v>
      </c>
      <c r="G42" s="53" t="s">
        <v>36</v>
      </c>
      <c r="H42" s="53">
        <f>STOCK[[#This Row],[Precio Final]]</f>
        <v>25</v>
      </c>
      <c r="I42" s="53">
        <f>STOCK[[#This Row],[Precio Venta Ideal (x1.5)]]</f>
        <v>30.7966666666667</v>
      </c>
      <c r="J42" s="71">
        <v>1</v>
      </c>
      <c r="K42" s="71">
        <f>SUMIFS(VENTAS[Cantidad],VENTAS[Código del producto Vendido],STOCK[[#This Row],[Code]])</f>
        <v>1</v>
      </c>
      <c r="L42" s="71">
        <f>STOCK[[#This Row],[Entradas]]-STOCK[[#This Row],[Salidas]]</f>
        <v>0</v>
      </c>
      <c r="M42" s="53">
        <f>STOCK[[#This Row],[Precio Final]]*10%</f>
        <v>2.5</v>
      </c>
      <c r="N42" s="53">
        <v>245</v>
      </c>
      <c r="O42" s="53">
        <v>18</v>
      </c>
      <c r="P42" s="53">
        <v>13.6111111111111</v>
      </c>
      <c r="Q42" s="71">
        <v>260</v>
      </c>
      <c r="R42" s="53">
        <v>17</v>
      </c>
      <c r="S42" s="53">
        <f>STOCK[[#This Row],[Peso (g)]]*STOCK[[#This Row],[Precio Envío Kilogramo (USD)]]/1000</f>
        <v>4.42</v>
      </c>
      <c r="T42" s="53">
        <f>STOCK[[#This Row],[Costo Unitario (USD)]]+STOCK[[#This Row],[Costo Envío (USD)]]+STOCK[[#This Row],[Comisión 10%]]</f>
        <v>20.5311111111111</v>
      </c>
      <c r="U42" s="53">
        <f>STOCK[[#This Row],[Costo total]]*1.5</f>
        <v>30.7966666666667</v>
      </c>
      <c r="V42" s="53">
        <v>25</v>
      </c>
      <c r="W42" s="53">
        <f>STOCK[[#This Row],[Precio Final]]-STOCK[[#This Row],[Costo total]]</f>
        <v>4.4688888888889</v>
      </c>
      <c r="X42" s="53">
        <f>STOCK[[#This Row],[Ganancia Unitaria]]*STOCK[[#This Row],[Salidas]]</f>
        <v>4.4688888888889</v>
      </c>
      <c r="AA42" s="53">
        <f>STOCK[[#This Row],[Costo total]]*STOCK[[#This Row],[Entradas]]</f>
        <v>20.5311111111111</v>
      </c>
      <c r="AB42" s="53">
        <f>STOCK[[#This Row],[Stock Actual]]*STOCK[[#This Row],[Costo total]]</f>
        <v>0</v>
      </c>
    </row>
    <row r="43" s="54" customFormat="1" ht="50" customHeight="1" spans="1:28">
      <c r="A43" s="54" t="s">
        <v>118</v>
      </c>
      <c r="B43" s="66"/>
      <c r="C43" s="54" t="s">
        <v>32</v>
      </c>
      <c r="D43" s="54" t="s">
        <v>38</v>
      </c>
      <c r="E43" s="68" t="s">
        <v>119</v>
      </c>
      <c r="F43" s="54" t="s">
        <v>62</v>
      </c>
      <c r="G43" s="54" t="s">
        <v>36</v>
      </c>
      <c r="H43" s="54">
        <f>STOCK[[#This Row],[Precio Final]]</f>
        <v>25</v>
      </c>
      <c r="I43" s="54">
        <f>STOCK[[#This Row],[Precio Venta Ideal (x1.5)]]</f>
        <v>28.7816666666667</v>
      </c>
      <c r="J43" s="72">
        <v>1</v>
      </c>
      <c r="K43" s="72">
        <f>SUMIFS(VENTAS[Cantidad],VENTAS[Código del producto Vendido],STOCK[[#This Row],[Code]])</f>
        <v>1</v>
      </c>
      <c r="L43" s="72">
        <f>STOCK[[#This Row],[Entradas]]-STOCK[[#This Row],[Salidas]]</f>
        <v>0</v>
      </c>
      <c r="M43" s="54">
        <f>STOCK[[#This Row],[Precio Final]]*10%</f>
        <v>2.5</v>
      </c>
      <c r="N43" s="54">
        <v>230</v>
      </c>
      <c r="O43" s="54">
        <v>18</v>
      </c>
      <c r="P43" s="54">
        <v>12.7777777777778</v>
      </c>
      <c r="Q43" s="72">
        <v>230</v>
      </c>
      <c r="R43" s="54">
        <v>17</v>
      </c>
      <c r="S43" s="54">
        <f>STOCK[[#This Row],[Peso (g)]]*STOCK[[#This Row],[Precio Envío Kilogramo (USD)]]/1000</f>
        <v>3.91</v>
      </c>
      <c r="T43" s="53">
        <f>STOCK[[#This Row],[Costo Unitario (USD)]]+STOCK[[#This Row],[Costo Envío (USD)]]+STOCK[[#This Row],[Comisión 10%]]</f>
        <v>19.1877777777778</v>
      </c>
      <c r="U43" s="54">
        <f>STOCK[[#This Row],[Costo total]]*1.5</f>
        <v>28.7816666666667</v>
      </c>
      <c r="V43" s="54">
        <v>25</v>
      </c>
      <c r="W43" s="54">
        <f>STOCK[[#This Row],[Precio Final]]-STOCK[[#This Row],[Costo total]]</f>
        <v>5.8122222222222</v>
      </c>
      <c r="X43" s="54">
        <f>STOCK[[#This Row],[Ganancia Unitaria]]*STOCK[[#This Row],[Salidas]]</f>
        <v>5.8122222222222</v>
      </c>
      <c r="AA43" s="54">
        <f>STOCK[[#This Row],[Costo total]]*STOCK[[#This Row],[Entradas]]</f>
        <v>19.1877777777778</v>
      </c>
      <c r="AB43" s="54">
        <f>STOCK[[#This Row],[Stock Actual]]*STOCK[[#This Row],[Costo total]]</f>
        <v>0</v>
      </c>
    </row>
    <row r="44" s="53" customFormat="1" ht="50" customHeight="1" spans="1:28">
      <c r="A44" s="53" t="s">
        <v>120</v>
      </c>
      <c r="B44" s="66"/>
      <c r="C44" s="53" t="s">
        <v>32</v>
      </c>
      <c r="D44" s="53" t="s">
        <v>38</v>
      </c>
      <c r="E44" s="67" t="s">
        <v>121</v>
      </c>
      <c r="F44" s="53" t="s">
        <v>62</v>
      </c>
      <c r="G44" s="53" t="s">
        <v>36</v>
      </c>
      <c r="H44" s="53">
        <f>STOCK[[#This Row],[Precio Final]]</f>
        <v>25</v>
      </c>
      <c r="I44" s="53">
        <f>STOCK[[#This Row],[Precio Venta Ideal (x1.5)]]</f>
        <v>28.9091666666667</v>
      </c>
      <c r="J44" s="71">
        <v>2</v>
      </c>
      <c r="K44" s="71">
        <f>SUMIFS(VENTAS[Cantidad],VENTAS[Código del producto Vendido],STOCK[[#This Row],[Code]])</f>
        <v>2</v>
      </c>
      <c r="L44" s="71">
        <f>STOCK[[#This Row],[Entradas]]-STOCK[[#This Row],[Salidas]]</f>
        <v>0</v>
      </c>
      <c r="M44" s="53">
        <f>STOCK[[#This Row],[Precio Final]]*10%</f>
        <v>2.5</v>
      </c>
      <c r="N44" s="53">
        <v>230</v>
      </c>
      <c r="O44" s="53">
        <v>18</v>
      </c>
      <c r="P44" s="53">
        <v>12.7777777777778</v>
      </c>
      <c r="Q44" s="71">
        <v>235</v>
      </c>
      <c r="R44" s="53">
        <v>17</v>
      </c>
      <c r="S44" s="53">
        <f>STOCK[[#This Row],[Peso (g)]]*STOCK[[#This Row],[Precio Envío Kilogramo (USD)]]/1000</f>
        <v>3.995</v>
      </c>
      <c r="T44" s="53">
        <f>STOCK[[#This Row],[Costo Unitario (USD)]]+STOCK[[#This Row],[Costo Envío (USD)]]+STOCK[[#This Row],[Comisión 10%]]</f>
        <v>19.2727777777778</v>
      </c>
      <c r="U44" s="53">
        <f>STOCK[[#This Row],[Costo total]]*1.5</f>
        <v>28.9091666666667</v>
      </c>
      <c r="V44" s="53">
        <v>25</v>
      </c>
      <c r="W44" s="53">
        <f>STOCK[[#This Row],[Precio Final]]-STOCK[[#This Row],[Costo total]]</f>
        <v>5.7272222222222</v>
      </c>
      <c r="X44" s="53">
        <f>STOCK[[#This Row],[Ganancia Unitaria]]*STOCK[[#This Row],[Salidas]]</f>
        <v>11.4544444444444</v>
      </c>
      <c r="AA44" s="53">
        <f>STOCK[[#This Row],[Costo total]]*STOCK[[#This Row],[Entradas]]</f>
        <v>38.5455555555556</v>
      </c>
      <c r="AB44" s="53">
        <f>STOCK[[#This Row],[Stock Actual]]*STOCK[[#This Row],[Costo total]]</f>
        <v>0</v>
      </c>
    </row>
    <row r="45" s="54" customFormat="1" ht="50" customHeight="1" spans="1:28">
      <c r="A45" s="54" t="s">
        <v>122</v>
      </c>
      <c r="B45" s="66"/>
      <c r="C45" s="54" t="s">
        <v>32</v>
      </c>
      <c r="D45" s="54" t="s">
        <v>38</v>
      </c>
      <c r="E45" s="68" t="s">
        <v>123</v>
      </c>
      <c r="F45" s="54" t="s">
        <v>62</v>
      </c>
      <c r="G45" s="54" t="s">
        <v>36</v>
      </c>
      <c r="H45" s="54">
        <f>STOCK[[#This Row],[Precio Final]]</f>
        <v>25</v>
      </c>
      <c r="I45" s="54">
        <f>STOCK[[#This Row],[Precio Venta Ideal (x1.5)]]</f>
        <v>25.5166666666666</v>
      </c>
      <c r="J45" s="72">
        <v>1</v>
      </c>
      <c r="K45" s="72">
        <f>SUMIFS(VENTAS[Cantidad],VENTAS[Código del producto Vendido],STOCK[[#This Row],[Code]])</f>
        <v>1</v>
      </c>
      <c r="L45" s="72">
        <f>STOCK[[#This Row],[Entradas]]-STOCK[[#This Row],[Salidas]]</f>
        <v>0</v>
      </c>
      <c r="M45" s="54">
        <f>STOCK[[#This Row],[Precio Final]]*10%</f>
        <v>2.5</v>
      </c>
      <c r="N45" s="54">
        <v>200</v>
      </c>
      <c r="O45" s="54">
        <v>18</v>
      </c>
      <c r="P45" s="54">
        <v>11.1111111111111</v>
      </c>
      <c r="Q45" s="72">
        <v>200</v>
      </c>
      <c r="R45" s="54">
        <v>17</v>
      </c>
      <c r="S45" s="54">
        <f>STOCK[[#This Row],[Peso (g)]]*STOCK[[#This Row],[Precio Envío Kilogramo (USD)]]/1000</f>
        <v>3.4</v>
      </c>
      <c r="T45" s="53">
        <f>STOCK[[#This Row],[Costo Unitario (USD)]]+STOCK[[#This Row],[Costo Envío (USD)]]+STOCK[[#This Row],[Comisión 10%]]</f>
        <v>17.0111111111111</v>
      </c>
      <c r="U45" s="54">
        <f>STOCK[[#This Row],[Costo total]]*1.5</f>
        <v>25.5166666666666</v>
      </c>
      <c r="V45" s="54">
        <v>25</v>
      </c>
      <c r="W45" s="54">
        <f>STOCK[[#This Row],[Precio Final]]-STOCK[[#This Row],[Costo total]]</f>
        <v>7.9888888888889</v>
      </c>
      <c r="X45" s="54">
        <f>STOCK[[#This Row],[Ganancia Unitaria]]*STOCK[[#This Row],[Salidas]]</f>
        <v>7.9888888888889</v>
      </c>
      <c r="AA45" s="54">
        <f>STOCK[[#This Row],[Costo total]]*STOCK[[#This Row],[Entradas]]</f>
        <v>17.0111111111111</v>
      </c>
      <c r="AB45" s="54">
        <f>STOCK[[#This Row],[Stock Actual]]*STOCK[[#This Row],[Costo total]]</f>
        <v>0</v>
      </c>
    </row>
    <row r="46" s="53" customFormat="1" ht="50" customHeight="1" spans="1:28">
      <c r="A46" s="53" t="s">
        <v>124</v>
      </c>
      <c r="B46" s="66"/>
      <c r="C46" s="53" t="s">
        <v>32</v>
      </c>
      <c r="D46" s="53" t="s">
        <v>125</v>
      </c>
      <c r="E46" s="67" t="s">
        <v>126</v>
      </c>
      <c r="F46" s="53" t="s">
        <v>127</v>
      </c>
      <c r="G46" s="53" t="s">
        <v>36</v>
      </c>
      <c r="H46" s="53">
        <f>STOCK[[#This Row],[Precio Final]]</f>
        <v>20</v>
      </c>
      <c r="I46" s="53">
        <f>STOCK[[#This Row],[Precio Venta Ideal (x1.5)]]</f>
        <v>22.2666666666667</v>
      </c>
      <c r="J46" s="71">
        <v>1</v>
      </c>
      <c r="K46" s="71">
        <f>SUMIFS(VENTAS[Cantidad],VENTAS[Código del producto Vendido],STOCK[[#This Row],[Code]])</f>
        <v>1</v>
      </c>
      <c r="L46" s="71">
        <f>STOCK[[#This Row],[Entradas]]-STOCK[[#This Row],[Salidas]]</f>
        <v>0</v>
      </c>
      <c r="M46" s="53">
        <f>STOCK[[#This Row],[Precio Final]]*10%</f>
        <v>2</v>
      </c>
      <c r="N46" s="53">
        <v>170</v>
      </c>
      <c r="O46" s="53">
        <v>18</v>
      </c>
      <c r="P46" s="53">
        <v>9.44444444444444</v>
      </c>
      <c r="Q46" s="71">
        <v>200</v>
      </c>
      <c r="R46" s="53">
        <v>17</v>
      </c>
      <c r="S46" s="53">
        <f>STOCK[[#This Row],[Peso (g)]]*STOCK[[#This Row],[Precio Envío Kilogramo (USD)]]/1000</f>
        <v>3.4</v>
      </c>
      <c r="T46" s="53">
        <f>STOCK[[#This Row],[Costo Unitario (USD)]]+STOCK[[#This Row],[Costo Envío (USD)]]+STOCK[[#This Row],[Comisión 10%]]</f>
        <v>14.8444444444444</v>
      </c>
      <c r="U46" s="53">
        <f>STOCK[[#This Row],[Costo total]]*1.5</f>
        <v>22.2666666666667</v>
      </c>
      <c r="V46" s="53">
        <v>20</v>
      </c>
      <c r="W46" s="53">
        <f>STOCK[[#This Row],[Precio Final]]-STOCK[[#This Row],[Costo total]]</f>
        <v>5.15555555555556</v>
      </c>
      <c r="X46" s="53">
        <f>STOCK[[#This Row],[Ganancia Unitaria]]*STOCK[[#This Row],[Salidas]]</f>
        <v>5.15555555555556</v>
      </c>
      <c r="AA46" s="53">
        <f>STOCK[[#This Row],[Costo total]]*STOCK[[#This Row],[Entradas]]</f>
        <v>14.8444444444444</v>
      </c>
      <c r="AB46" s="53">
        <f>STOCK[[#This Row],[Stock Actual]]*STOCK[[#This Row],[Costo total]]</f>
        <v>0</v>
      </c>
    </row>
    <row r="47" s="54" customFormat="1" ht="50" customHeight="1" spans="1:28">
      <c r="A47" s="54" t="s">
        <v>128</v>
      </c>
      <c r="B47" s="66"/>
      <c r="C47" s="54" t="s">
        <v>32</v>
      </c>
      <c r="D47" s="54" t="s">
        <v>125</v>
      </c>
      <c r="E47" s="68" t="s">
        <v>129</v>
      </c>
      <c r="F47" s="54" t="s">
        <v>130</v>
      </c>
      <c r="G47" s="54" t="s">
        <v>36</v>
      </c>
      <c r="H47" s="54">
        <f>STOCK[[#This Row],[Precio Final]]</f>
        <v>20</v>
      </c>
      <c r="I47" s="54">
        <f>STOCK[[#This Row],[Precio Venta Ideal (x1.5)]]</f>
        <v>25.1491666666667</v>
      </c>
      <c r="J47" s="72">
        <v>1</v>
      </c>
      <c r="K47" s="72">
        <f>SUMIFS(VENTAS[Cantidad],VENTAS[Código del producto Vendido],STOCK[[#This Row],[Code]])</f>
        <v>1</v>
      </c>
      <c r="L47" s="72">
        <f>STOCK[[#This Row],[Entradas]]-STOCK[[#This Row],[Salidas]]</f>
        <v>0</v>
      </c>
      <c r="M47" s="54">
        <f>STOCK[[#This Row],[Precio Final]]*10%</f>
        <v>2</v>
      </c>
      <c r="N47" s="54">
        <v>200</v>
      </c>
      <c r="O47" s="54">
        <v>18</v>
      </c>
      <c r="P47" s="54">
        <v>11.1111111111111</v>
      </c>
      <c r="Q47" s="72">
        <v>215</v>
      </c>
      <c r="R47" s="54">
        <v>17</v>
      </c>
      <c r="S47" s="54">
        <f>STOCK[[#This Row],[Peso (g)]]*STOCK[[#This Row],[Precio Envío Kilogramo (USD)]]/1000</f>
        <v>3.655</v>
      </c>
      <c r="T47" s="53">
        <f>STOCK[[#This Row],[Costo Unitario (USD)]]+STOCK[[#This Row],[Costo Envío (USD)]]+STOCK[[#This Row],[Comisión 10%]]</f>
        <v>16.7661111111111</v>
      </c>
      <c r="U47" s="54">
        <f>STOCK[[#This Row],[Costo total]]*1.5</f>
        <v>25.1491666666667</v>
      </c>
      <c r="V47" s="54">
        <v>20</v>
      </c>
      <c r="W47" s="54">
        <f>STOCK[[#This Row],[Precio Final]]-STOCK[[#This Row],[Costo total]]</f>
        <v>3.2338888888889</v>
      </c>
      <c r="X47" s="54">
        <f>STOCK[[#This Row],[Ganancia Unitaria]]*STOCK[[#This Row],[Salidas]]</f>
        <v>3.2338888888889</v>
      </c>
      <c r="AA47" s="54">
        <f>STOCK[[#This Row],[Costo total]]*STOCK[[#This Row],[Entradas]]</f>
        <v>16.7661111111111</v>
      </c>
      <c r="AB47" s="54">
        <f>STOCK[[#This Row],[Stock Actual]]*STOCK[[#This Row],[Costo total]]</f>
        <v>0</v>
      </c>
    </row>
    <row r="48" s="53" customFormat="1" ht="50" customHeight="1" spans="1:28">
      <c r="A48" s="53" t="s">
        <v>131</v>
      </c>
      <c r="B48" s="66"/>
      <c r="C48" s="53" t="s">
        <v>32</v>
      </c>
      <c r="D48" s="53" t="s">
        <v>132</v>
      </c>
      <c r="E48" s="67" t="s">
        <v>133</v>
      </c>
      <c r="F48" s="53" t="s">
        <v>134</v>
      </c>
      <c r="G48" s="53" t="s">
        <v>36</v>
      </c>
      <c r="H48" s="53">
        <f>STOCK[[#This Row],[Precio Final]]</f>
        <v>18</v>
      </c>
      <c r="I48" s="53">
        <f>STOCK[[#This Row],[Precio Venta Ideal (x1.5)]]</f>
        <v>19.3483333333333</v>
      </c>
      <c r="J48" s="71">
        <v>1</v>
      </c>
      <c r="K48" s="71">
        <f>SUMIFS(VENTAS[Cantidad],VENTAS[Código del producto Vendido],STOCK[[#This Row],[Code]])</f>
        <v>1</v>
      </c>
      <c r="L48" s="71">
        <f>STOCK[[#This Row],[Entradas]]-STOCK[[#This Row],[Salidas]]</f>
        <v>0</v>
      </c>
      <c r="M48" s="53">
        <f>STOCK[[#This Row],[Precio Final]]*10%</f>
        <v>1.8</v>
      </c>
      <c r="N48" s="53">
        <v>160</v>
      </c>
      <c r="O48" s="53">
        <v>18</v>
      </c>
      <c r="P48" s="53">
        <v>8.88888888888889</v>
      </c>
      <c r="Q48" s="71">
        <v>130</v>
      </c>
      <c r="R48" s="53">
        <v>17</v>
      </c>
      <c r="S48" s="53">
        <f>STOCK[[#This Row],[Peso (g)]]*STOCK[[#This Row],[Precio Envío Kilogramo (USD)]]/1000</f>
        <v>2.21</v>
      </c>
      <c r="T48" s="53">
        <f>STOCK[[#This Row],[Costo Unitario (USD)]]+STOCK[[#This Row],[Costo Envío (USD)]]+STOCK[[#This Row],[Comisión 10%]]</f>
        <v>12.8988888888889</v>
      </c>
      <c r="U48" s="53">
        <f>STOCK[[#This Row],[Costo total]]*1.5</f>
        <v>19.3483333333333</v>
      </c>
      <c r="V48" s="53">
        <v>18</v>
      </c>
      <c r="W48" s="53">
        <f>STOCK[[#This Row],[Precio Final]]-STOCK[[#This Row],[Costo total]]</f>
        <v>5.10111111111111</v>
      </c>
      <c r="X48" s="53">
        <f>STOCK[[#This Row],[Ganancia Unitaria]]*STOCK[[#This Row],[Salidas]]</f>
        <v>5.10111111111111</v>
      </c>
      <c r="AA48" s="53">
        <f>STOCK[[#This Row],[Costo total]]*STOCK[[#This Row],[Entradas]]</f>
        <v>12.8988888888889</v>
      </c>
      <c r="AB48" s="53">
        <f>STOCK[[#This Row],[Stock Actual]]*STOCK[[#This Row],[Costo total]]</f>
        <v>0</v>
      </c>
    </row>
    <row r="49" s="54" customFormat="1" ht="50" customHeight="1" spans="1:28">
      <c r="A49" s="54" t="s">
        <v>135</v>
      </c>
      <c r="B49" s="66"/>
      <c r="C49" s="54" t="s">
        <v>32</v>
      </c>
      <c r="D49" s="54" t="s">
        <v>136</v>
      </c>
      <c r="E49" s="68" t="s">
        <v>137</v>
      </c>
      <c r="F49" s="54" t="s">
        <v>138</v>
      </c>
      <c r="G49" s="54" t="s">
        <v>36</v>
      </c>
      <c r="H49" s="54">
        <f>STOCK[[#This Row],[Precio Final]]</f>
        <v>25</v>
      </c>
      <c r="I49" s="54">
        <f>STOCK[[#This Row],[Precio Venta Ideal (x1.5)]]</f>
        <v>26.1883333333334</v>
      </c>
      <c r="J49" s="72">
        <v>1</v>
      </c>
      <c r="K49" s="72">
        <f>SUMIFS(VENTAS[Cantidad],VENTAS[Código del producto Vendido],STOCK[[#This Row],[Code]])</f>
        <v>0</v>
      </c>
      <c r="L49" s="72">
        <f>STOCK[[#This Row],[Entradas]]-STOCK[[#This Row],[Salidas]]</f>
        <v>1</v>
      </c>
      <c r="M49" s="54">
        <f>STOCK[[#This Row],[Precio Final]]*10%</f>
        <v>2.5</v>
      </c>
      <c r="N49" s="54">
        <v>205</v>
      </c>
      <c r="O49" s="54">
        <v>18</v>
      </c>
      <c r="P49" s="54">
        <v>11.3888888888889</v>
      </c>
      <c r="Q49" s="72">
        <v>210</v>
      </c>
      <c r="R49" s="54">
        <v>17</v>
      </c>
      <c r="S49" s="54">
        <f>STOCK[[#This Row],[Peso (g)]]*STOCK[[#This Row],[Precio Envío Kilogramo (USD)]]/1000</f>
        <v>3.57</v>
      </c>
      <c r="T49" s="53">
        <f>STOCK[[#This Row],[Costo Unitario (USD)]]+STOCK[[#This Row],[Costo Envío (USD)]]+STOCK[[#This Row],[Comisión 10%]]</f>
        <v>17.4588888888889</v>
      </c>
      <c r="U49" s="54">
        <f>STOCK[[#This Row],[Costo total]]*1.5</f>
        <v>26.1883333333334</v>
      </c>
      <c r="V49" s="54">
        <v>25</v>
      </c>
      <c r="W49" s="54">
        <f>STOCK[[#This Row],[Precio Final]]-STOCK[[#This Row],[Costo total]]</f>
        <v>7.5411111111111</v>
      </c>
      <c r="X49" s="54">
        <f>STOCK[[#This Row],[Ganancia Unitaria]]*STOCK[[#This Row],[Salidas]]</f>
        <v>0</v>
      </c>
      <c r="AA49" s="54">
        <f>STOCK[[#This Row],[Costo total]]*STOCK[[#This Row],[Entradas]]</f>
        <v>17.4588888888889</v>
      </c>
      <c r="AB49" s="54">
        <f>STOCK[[#This Row],[Stock Actual]]*STOCK[[#This Row],[Costo total]]</f>
        <v>17.4588888888889</v>
      </c>
    </row>
    <row r="50" s="53" customFormat="1" ht="50" customHeight="1" spans="1:28">
      <c r="A50" s="53" t="s">
        <v>139</v>
      </c>
      <c r="B50" s="66"/>
      <c r="C50" s="53" t="s">
        <v>32</v>
      </c>
      <c r="D50" s="53" t="s">
        <v>125</v>
      </c>
      <c r="E50" s="67" t="s">
        <v>140</v>
      </c>
      <c r="F50" s="53" t="s">
        <v>141</v>
      </c>
      <c r="G50" s="53" t="s">
        <v>36</v>
      </c>
      <c r="H50" s="53">
        <f>STOCK[[#This Row],[Precio Final]]</f>
        <v>20</v>
      </c>
      <c r="I50" s="53">
        <f>STOCK[[#This Row],[Precio Venta Ideal (x1.5)]]</f>
        <v>22.2075</v>
      </c>
      <c r="J50" s="71">
        <v>1</v>
      </c>
      <c r="K50" s="71">
        <f>SUMIFS(VENTAS[Cantidad],VENTAS[Código del producto Vendido],STOCK[[#This Row],[Code]])</f>
        <v>1</v>
      </c>
      <c r="L50" s="71">
        <f>STOCK[[#This Row],[Entradas]]-STOCK[[#This Row],[Salidas]]</f>
        <v>0</v>
      </c>
      <c r="M50" s="53">
        <f>STOCK[[#This Row],[Precio Final]]*10%</f>
        <v>2</v>
      </c>
      <c r="N50" s="53">
        <v>180</v>
      </c>
      <c r="O50" s="53">
        <v>18</v>
      </c>
      <c r="P50" s="53">
        <v>10</v>
      </c>
      <c r="Q50" s="71">
        <v>165</v>
      </c>
      <c r="R50" s="53">
        <v>17</v>
      </c>
      <c r="S50" s="53">
        <f>STOCK[[#This Row],[Peso (g)]]*STOCK[[#This Row],[Precio Envío Kilogramo (USD)]]/1000</f>
        <v>2.805</v>
      </c>
      <c r="T50" s="53">
        <f>STOCK[[#This Row],[Costo Unitario (USD)]]+STOCK[[#This Row],[Costo Envío (USD)]]+STOCK[[#This Row],[Comisión 10%]]</f>
        <v>14.805</v>
      </c>
      <c r="U50" s="53">
        <f>STOCK[[#This Row],[Costo total]]*1.5</f>
        <v>22.2075</v>
      </c>
      <c r="V50" s="53">
        <v>20</v>
      </c>
      <c r="W50" s="53">
        <f>STOCK[[#This Row],[Precio Final]]-STOCK[[#This Row],[Costo total]]</f>
        <v>5.195</v>
      </c>
      <c r="X50" s="53">
        <f>STOCK[[#This Row],[Ganancia Unitaria]]*STOCK[[#This Row],[Salidas]]</f>
        <v>5.195</v>
      </c>
      <c r="AA50" s="53">
        <f>STOCK[[#This Row],[Costo total]]*STOCK[[#This Row],[Entradas]]</f>
        <v>14.805</v>
      </c>
      <c r="AB50" s="53">
        <f>STOCK[[#This Row],[Stock Actual]]*STOCK[[#This Row],[Costo total]]</f>
        <v>0</v>
      </c>
    </row>
    <row r="51" s="54" customFormat="1" ht="50" customHeight="1" spans="2:20">
      <c r="B51" s="66"/>
      <c r="E51" s="68"/>
      <c r="F51" s="53"/>
      <c r="J51" s="72"/>
      <c r="K51" s="72"/>
      <c r="L51" s="72"/>
      <c r="Q51" s="72"/>
      <c r="T51" s="53"/>
    </row>
    <row r="52" s="53" customFormat="1" ht="50" customHeight="1" spans="1:29">
      <c r="A52" s="53" t="s">
        <v>142</v>
      </c>
      <c r="B52" s="66"/>
      <c r="C52" s="53" t="s">
        <v>32</v>
      </c>
      <c r="D52" s="53" t="s">
        <v>132</v>
      </c>
      <c r="E52" s="67" t="s">
        <v>143</v>
      </c>
      <c r="F52" s="53" t="s">
        <v>144</v>
      </c>
      <c r="G52" s="53" t="s">
        <v>36</v>
      </c>
      <c r="H52" s="53">
        <f>STOCK[[#This Row],[Precio Final]]</f>
        <v>20</v>
      </c>
      <c r="I52" s="53">
        <f>STOCK[[#This Row],[Precio Venta Ideal (x1.5)]]</f>
        <v>19.9033333333333</v>
      </c>
      <c r="J52" s="71">
        <v>1</v>
      </c>
      <c r="K52" s="71">
        <f>SUMIFS(VENTAS[Cantidad],VENTAS[Código del producto Vendido],STOCK[[#This Row],[Code]])</f>
        <v>0</v>
      </c>
      <c r="L52" s="71">
        <f>STOCK[[#This Row],[Entradas]]-STOCK[[#This Row],[Salidas]]</f>
        <v>1</v>
      </c>
      <c r="M52" s="53">
        <f>STOCK[[#This Row],[Precio Final]]*10%</f>
        <v>2</v>
      </c>
      <c r="N52" s="53">
        <v>160</v>
      </c>
      <c r="O52" s="53">
        <v>18</v>
      </c>
      <c r="P52" s="53">
        <v>8.88888888888889</v>
      </c>
      <c r="Q52" s="71">
        <v>140</v>
      </c>
      <c r="R52" s="53">
        <v>17</v>
      </c>
      <c r="S52" s="53">
        <f>STOCK[[#This Row],[Peso (g)]]*STOCK[[#This Row],[Precio Envío Kilogramo (USD)]]/1000</f>
        <v>2.38</v>
      </c>
      <c r="T52" s="53">
        <f>STOCK[[#This Row],[Costo Unitario (USD)]]+STOCK[[#This Row],[Costo Envío (USD)]]+STOCK[[#This Row],[Comisión 10%]]</f>
        <v>13.2688888888889</v>
      </c>
      <c r="U52" s="53">
        <f>STOCK[[#This Row],[Costo total]]*1.5</f>
        <v>19.9033333333333</v>
      </c>
      <c r="V52" s="53">
        <v>20</v>
      </c>
      <c r="W52" s="53">
        <f>STOCK[[#This Row],[Precio Final]]-STOCK[[#This Row],[Costo total]]</f>
        <v>6.73111111111111</v>
      </c>
      <c r="X52" s="53">
        <f>STOCK[[#This Row],[Ganancia Unitaria]]*STOCK[[#This Row],[Salidas]]</f>
        <v>0</v>
      </c>
      <c r="AA52" s="53">
        <f>STOCK[[#This Row],[Costo total]]*STOCK[[#This Row],[Entradas]]</f>
        <v>13.2688888888889</v>
      </c>
      <c r="AB52" s="53">
        <f>STOCK[[#This Row],[Stock Actual]]*STOCK[[#This Row],[Costo total]]</f>
        <v>13.2688888888889</v>
      </c>
      <c r="AC52" s="53">
        <v>16</v>
      </c>
    </row>
    <row r="53" s="54" customFormat="1" ht="50" customHeight="1" spans="1:28">
      <c r="A53" s="54" t="s">
        <v>145</v>
      </c>
      <c r="B53" s="66"/>
      <c r="C53" s="54" t="s">
        <v>32</v>
      </c>
      <c r="D53" s="53" t="s">
        <v>132</v>
      </c>
      <c r="E53" s="68" t="s">
        <v>146</v>
      </c>
      <c r="F53" s="54" t="s">
        <v>147</v>
      </c>
      <c r="G53" s="54" t="s">
        <v>36</v>
      </c>
      <c r="H53" s="54">
        <f>STOCK[[#This Row],[Precio Final]]</f>
        <v>18</v>
      </c>
      <c r="I53" s="54">
        <f>STOCK[[#This Row],[Precio Venta Ideal (x1.5)]]</f>
        <v>20.53</v>
      </c>
      <c r="J53" s="72">
        <v>1</v>
      </c>
      <c r="K53" s="72">
        <f>SUMIFS(VENTAS[Cantidad],VENTAS[Código del producto Vendido],STOCK[[#This Row],[Code]])</f>
        <v>1</v>
      </c>
      <c r="L53" s="72">
        <f>STOCK[[#This Row],[Entradas]]-STOCK[[#This Row],[Salidas]]</f>
        <v>0</v>
      </c>
      <c r="M53" s="54">
        <f>STOCK[[#This Row],[Precio Final]]*10%</f>
        <v>1.8</v>
      </c>
      <c r="N53" s="54">
        <v>165</v>
      </c>
      <c r="O53" s="54">
        <v>18</v>
      </c>
      <c r="P53" s="54">
        <v>9.16666666666667</v>
      </c>
      <c r="Q53" s="72">
        <v>160</v>
      </c>
      <c r="R53" s="54">
        <v>17</v>
      </c>
      <c r="S53" s="54">
        <f>STOCK[[#This Row],[Peso (g)]]*STOCK[[#This Row],[Precio Envío Kilogramo (USD)]]/1000</f>
        <v>2.72</v>
      </c>
      <c r="T53" s="53">
        <f>STOCK[[#This Row],[Costo Unitario (USD)]]+STOCK[[#This Row],[Costo Envío (USD)]]+STOCK[[#This Row],[Comisión 10%]]</f>
        <v>13.6866666666667</v>
      </c>
      <c r="U53" s="54">
        <f>STOCK[[#This Row],[Costo total]]*1.5</f>
        <v>20.53</v>
      </c>
      <c r="V53" s="54">
        <v>18</v>
      </c>
      <c r="W53" s="54">
        <f>STOCK[[#This Row],[Precio Final]]-STOCK[[#This Row],[Costo total]]</f>
        <v>4.31333333333333</v>
      </c>
      <c r="X53" s="54">
        <f>STOCK[[#This Row],[Ganancia Unitaria]]*STOCK[[#This Row],[Salidas]]</f>
        <v>4.31333333333333</v>
      </c>
      <c r="AA53" s="54">
        <f>STOCK[[#This Row],[Costo total]]*STOCK[[#This Row],[Entradas]]</f>
        <v>13.6866666666667</v>
      </c>
      <c r="AB53" s="54">
        <f>STOCK[[#This Row],[Stock Actual]]*STOCK[[#This Row],[Costo total]]</f>
        <v>0</v>
      </c>
    </row>
    <row r="54" s="53" customFormat="1" ht="50" customHeight="1" spans="1:28">
      <c r="A54" s="53" t="s">
        <v>148</v>
      </c>
      <c r="B54" s="66"/>
      <c r="C54" s="53" t="s">
        <v>32</v>
      </c>
      <c r="D54" s="53" t="s">
        <v>132</v>
      </c>
      <c r="E54" s="67" t="s">
        <v>149</v>
      </c>
      <c r="F54" s="53" t="s">
        <v>150</v>
      </c>
      <c r="G54" s="53" t="s">
        <v>36</v>
      </c>
      <c r="H54" s="53">
        <f>STOCK[[#This Row],[Precio Final]]</f>
        <v>18</v>
      </c>
      <c r="I54" s="53">
        <f>STOCK[[#This Row],[Precio Venta Ideal (x1.5)]]</f>
        <v>17.3491666666667</v>
      </c>
      <c r="J54" s="71">
        <v>1</v>
      </c>
      <c r="K54" s="71">
        <f>SUMIFS(VENTAS[Cantidad],VENTAS[Código del producto Vendido],STOCK[[#This Row],[Code]])</f>
        <v>1</v>
      </c>
      <c r="L54" s="71">
        <f>STOCK[[#This Row],[Entradas]]-STOCK[[#This Row],[Salidas]]</f>
        <v>0</v>
      </c>
      <c r="M54" s="53">
        <f>STOCK[[#This Row],[Precio Final]]*10%</f>
        <v>1.8</v>
      </c>
      <c r="N54" s="53">
        <v>110</v>
      </c>
      <c r="O54" s="53">
        <v>18</v>
      </c>
      <c r="P54" s="53">
        <v>6.11111111111111</v>
      </c>
      <c r="Q54" s="71">
        <v>215</v>
      </c>
      <c r="R54" s="53">
        <v>17</v>
      </c>
      <c r="S54" s="53">
        <f>STOCK[[#This Row],[Peso (g)]]*STOCK[[#This Row],[Precio Envío Kilogramo (USD)]]/1000</f>
        <v>3.655</v>
      </c>
      <c r="T54" s="53">
        <f>STOCK[[#This Row],[Costo Unitario (USD)]]+STOCK[[#This Row],[Costo Envío (USD)]]+STOCK[[#This Row],[Comisión 10%]]</f>
        <v>11.5661111111111</v>
      </c>
      <c r="U54" s="53">
        <f>STOCK[[#This Row],[Costo total]]*1.5</f>
        <v>17.3491666666667</v>
      </c>
      <c r="V54" s="53">
        <v>18</v>
      </c>
      <c r="W54" s="53">
        <f>STOCK[[#This Row],[Precio Final]]-STOCK[[#This Row],[Costo total]]</f>
        <v>6.43388888888889</v>
      </c>
      <c r="X54" s="53">
        <f>STOCK[[#This Row],[Ganancia Unitaria]]*STOCK[[#This Row],[Salidas]]</f>
        <v>6.43388888888889</v>
      </c>
      <c r="AA54" s="53">
        <f>STOCK[[#This Row],[Costo total]]*STOCK[[#This Row],[Entradas]]</f>
        <v>11.5661111111111</v>
      </c>
      <c r="AB54" s="53">
        <f>STOCK[[#This Row],[Stock Actual]]*STOCK[[#This Row],[Costo total]]</f>
        <v>0</v>
      </c>
    </row>
    <row r="55" s="54" customFormat="1" ht="50" customHeight="1" spans="1:28">
      <c r="A55" s="54" t="s">
        <v>151</v>
      </c>
      <c r="B55" s="66"/>
      <c r="C55" s="54" t="s">
        <v>32</v>
      </c>
      <c r="D55" s="54" t="s">
        <v>152</v>
      </c>
      <c r="E55" s="68" t="s">
        <v>153</v>
      </c>
      <c r="F55" s="54" t="s">
        <v>49</v>
      </c>
      <c r="G55" s="54" t="s">
        <v>36</v>
      </c>
      <c r="H55" s="54">
        <f>STOCK[[#This Row],[Precio Final]]</f>
        <v>30</v>
      </c>
      <c r="I55" s="54">
        <f>STOCK[[#This Row],[Precio Venta Ideal (x1.5)]]</f>
        <v>32.53</v>
      </c>
      <c r="J55" s="72">
        <v>4</v>
      </c>
      <c r="K55" s="72">
        <f>SUMIFS(VENTAS[Cantidad],VENTAS[Código del producto Vendido],STOCK[[#This Row],[Code]])</f>
        <v>4</v>
      </c>
      <c r="L55" s="72">
        <f>STOCK[[#This Row],[Entradas]]-STOCK[[#This Row],[Salidas]]</f>
        <v>0</v>
      </c>
      <c r="M55" s="54">
        <f>STOCK[[#This Row],[Precio Final]]*10%</f>
        <v>3</v>
      </c>
      <c r="N55" s="54">
        <v>165</v>
      </c>
      <c r="O55" s="54">
        <v>18</v>
      </c>
      <c r="P55" s="54">
        <v>9.16666666666667</v>
      </c>
      <c r="Q55" s="72">
        <v>560</v>
      </c>
      <c r="R55" s="54">
        <v>17</v>
      </c>
      <c r="S55" s="54">
        <f>STOCK[[#This Row],[Peso (g)]]*STOCK[[#This Row],[Precio Envío Kilogramo (USD)]]/1000</f>
        <v>9.52</v>
      </c>
      <c r="T55" s="53">
        <f>STOCK[[#This Row],[Costo Unitario (USD)]]+STOCK[[#This Row],[Costo Envío (USD)]]+STOCK[[#This Row],[Comisión 10%]]</f>
        <v>21.6866666666667</v>
      </c>
      <c r="U55" s="54">
        <f>STOCK[[#This Row],[Costo total]]*1.5</f>
        <v>32.53</v>
      </c>
      <c r="V55" s="54">
        <v>30</v>
      </c>
      <c r="W55" s="54">
        <f>STOCK[[#This Row],[Precio Final]]-STOCK[[#This Row],[Costo total]]</f>
        <v>8.31333333333333</v>
      </c>
      <c r="X55" s="54">
        <f>STOCK[[#This Row],[Ganancia Unitaria]]*STOCK[[#This Row],[Salidas]]</f>
        <v>33.2533333333333</v>
      </c>
      <c r="AA55" s="54">
        <f>STOCK[[#This Row],[Costo total]]*STOCK[[#This Row],[Entradas]]</f>
        <v>86.7466666666667</v>
      </c>
      <c r="AB55" s="54">
        <f>STOCK[[#This Row],[Stock Actual]]*STOCK[[#This Row],[Costo total]]</f>
        <v>0</v>
      </c>
    </row>
    <row r="56" s="53" customFormat="1" ht="50" customHeight="1" spans="1:28">
      <c r="A56" s="53" t="s">
        <v>154</v>
      </c>
      <c r="B56" s="66"/>
      <c r="C56" s="53" t="s">
        <v>32</v>
      </c>
      <c r="D56" s="53" t="s">
        <v>155</v>
      </c>
      <c r="E56" s="67" t="s">
        <v>156</v>
      </c>
      <c r="F56" s="53" t="s">
        <v>46</v>
      </c>
      <c r="G56" s="53" t="s">
        <v>36</v>
      </c>
      <c r="H56" s="53">
        <f>STOCK[[#This Row],[Precio Final]]</f>
        <v>30</v>
      </c>
      <c r="I56" s="53">
        <f>STOCK[[#This Row],[Precio Venta Ideal (x1.5)]]</f>
        <v>32.53</v>
      </c>
      <c r="J56" s="71">
        <v>3</v>
      </c>
      <c r="K56" s="71">
        <f>SUMIFS(VENTAS[Cantidad],VENTAS[Código del producto Vendido],STOCK[[#This Row],[Code]])</f>
        <v>3</v>
      </c>
      <c r="L56" s="71">
        <f>STOCK[[#This Row],[Entradas]]-STOCK[[#This Row],[Salidas]]</f>
        <v>0</v>
      </c>
      <c r="M56" s="53">
        <f>STOCK[[#This Row],[Precio Final]]*10%</f>
        <v>3</v>
      </c>
      <c r="N56" s="53">
        <v>165</v>
      </c>
      <c r="O56" s="53">
        <v>18</v>
      </c>
      <c r="P56" s="53">
        <v>9.16666666666667</v>
      </c>
      <c r="Q56" s="71">
        <v>560</v>
      </c>
      <c r="R56" s="53">
        <v>17</v>
      </c>
      <c r="S56" s="53">
        <f>STOCK[[#This Row],[Peso (g)]]*STOCK[[#This Row],[Precio Envío Kilogramo (USD)]]/1000</f>
        <v>9.52</v>
      </c>
      <c r="T56" s="53">
        <f>STOCK[[#This Row],[Costo Unitario (USD)]]+STOCK[[#This Row],[Costo Envío (USD)]]+STOCK[[#This Row],[Comisión 10%]]</f>
        <v>21.6866666666667</v>
      </c>
      <c r="U56" s="53">
        <f>STOCK[[#This Row],[Costo total]]*1.5</f>
        <v>32.53</v>
      </c>
      <c r="V56" s="53">
        <v>30</v>
      </c>
      <c r="W56" s="53">
        <f>STOCK[[#This Row],[Precio Final]]-STOCK[[#This Row],[Costo total]]</f>
        <v>8.31333333333333</v>
      </c>
      <c r="X56" s="53">
        <f>STOCK[[#This Row],[Ganancia Unitaria]]*STOCK[[#This Row],[Salidas]]</f>
        <v>24.94</v>
      </c>
      <c r="AA56" s="53">
        <f>STOCK[[#This Row],[Costo total]]*STOCK[[#This Row],[Entradas]]</f>
        <v>65.06</v>
      </c>
      <c r="AB56" s="53">
        <f>STOCK[[#This Row],[Stock Actual]]*STOCK[[#This Row],[Costo total]]</f>
        <v>0</v>
      </c>
    </row>
    <row r="57" s="54" customFormat="1" ht="50" customHeight="1" spans="1:28">
      <c r="A57" s="54" t="s">
        <v>157</v>
      </c>
      <c r="B57" s="66"/>
      <c r="C57" s="54" t="s">
        <v>32</v>
      </c>
      <c r="D57" s="54" t="s">
        <v>155</v>
      </c>
      <c r="E57" s="68" t="s">
        <v>156</v>
      </c>
      <c r="F57" s="54" t="s">
        <v>49</v>
      </c>
      <c r="G57" s="54" t="s">
        <v>36</v>
      </c>
      <c r="H57" s="54">
        <f>STOCK[[#This Row],[Precio Final]]</f>
        <v>30</v>
      </c>
      <c r="I57" s="54">
        <f>STOCK[[#This Row],[Precio Venta Ideal (x1.5)]]</f>
        <v>32.53</v>
      </c>
      <c r="J57" s="72">
        <v>5</v>
      </c>
      <c r="K57" s="72">
        <f>SUMIFS(VENTAS[Cantidad],VENTAS[Código del producto Vendido],STOCK[[#This Row],[Code]])</f>
        <v>5</v>
      </c>
      <c r="L57" s="72">
        <f>STOCK[[#This Row],[Entradas]]-STOCK[[#This Row],[Salidas]]</f>
        <v>0</v>
      </c>
      <c r="M57" s="54">
        <f>STOCK[[#This Row],[Precio Final]]*10%</f>
        <v>3</v>
      </c>
      <c r="N57" s="54">
        <v>165</v>
      </c>
      <c r="O57" s="54">
        <v>18</v>
      </c>
      <c r="P57" s="54">
        <v>9.16666666666667</v>
      </c>
      <c r="Q57" s="72">
        <v>560</v>
      </c>
      <c r="R57" s="54">
        <v>17</v>
      </c>
      <c r="S57" s="54">
        <f>STOCK[[#This Row],[Peso (g)]]*STOCK[[#This Row],[Precio Envío Kilogramo (USD)]]/1000</f>
        <v>9.52</v>
      </c>
      <c r="T57" s="53">
        <f>STOCK[[#This Row],[Costo Unitario (USD)]]+STOCK[[#This Row],[Costo Envío (USD)]]+STOCK[[#This Row],[Comisión 10%]]</f>
        <v>21.6866666666667</v>
      </c>
      <c r="U57" s="54">
        <f>STOCK[[#This Row],[Costo total]]*1.5</f>
        <v>32.53</v>
      </c>
      <c r="V57" s="54">
        <v>30</v>
      </c>
      <c r="W57" s="54">
        <f>STOCK[[#This Row],[Precio Final]]-STOCK[[#This Row],[Costo total]]</f>
        <v>8.31333333333333</v>
      </c>
      <c r="X57" s="54">
        <f>STOCK[[#This Row],[Ganancia Unitaria]]*STOCK[[#This Row],[Salidas]]</f>
        <v>41.5666666666667</v>
      </c>
      <c r="AA57" s="54">
        <f>STOCK[[#This Row],[Costo total]]*STOCK[[#This Row],[Entradas]]</f>
        <v>108.433333333333</v>
      </c>
      <c r="AB57" s="54">
        <f>STOCK[[#This Row],[Stock Actual]]*STOCK[[#This Row],[Costo total]]</f>
        <v>0</v>
      </c>
    </row>
    <row r="58" s="53" customFormat="1" ht="50" customHeight="1" spans="1:28">
      <c r="A58" s="53" t="s">
        <v>158</v>
      </c>
      <c r="B58" s="66"/>
      <c r="C58" s="53" t="s">
        <v>32</v>
      </c>
      <c r="D58" s="53" t="s">
        <v>155</v>
      </c>
      <c r="E58" s="67" t="s">
        <v>156</v>
      </c>
      <c r="F58" s="53" t="s">
        <v>40</v>
      </c>
      <c r="G58" s="53" t="s">
        <v>36</v>
      </c>
      <c r="H58" s="53">
        <f>STOCK[[#This Row],[Precio Final]]</f>
        <v>30</v>
      </c>
      <c r="I58" s="53">
        <f>STOCK[[#This Row],[Precio Venta Ideal (x1.5)]]</f>
        <v>32.53</v>
      </c>
      <c r="J58" s="71">
        <v>3</v>
      </c>
      <c r="K58" s="71">
        <f>SUMIFS(VENTAS[Cantidad],VENTAS[Código del producto Vendido],STOCK[[#This Row],[Code]])</f>
        <v>3</v>
      </c>
      <c r="L58" s="71">
        <f>STOCK[[#This Row],[Entradas]]-STOCK[[#This Row],[Salidas]]</f>
        <v>0</v>
      </c>
      <c r="M58" s="53">
        <f>STOCK[[#This Row],[Precio Final]]*10%</f>
        <v>3</v>
      </c>
      <c r="N58" s="53">
        <v>165</v>
      </c>
      <c r="O58" s="53">
        <v>18</v>
      </c>
      <c r="P58" s="53">
        <v>9.16666666666667</v>
      </c>
      <c r="Q58" s="71">
        <v>560</v>
      </c>
      <c r="R58" s="53">
        <v>17</v>
      </c>
      <c r="S58" s="53">
        <f>STOCK[[#This Row],[Peso (g)]]*STOCK[[#This Row],[Precio Envío Kilogramo (USD)]]/1000</f>
        <v>9.52</v>
      </c>
      <c r="T58" s="53">
        <f>STOCK[[#This Row],[Costo Unitario (USD)]]+STOCK[[#This Row],[Costo Envío (USD)]]+STOCK[[#This Row],[Comisión 10%]]</f>
        <v>21.6866666666667</v>
      </c>
      <c r="U58" s="53">
        <f>STOCK[[#This Row],[Costo total]]*1.5</f>
        <v>32.53</v>
      </c>
      <c r="V58" s="53">
        <v>30</v>
      </c>
      <c r="W58" s="53">
        <f>STOCK[[#This Row],[Precio Final]]-STOCK[[#This Row],[Costo total]]</f>
        <v>8.31333333333333</v>
      </c>
      <c r="X58" s="53">
        <f>STOCK[[#This Row],[Ganancia Unitaria]]*STOCK[[#This Row],[Salidas]]</f>
        <v>24.94</v>
      </c>
      <c r="AA58" s="53">
        <f>STOCK[[#This Row],[Costo total]]*STOCK[[#This Row],[Entradas]]</f>
        <v>65.06</v>
      </c>
      <c r="AB58" s="53">
        <f>STOCK[[#This Row],[Stock Actual]]*STOCK[[#This Row],[Costo total]]</f>
        <v>0</v>
      </c>
    </row>
    <row r="59" s="54" customFormat="1" ht="50" customHeight="1" spans="1:28">
      <c r="A59" s="54" t="s">
        <v>159</v>
      </c>
      <c r="B59" s="66"/>
      <c r="C59" s="54" t="s">
        <v>32</v>
      </c>
      <c r="D59" s="54" t="s">
        <v>38</v>
      </c>
      <c r="E59" s="68" t="s">
        <v>74</v>
      </c>
      <c r="F59" s="54" t="s">
        <v>62</v>
      </c>
      <c r="G59" s="54" t="s">
        <v>36</v>
      </c>
      <c r="H59" s="54">
        <f>STOCK[[#This Row],[Precio Final]]</f>
        <v>25</v>
      </c>
      <c r="I59" s="54">
        <f>STOCK[[#This Row],[Precio Venta Ideal (x1.5)]]</f>
        <v>31.2133333333334</v>
      </c>
      <c r="J59" s="72">
        <v>1</v>
      </c>
      <c r="K59" s="72">
        <f>SUMIFS(VENTAS[Cantidad],VENTAS[Código del producto Vendido],STOCK[[#This Row],[Code]])</f>
        <v>1</v>
      </c>
      <c r="L59" s="72">
        <f>STOCK[[#This Row],[Entradas]]-STOCK[[#This Row],[Salidas]]</f>
        <v>0</v>
      </c>
      <c r="M59" s="54">
        <f>STOCK[[#This Row],[Precio Final]]*10%</f>
        <v>2.5</v>
      </c>
      <c r="N59" s="54">
        <v>250</v>
      </c>
      <c r="O59" s="54">
        <v>18</v>
      </c>
      <c r="P59" s="54">
        <v>13.8888888888889</v>
      </c>
      <c r="Q59" s="72">
        <v>260</v>
      </c>
      <c r="R59" s="54">
        <v>17</v>
      </c>
      <c r="S59" s="54">
        <f>STOCK[[#This Row],[Peso (g)]]*STOCK[[#This Row],[Precio Envío Kilogramo (USD)]]/1000</f>
        <v>4.42</v>
      </c>
      <c r="T59" s="53">
        <f>STOCK[[#This Row],[Costo Unitario (USD)]]+STOCK[[#This Row],[Costo Envío (USD)]]+STOCK[[#This Row],[Comisión 10%]]</f>
        <v>20.8088888888889</v>
      </c>
      <c r="U59" s="54">
        <f>STOCK[[#This Row],[Costo total]]*1.5</f>
        <v>31.2133333333334</v>
      </c>
      <c r="V59" s="54">
        <v>25</v>
      </c>
      <c r="W59" s="54">
        <f>STOCK[[#This Row],[Precio Final]]-STOCK[[#This Row],[Costo total]]</f>
        <v>4.1911111111111</v>
      </c>
      <c r="X59" s="54">
        <f>STOCK[[#This Row],[Ganancia Unitaria]]*STOCK[[#This Row],[Salidas]]</f>
        <v>4.1911111111111</v>
      </c>
      <c r="AA59" s="54">
        <f>STOCK[[#This Row],[Costo total]]*STOCK[[#This Row],[Entradas]]</f>
        <v>20.8088888888889</v>
      </c>
      <c r="AB59" s="54">
        <f>STOCK[[#This Row],[Stock Actual]]*STOCK[[#This Row],[Costo total]]</f>
        <v>0</v>
      </c>
    </row>
    <row r="60" s="53" customFormat="1" ht="50" customHeight="1" spans="1:28">
      <c r="A60" s="53" t="s">
        <v>160</v>
      </c>
      <c r="B60" s="66"/>
      <c r="C60" s="53" t="s">
        <v>32</v>
      </c>
      <c r="D60" s="53" t="s">
        <v>132</v>
      </c>
      <c r="E60" s="67" t="s">
        <v>161</v>
      </c>
      <c r="F60" s="53" t="s">
        <v>147</v>
      </c>
      <c r="G60" s="53" t="s">
        <v>36</v>
      </c>
      <c r="H60" s="53">
        <f>STOCK[[#This Row],[Precio Final]]</f>
        <v>18</v>
      </c>
      <c r="I60" s="53">
        <f>STOCK[[#This Row],[Precio Venta Ideal (x1.5)]]</f>
        <v>20.02</v>
      </c>
      <c r="J60" s="71">
        <v>1</v>
      </c>
      <c r="K60" s="71">
        <f>SUMIFS(VENTAS[Cantidad],VENTAS[Código del producto Vendido],STOCK[[#This Row],[Code]])</f>
        <v>1</v>
      </c>
      <c r="L60" s="71">
        <f>STOCK[[#This Row],[Entradas]]-STOCK[[#This Row],[Salidas]]</f>
        <v>0</v>
      </c>
      <c r="M60" s="53">
        <f>STOCK[[#This Row],[Precio Final]]*10%</f>
        <v>1.8</v>
      </c>
      <c r="N60" s="53">
        <v>165</v>
      </c>
      <c r="O60" s="53">
        <v>18</v>
      </c>
      <c r="P60" s="53">
        <v>9.16666666666667</v>
      </c>
      <c r="Q60" s="71">
        <v>140</v>
      </c>
      <c r="R60" s="53">
        <v>17</v>
      </c>
      <c r="S60" s="53">
        <f>STOCK[[#This Row],[Peso (g)]]*STOCK[[#This Row],[Precio Envío Kilogramo (USD)]]/1000</f>
        <v>2.38</v>
      </c>
      <c r="T60" s="53">
        <f>STOCK[[#This Row],[Costo Unitario (USD)]]+STOCK[[#This Row],[Costo Envío (USD)]]+STOCK[[#This Row],[Comisión 10%]]</f>
        <v>13.3466666666667</v>
      </c>
      <c r="U60" s="53">
        <f>STOCK[[#This Row],[Costo total]]*1.5</f>
        <v>20.02</v>
      </c>
      <c r="V60" s="53">
        <v>18</v>
      </c>
      <c r="W60" s="53">
        <f>STOCK[[#This Row],[Precio Final]]-STOCK[[#This Row],[Costo total]]</f>
        <v>4.65333333333333</v>
      </c>
      <c r="X60" s="53">
        <f>STOCK[[#This Row],[Ganancia Unitaria]]*STOCK[[#This Row],[Salidas]]</f>
        <v>4.65333333333333</v>
      </c>
      <c r="AA60" s="53">
        <f>STOCK[[#This Row],[Costo total]]*STOCK[[#This Row],[Entradas]]</f>
        <v>13.3466666666667</v>
      </c>
      <c r="AB60" s="53">
        <f>STOCK[[#This Row],[Stock Actual]]*STOCK[[#This Row],[Costo total]]</f>
        <v>0</v>
      </c>
    </row>
    <row r="61" s="54" customFormat="1" ht="50" customHeight="1" spans="1:28">
      <c r="A61" s="54" t="s">
        <v>162</v>
      </c>
      <c r="B61" s="66"/>
      <c r="C61" s="54" t="s">
        <v>32</v>
      </c>
      <c r="D61" s="54" t="s">
        <v>103</v>
      </c>
      <c r="E61" s="68" t="s">
        <v>163</v>
      </c>
      <c r="F61" s="54" t="s">
        <v>62</v>
      </c>
      <c r="G61" s="54" t="s">
        <v>36</v>
      </c>
      <c r="H61" s="54">
        <f>STOCK[[#This Row],[Precio Final]]</f>
        <v>20</v>
      </c>
      <c r="I61" s="54">
        <f>STOCK[[#This Row],[Precio Venta Ideal (x1.5)]]</f>
        <v>22.1141666666667</v>
      </c>
      <c r="J61" s="72">
        <v>1</v>
      </c>
      <c r="K61" s="72">
        <f>SUMIFS(VENTAS[Cantidad],VENTAS[Código del producto Vendido],STOCK[[#This Row],[Code]])</f>
        <v>1</v>
      </c>
      <c r="L61" s="72">
        <f>STOCK[[#This Row],[Entradas]]-STOCK[[#This Row],[Salidas]]</f>
        <v>0</v>
      </c>
      <c r="M61" s="54">
        <f>STOCK[[#This Row],[Precio Final]]*10%</f>
        <v>2</v>
      </c>
      <c r="N61" s="54">
        <v>185</v>
      </c>
      <c r="O61" s="54">
        <v>18</v>
      </c>
      <c r="P61" s="54">
        <v>10.2777777777778</v>
      </c>
      <c r="Q61" s="72">
        <v>145</v>
      </c>
      <c r="R61" s="54">
        <v>17</v>
      </c>
      <c r="S61" s="54">
        <f>STOCK[[#This Row],[Peso (g)]]*STOCK[[#This Row],[Precio Envío Kilogramo (USD)]]/1000</f>
        <v>2.465</v>
      </c>
      <c r="T61" s="53">
        <f>STOCK[[#This Row],[Costo Unitario (USD)]]+STOCK[[#This Row],[Costo Envío (USD)]]+STOCK[[#This Row],[Comisión 10%]]</f>
        <v>14.7427777777778</v>
      </c>
      <c r="U61" s="54">
        <f>STOCK[[#This Row],[Costo total]]*1.5</f>
        <v>22.1141666666667</v>
      </c>
      <c r="V61" s="54">
        <v>20</v>
      </c>
      <c r="W61" s="54">
        <f>STOCK[[#This Row],[Precio Final]]-STOCK[[#This Row],[Costo total]]</f>
        <v>5.2572222222222</v>
      </c>
      <c r="X61" s="54">
        <f>STOCK[[#This Row],[Ganancia Unitaria]]*STOCK[[#This Row],[Salidas]]</f>
        <v>5.2572222222222</v>
      </c>
      <c r="AA61" s="54">
        <f>STOCK[[#This Row],[Costo total]]*STOCK[[#This Row],[Entradas]]</f>
        <v>14.7427777777778</v>
      </c>
      <c r="AB61" s="54">
        <f>STOCK[[#This Row],[Stock Actual]]*STOCK[[#This Row],[Costo total]]</f>
        <v>0</v>
      </c>
    </row>
    <row r="62" s="53" customFormat="1" ht="50" customHeight="1" spans="1:28">
      <c r="A62" s="53" t="s">
        <v>164</v>
      </c>
      <c r="B62" s="66"/>
      <c r="C62" s="53" t="s">
        <v>32</v>
      </c>
      <c r="D62" s="53" t="s">
        <v>136</v>
      </c>
      <c r="E62" s="67" t="s">
        <v>165</v>
      </c>
      <c r="F62" s="53" t="s">
        <v>141</v>
      </c>
      <c r="G62" s="53" t="s">
        <v>36</v>
      </c>
      <c r="H62" s="53">
        <f>STOCK[[#This Row],[Precio Final]]</f>
        <v>20</v>
      </c>
      <c r="I62" s="53">
        <f>STOCK[[#This Row],[Precio Venta Ideal (x1.5)]]</f>
        <v>21.6633333333333</v>
      </c>
      <c r="J62" s="71">
        <v>1</v>
      </c>
      <c r="K62" s="71">
        <f>SUMIFS(VENTAS[Cantidad],VENTAS[Código del producto Vendido],STOCK[[#This Row],[Code]])</f>
        <v>1</v>
      </c>
      <c r="L62" s="71">
        <f>STOCK[[#This Row],[Entradas]]-STOCK[[#This Row],[Salidas]]</f>
        <v>0</v>
      </c>
      <c r="M62" s="53">
        <f>STOCK[[#This Row],[Precio Final]]*10%</f>
        <v>2</v>
      </c>
      <c r="N62" s="53">
        <v>175</v>
      </c>
      <c r="O62" s="53">
        <v>18</v>
      </c>
      <c r="P62" s="53">
        <v>9.72222222222222</v>
      </c>
      <c r="Q62" s="71">
        <v>160</v>
      </c>
      <c r="R62" s="53">
        <v>17</v>
      </c>
      <c r="S62" s="53">
        <f>STOCK[[#This Row],[Peso (g)]]*STOCK[[#This Row],[Precio Envío Kilogramo (USD)]]/1000</f>
        <v>2.72</v>
      </c>
      <c r="T62" s="53">
        <f>STOCK[[#This Row],[Costo Unitario (USD)]]+STOCK[[#This Row],[Costo Envío (USD)]]+STOCK[[#This Row],[Comisión 10%]]</f>
        <v>14.4422222222222</v>
      </c>
      <c r="U62" s="53">
        <f>STOCK[[#This Row],[Costo total]]*1.5</f>
        <v>21.6633333333333</v>
      </c>
      <c r="V62" s="53">
        <v>20</v>
      </c>
      <c r="W62" s="53">
        <f>STOCK[[#This Row],[Precio Final]]-STOCK[[#This Row],[Costo total]]</f>
        <v>5.55777777777778</v>
      </c>
      <c r="X62" s="53">
        <f>STOCK[[#This Row],[Ganancia Unitaria]]*STOCK[[#This Row],[Salidas]]</f>
        <v>5.55777777777778</v>
      </c>
      <c r="AA62" s="53">
        <f>STOCK[[#This Row],[Costo total]]*STOCK[[#This Row],[Entradas]]</f>
        <v>14.4422222222222</v>
      </c>
      <c r="AB62" s="53">
        <f>STOCK[[#This Row],[Stock Actual]]*STOCK[[#This Row],[Costo total]]</f>
        <v>0</v>
      </c>
    </row>
    <row r="63" s="54" customFormat="1" ht="50" customHeight="1" spans="1:28">
      <c r="A63" s="54" t="s">
        <v>166</v>
      </c>
      <c r="B63" s="66"/>
      <c r="C63" s="54" t="s">
        <v>32</v>
      </c>
      <c r="D63" s="54" t="s">
        <v>44</v>
      </c>
      <c r="E63" s="68" t="s">
        <v>167</v>
      </c>
      <c r="F63" s="54" t="s">
        <v>62</v>
      </c>
      <c r="G63" s="54" t="s">
        <v>36</v>
      </c>
      <c r="H63" s="54">
        <f>STOCK[[#This Row],[Precio Final]]</f>
        <v>25</v>
      </c>
      <c r="I63" s="54">
        <f>STOCK[[#This Row],[Precio Venta Ideal (x1.5)]]</f>
        <v>29.7333333333333</v>
      </c>
      <c r="J63" s="72">
        <v>1</v>
      </c>
      <c r="K63" s="72">
        <f>SUMIFS(VENTAS[Cantidad],VENTAS[Código del producto Vendido],STOCK[[#This Row],[Code]])</f>
        <v>1</v>
      </c>
      <c r="L63" s="72">
        <f>STOCK[[#This Row],[Entradas]]-STOCK[[#This Row],[Salidas]]</f>
        <v>0</v>
      </c>
      <c r="M63" s="54">
        <f>STOCK[[#This Row],[Precio Final]]*10%</f>
        <v>2.5</v>
      </c>
      <c r="N63" s="54">
        <v>265</v>
      </c>
      <c r="O63" s="54">
        <v>18</v>
      </c>
      <c r="P63" s="54">
        <v>14.7222222222222</v>
      </c>
      <c r="Q63" s="72">
        <v>325</v>
      </c>
      <c r="R63" s="54">
        <v>8</v>
      </c>
      <c r="S63" s="54">
        <f>STOCK[[#This Row],[Peso (g)]]*STOCK[[#This Row],[Precio Envío Kilogramo (USD)]]/1000</f>
        <v>2.6</v>
      </c>
      <c r="T63" s="53">
        <f>STOCK[[#This Row],[Costo Unitario (USD)]]+STOCK[[#This Row],[Costo Envío (USD)]]+STOCK[[#This Row],[Comisión 10%]]</f>
        <v>19.8222222222222</v>
      </c>
      <c r="U63" s="54">
        <f>STOCK[[#This Row],[Costo total]]*1.5</f>
        <v>29.7333333333333</v>
      </c>
      <c r="V63" s="54">
        <v>25</v>
      </c>
      <c r="W63" s="54">
        <f>STOCK[[#This Row],[Precio Final]]-STOCK[[#This Row],[Costo total]]</f>
        <v>5.1777777777778</v>
      </c>
      <c r="X63" s="54">
        <f>STOCK[[#This Row],[Ganancia Unitaria]]*STOCK[[#This Row],[Salidas]]</f>
        <v>5.1777777777778</v>
      </c>
      <c r="Y63" s="54" t="s">
        <v>168</v>
      </c>
      <c r="AA63" s="54">
        <f>STOCK[[#This Row],[Costo total]]*STOCK[[#This Row],[Entradas]]</f>
        <v>19.8222222222222</v>
      </c>
      <c r="AB63" s="54">
        <f>STOCK[[#This Row],[Stock Actual]]*STOCK[[#This Row],[Costo total]]</f>
        <v>0</v>
      </c>
    </row>
    <row r="64" s="53" customFormat="1" ht="50" customHeight="1" spans="1:28">
      <c r="A64" s="53" t="s">
        <v>169</v>
      </c>
      <c r="B64" s="66"/>
      <c r="C64" s="53" t="s">
        <v>32</v>
      </c>
      <c r="D64" s="53" t="s">
        <v>44</v>
      </c>
      <c r="E64" s="67" t="s">
        <v>170</v>
      </c>
      <c r="F64" s="53" t="s">
        <v>62</v>
      </c>
      <c r="G64" s="53" t="s">
        <v>36</v>
      </c>
      <c r="H64" s="53">
        <f>STOCK[[#This Row],[Precio Final]]</f>
        <v>30</v>
      </c>
      <c r="I64" s="53">
        <f>STOCK[[#This Row],[Precio Venta Ideal (x1.5)]]</f>
        <v>35.7833333333334</v>
      </c>
      <c r="J64" s="71">
        <v>1</v>
      </c>
      <c r="K64" s="71">
        <f>SUMIFS(VENTAS[Cantidad],VENTAS[Código del producto Vendido],STOCK[[#This Row],[Code]])</f>
        <v>1</v>
      </c>
      <c r="L64" s="71">
        <f>STOCK[[#This Row],[Entradas]]-STOCK[[#This Row],[Salidas]]</f>
        <v>0</v>
      </c>
      <c r="M64" s="53">
        <f>STOCK[[#This Row],[Precio Final]]*10%</f>
        <v>3</v>
      </c>
      <c r="N64" s="53">
        <v>325</v>
      </c>
      <c r="O64" s="53">
        <v>18</v>
      </c>
      <c r="P64" s="53">
        <v>18.0555555555556</v>
      </c>
      <c r="Q64" s="71">
        <v>350</v>
      </c>
      <c r="R64" s="53">
        <v>8</v>
      </c>
      <c r="S64" s="53">
        <f>STOCK[[#This Row],[Peso (g)]]*STOCK[[#This Row],[Precio Envío Kilogramo (USD)]]/1000</f>
        <v>2.8</v>
      </c>
      <c r="T64" s="53">
        <f>STOCK[[#This Row],[Costo Unitario (USD)]]+STOCK[[#This Row],[Costo Envío (USD)]]+STOCK[[#This Row],[Comisión 10%]]</f>
        <v>23.8555555555556</v>
      </c>
      <c r="U64" s="53">
        <f>STOCK[[#This Row],[Costo total]]*1.5</f>
        <v>35.7833333333334</v>
      </c>
      <c r="V64" s="53">
        <v>30</v>
      </c>
      <c r="W64" s="53">
        <f>STOCK[[#This Row],[Precio Final]]-STOCK[[#This Row],[Costo total]]</f>
        <v>6.1444444444444</v>
      </c>
      <c r="X64" s="53">
        <f>STOCK[[#This Row],[Ganancia Unitaria]]*STOCK[[#This Row],[Salidas]]</f>
        <v>6.1444444444444</v>
      </c>
      <c r="Y64" s="53" t="s">
        <v>168</v>
      </c>
      <c r="AA64" s="53">
        <f>STOCK[[#This Row],[Costo total]]*STOCK[[#This Row],[Entradas]]</f>
        <v>23.8555555555556</v>
      </c>
      <c r="AB64" s="53">
        <f>STOCK[[#This Row],[Stock Actual]]*STOCK[[#This Row],[Costo total]]</f>
        <v>0</v>
      </c>
    </row>
    <row r="65" s="54" customFormat="1" ht="50" customHeight="1" spans="1:28">
      <c r="A65" s="54" t="s">
        <v>171</v>
      </c>
      <c r="B65" s="66"/>
      <c r="C65" s="54" t="s">
        <v>32</v>
      </c>
      <c r="D65" s="54" t="s">
        <v>44</v>
      </c>
      <c r="E65" s="68" t="s">
        <v>172</v>
      </c>
      <c r="F65" s="54" t="s">
        <v>62</v>
      </c>
      <c r="G65" s="54" t="s">
        <v>36</v>
      </c>
      <c r="H65" s="54">
        <f>STOCK[[#This Row],[Precio Final]]</f>
        <v>30</v>
      </c>
      <c r="I65" s="54">
        <f>STOCK[[#This Row],[Precio Venta Ideal (x1.5)]]</f>
        <v>30.9</v>
      </c>
      <c r="J65" s="72">
        <v>1</v>
      </c>
      <c r="K65" s="72">
        <f>SUMIFS(VENTAS[Cantidad],VENTAS[Código del producto Vendido],STOCK[[#This Row],[Code]])</f>
        <v>1</v>
      </c>
      <c r="L65" s="72">
        <f>STOCK[[#This Row],[Entradas]]-STOCK[[#This Row],[Salidas]]</f>
        <v>0</v>
      </c>
      <c r="M65" s="54">
        <f>STOCK[[#This Row],[Precio Final]]*10%</f>
        <v>3</v>
      </c>
      <c r="N65" s="54">
        <v>270</v>
      </c>
      <c r="O65" s="54">
        <v>18</v>
      </c>
      <c r="P65" s="54">
        <v>15</v>
      </c>
      <c r="Q65" s="72">
        <v>325</v>
      </c>
      <c r="R65" s="54">
        <v>8</v>
      </c>
      <c r="S65" s="54">
        <f>STOCK[[#This Row],[Peso (g)]]*STOCK[[#This Row],[Precio Envío Kilogramo (USD)]]/1000</f>
        <v>2.6</v>
      </c>
      <c r="T65" s="53">
        <f>STOCK[[#This Row],[Costo Unitario (USD)]]+STOCK[[#This Row],[Costo Envío (USD)]]+STOCK[[#This Row],[Comisión 10%]]</f>
        <v>20.6</v>
      </c>
      <c r="U65" s="54">
        <f>STOCK[[#This Row],[Costo total]]*1.5</f>
        <v>30.9</v>
      </c>
      <c r="V65" s="54">
        <v>30</v>
      </c>
      <c r="W65" s="54">
        <f>STOCK[[#This Row],[Precio Final]]-STOCK[[#This Row],[Costo total]]</f>
        <v>9.4</v>
      </c>
      <c r="X65" s="54">
        <f>STOCK[[#This Row],[Ganancia Unitaria]]*STOCK[[#This Row],[Salidas]]</f>
        <v>9.4</v>
      </c>
      <c r="Y65" s="54" t="s">
        <v>168</v>
      </c>
      <c r="AA65" s="54">
        <f>STOCK[[#This Row],[Costo total]]*STOCK[[#This Row],[Entradas]]</f>
        <v>20.6</v>
      </c>
      <c r="AB65" s="54">
        <f>STOCK[[#This Row],[Stock Actual]]*STOCK[[#This Row],[Costo total]]</f>
        <v>0</v>
      </c>
    </row>
    <row r="66" s="53" customFormat="1" ht="50" customHeight="1" spans="1:28">
      <c r="A66" s="53" t="s">
        <v>173</v>
      </c>
      <c r="B66" s="66"/>
      <c r="C66" s="53" t="s">
        <v>32</v>
      </c>
      <c r="D66" s="53" t="s">
        <v>174</v>
      </c>
      <c r="E66" s="67" t="s">
        <v>175</v>
      </c>
      <c r="F66" s="53" t="s">
        <v>49</v>
      </c>
      <c r="G66" s="53" t="s">
        <v>36</v>
      </c>
      <c r="H66" s="53">
        <f>STOCK[[#This Row],[Precio Final]]</f>
        <v>12</v>
      </c>
      <c r="I66" s="53">
        <f>STOCK[[#This Row],[Precio Venta Ideal (x1.5)]]</f>
        <v>12.13</v>
      </c>
      <c r="J66" s="71">
        <v>1</v>
      </c>
      <c r="K66" s="71">
        <f>SUMIFS(VENTAS[Cantidad],VENTAS[Código del producto Vendido],STOCK[[#This Row],[Code]])</f>
        <v>1</v>
      </c>
      <c r="L66" s="71">
        <f>STOCK[[#This Row],[Entradas]]-STOCK[[#This Row],[Salidas]]</f>
        <v>0</v>
      </c>
      <c r="M66" s="53">
        <f>STOCK[[#This Row],[Precio Final]]*10%</f>
        <v>1.2</v>
      </c>
      <c r="N66" s="53">
        <v>111</v>
      </c>
      <c r="O66" s="53">
        <v>18</v>
      </c>
      <c r="P66" s="53">
        <v>6.16666666666667</v>
      </c>
      <c r="Q66" s="71">
        <v>90</v>
      </c>
      <c r="R66" s="53">
        <v>8</v>
      </c>
      <c r="S66" s="53">
        <f>STOCK[[#This Row],[Peso (g)]]*STOCK[[#This Row],[Precio Envío Kilogramo (USD)]]/1000</f>
        <v>0.72</v>
      </c>
      <c r="T66" s="53">
        <f>STOCK[[#This Row],[Costo Unitario (USD)]]+STOCK[[#This Row],[Costo Envío (USD)]]+STOCK[[#This Row],[Comisión 10%]]</f>
        <v>8.08666666666667</v>
      </c>
      <c r="U66" s="53">
        <f>STOCK[[#This Row],[Costo total]]*1.5</f>
        <v>12.13</v>
      </c>
      <c r="V66" s="53">
        <v>12</v>
      </c>
      <c r="W66" s="53">
        <f>STOCK[[#This Row],[Precio Final]]-STOCK[[#This Row],[Costo total]]</f>
        <v>3.91333333333333</v>
      </c>
      <c r="X66" s="53">
        <f>STOCK[[#This Row],[Ganancia Unitaria]]*STOCK[[#This Row],[Salidas]]</f>
        <v>3.91333333333333</v>
      </c>
      <c r="Y66" s="53" t="s">
        <v>168</v>
      </c>
      <c r="AA66" s="53">
        <f>STOCK[[#This Row],[Costo total]]*STOCK[[#This Row],[Entradas]]</f>
        <v>8.08666666666667</v>
      </c>
      <c r="AB66" s="53">
        <f>STOCK[[#This Row],[Stock Actual]]*STOCK[[#This Row],[Costo total]]</f>
        <v>0</v>
      </c>
    </row>
    <row r="67" s="54" customFormat="1" ht="50" customHeight="1" spans="1:28">
      <c r="A67" s="54" t="s">
        <v>176</v>
      </c>
      <c r="B67" s="66"/>
      <c r="C67" s="54" t="s">
        <v>32</v>
      </c>
      <c r="D67" s="54" t="s">
        <v>44</v>
      </c>
      <c r="E67" s="68" t="s">
        <v>177</v>
      </c>
      <c r="F67" s="54" t="s">
        <v>62</v>
      </c>
      <c r="G67" s="54" t="s">
        <v>36</v>
      </c>
      <c r="H67" s="54">
        <f>STOCK[[#This Row],[Precio Final]]</f>
        <v>28</v>
      </c>
      <c r="I67" s="54">
        <f>STOCK[[#This Row],[Precio Venta Ideal (x1.5)]]</f>
        <v>29.3533333333333</v>
      </c>
      <c r="J67" s="72">
        <v>1</v>
      </c>
      <c r="K67" s="72">
        <f>SUMIFS(VENTAS[Cantidad],VENTAS[Código del producto Vendido],STOCK[[#This Row],[Code]])</f>
        <v>1</v>
      </c>
      <c r="L67" s="72">
        <f>STOCK[[#This Row],[Entradas]]-STOCK[[#This Row],[Salidas]]</f>
        <v>0</v>
      </c>
      <c r="M67" s="54">
        <f>STOCK[[#This Row],[Precio Final]]*10%</f>
        <v>2.8</v>
      </c>
      <c r="N67" s="54">
        <v>250</v>
      </c>
      <c r="O67" s="54">
        <v>18</v>
      </c>
      <c r="P67" s="54">
        <v>13.8888888888889</v>
      </c>
      <c r="Q67" s="72">
        <v>360</v>
      </c>
      <c r="R67" s="54">
        <v>8</v>
      </c>
      <c r="S67" s="54">
        <f>STOCK[[#This Row],[Peso (g)]]*STOCK[[#This Row],[Precio Envío Kilogramo (USD)]]/1000</f>
        <v>2.88</v>
      </c>
      <c r="T67" s="53">
        <f>STOCK[[#This Row],[Costo Unitario (USD)]]+STOCK[[#This Row],[Costo Envío (USD)]]+STOCK[[#This Row],[Comisión 10%]]</f>
        <v>19.5688888888889</v>
      </c>
      <c r="U67" s="54">
        <f>STOCK[[#This Row],[Costo total]]*1.5</f>
        <v>29.3533333333333</v>
      </c>
      <c r="V67" s="54">
        <v>28</v>
      </c>
      <c r="W67" s="54">
        <f>STOCK[[#This Row],[Precio Final]]-STOCK[[#This Row],[Costo total]]</f>
        <v>8.4311111111111</v>
      </c>
      <c r="X67" s="54">
        <f>STOCK[[#This Row],[Ganancia Unitaria]]*STOCK[[#This Row],[Salidas]]</f>
        <v>8.4311111111111</v>
      </c>
      <c r="Y67" s="54" t="s">
        <v>168</v>
      </c>
      <c r="AA67" s="54">
        <f>STOCK[[#This Row],[Costo total]]*STOCK[[#This Row],[Entradas]]</f>
        <v>19.5688888888889</v>
      </c>
      <c r="AB67" s="54">
        <f>STOCK[[#This Row],[Stock Actual]]*STOCK[[#This Row],[Costo total]]</f>
        <v>0</v>
      </c>
    </row>
    <row r="68" s="53" customFormat="1" ht="50" customHeight="1" spans="1:28">
      <c r="A68" s="53" t="s">
        <v>178</v>
      </c>
      <c r="B68" s="66"/>
      <c r="C68" s="53" t="s">
        <v>32</v>
      </c>
      <c r="D68" s="53" t="s">
        <v>44</v>
      </c>
      <c r="E68" s="67" t="s">
        <v>179</v>
      </c>
      <c r="F68" s="53" t="s">
        <v>49</v>
      </c>
      <c r="G68" s="53" t="s">
        <v>36</v>
      </c>
      <c r="H68" s="53">
        <f>STOCK[[#This Row],[Precio Final]]</f>
        <v>28</v>
      </c>
      <c r="I68" s="53">
        <f>STOCK[[#This Row],[Precio Venta Ideal (x1.5)]]</f>
        <v>29.3533333333333</v>
      </c>
      <c r="J68" s="71">
        <v>1</v>
      </c>
      <c r="K68" s="71">
        <f>SUMIFS(VENTAS[Cantidad],VENTAS[Código del producto Vendido],STOCK[[#This Row],[Code]])</f>
        <v>1</v>
      </c>
      <c r="L68" s="71">
        <f>STOCK[[#This Row],[Entradas]]-STOCK[[#This Row],[Salidas]]</f>
        <v>0</v>
      </c>
      <c r="M68" s="53">
        <f>STOCK[[#This Row],[Precio Final]]*10%</f>
        <v>2.8</v>
      </c>
      <c r="N68" s="53">
        <v>250</v>
      </c>
      <c r="O68" s="53">
        <v>18</v>
      </c>
      <c r="P68" s="53">
        <v>13.8888888888889</v>
      </c>
      <c r="Q68" s="71">
        <v>360</v>
      </c>
      <c r="R68" s="53">
        <v>8</v>
      </c>
      <c r="S68" s="53">
        <f>STOCK[[#This Row],[Peso (g)]]*STOCK[[#This Row],[Precio Envío Kilogramo (USD)]]/1000</f>
        <v>2.88</v>
      </c>
      <c r="T68" s="53">
        <f>STOCK[[#This Row],[Costo Unitario (USD)]]+STOCK[[#This Row],[Costo Envío (USD)]]+STOCK[[#This Row],[Comisión 10%]]</f>
        <v>19.5688888888889</v>
      </c>
      <c r="U68" s="53">
        <f>STOCK[[#This Row],[Costo total]]*1.5</f>
        <v>29.3533333333333</v>
      </c>
      <c r="V68" s="53">
        <v>28</v>
      </c>
      <c r="W68" s="53">
        <f>STOCK[[#This Row],[Precio Final]]-STOCK[[#This Row],[Costo total]]</f>
        <v>8.4311111111111</v>
      </c>
      <c r="X68" s="53">
        <f>STOCK[[#This Row],[Ganancia Unitaria]]*STOCK[[#This Row],[Salidas]]</f>
        <v>8.4311111111111</v>
      </c>
      <c r="Y68" s="53" t="s">
        <v>168</v>
      </c>
      <c r="AA68" s="53">
        <f>STOCK[[#This Row],[Costo total]]*STOCK[[#This Row],[Entradas]]</f>
        <v>19.5688888888889</v>
      </c>
      <c r="AB68" s="53">
        <f>STOCK[[#This Row],[Stock Actual]]*STOCK[[#This Row],[Costo total]]</f>
        <v>0</v>
      </c>
    </row>
    <row r="69" s="54" customFormat="1" ht="50" customHeight="1" spans="1:28">
      <c r="A69" s="54" t="s">
        <v>180</v>
      </c>
      <c r="B69" s="66"/>
      <c r="C69" s="54" t="s">
        <v>32</v>
      </c>
      <c r="D69" s="54" t="s">
        <v>174</v>
      </c>
      <c r="E69" s="68" t="s">
        <v>181</v>
      </c>
      <c r="F69" s="54" t="s">
        <v>40</v>
      </c>
      <c r="G69" s="54" t="s">
        <v>36</v>
      </c>
      <c r="H69" s="54">
        <f>STOCK[[#This Row],[Precio Final]]</f>
        <v>14</v>
      </c>
      <c r="I69" s="54">
        <f>STOCK[[#This Row],[Precio Venta Ideal (x1.5)]]</f>
        <v>15.3866666666667</v>
      </c>
      <c r="J69" s="72">
        <v>1</v>
      </c>
      <c r="K69" s="72">
        <f>SUMIFS(VENTAS[Cantidad],VENTAS[Código del producto Vendido],STOCK[[#This Row],[Code]])</f>
        <v>1</v>
      </c>
      <c r="L69" s="72">
        <f>STOCK[[#This Row],[Entradas]]-STOCK[[#This Row],[Salidas]]</f>
        <v>0</v>
      </c>
      <c r="M69" s="54">
        <f>STOCK[[#This Row],[Precio Final]]*10%</f>
        <v>1.4</v>
      </c>
      <c r="N69" s="54">
        <v>140</v>
      </c>
      <c r="O69" s="54">
        <v>18</v>
      </c>
      <c r="P69" s="54">
        <v>7.77777777777778</v>
      </c>
      <c r="Q69" s="72">
        <v>135</v>
      </c>
      <c r="R69" s="54">
        <v>8</v>
      </c>
      <c r="S69" s="54">
        <f>STOCK[[#This Row],[Peso (g)]]*STOCK[[#This Row],[Precio Envío Kilogramo (USD)]]/1000</f>
        <v>1.08</v>
      </c>
      <c r="T69" s="53">
        <f>STOCK[[#This Row],[Costo Unitario (USD)]]+STOCK[[#This Row],[Costo Envío (USD)]]+STOCK[[#This Row],[Comisión 10%]]</f>
        <v>10.2577777777778</v>
      </c>
      <c r="U69" s="54">
        <f>STOCK[[#This Row],[Costo total]]*1.5</f>
        <v>15.3866666666667</v>
      </c>
      <c r="V69" s="54">
        <v>14</v>
      </c>
      <c r="W69" s="54">
        <f>STOCK[[#This Row],[Precio Final]]-STOCK[[#This Row],[Costo total]]</f>
        <v>3.74222222222222</v>
      </c>
      <c r="X69" s="54">
        <f>STOCK[[#This Row],[Ganancia Unitaria]]*STOCK[[#This Row],[Salidas]]</f>
        <v>3.74222222222222</v>
      </c>
      <c r="Y69" s="54" t="s">
        <v>168</v>
      </c>
      <c r="AA69" s="54">
        <f>STOCK[[#This Row],[Costo total]]*STOCK[[#This Row],[Entradas]]</f>
        <v>10.2577777777778</v>
      </c>
      <c r="AB69" s="54">
        <f>STOCK[[#This Row],[Stock Actual]]*STOCK[[#This Row],[Costo total]]</f>
        <v>0</v>
      </c>
    </row>
    <row r="70" s="53" customFormat="1" ht="50" customHeight="1" spans="1:28">
      <c r="A70" s="53" t="s">
        <v>182</v>
      </c>
      <c r="B70" s="66"/>
      <c r="C70" s="53" t="s">
        <v>32</v>
      </c>
      <c r="D70" s="53" t="s">
        <v>174</v>
      </c>
      <c r="E70" s="67" t="s">
        <v>181</v>
      </c>
      <c r="F70" s="53" t="s">
        <v>49</v>
      </c>
      <c r="G70" s="53" t="s">
        <v>36</v>
      </c>
      <c r="H70" s="53">
        <f>STOCK[[#This Row],[Precio Final]]</f>
        <v>14</v>
      </c>
      <c r="I70" s="53">
        <f>STOCK[[#This Row],[Precio Venta Ideal (x1.5)]]</f>
        <v>15.4466666666667</v>
      </c>
      <c r="J70" s="71">
        <v>1</v>
      </c>
      <c r="K70" s="71">
        <f>SUMIFS(VENTAS[Cantidad],VENTAS[Código del producto Vendido],STOCK[[#This Row],[Code]])</f>
        <v>1</v>
      </c>
      <c r="L70" s="71">
        <f>STOCK[[#This Row],[Entradas]]-STOCK[[#This Row],[Salidas]]</f>
        <v>0</v>
      </c>
      <c r="M70" s="53">
        <f>STOCK[[#This Row],[Precio Final]]*10%</f>
        <v>1.4</v>
      </c>
      <c r="N70" s="53">
        <v>140</v>
      </c>
      <c r="O70" s="53">
        <v>18</v>
      </c>
      <c r="P70" s="53">
        <v>7.77777777777778</v>
      </c>
      <c r="Q70" s="71">
        <v>140</v>
      </c>
      <c r="R70" s="53">
        <v>8</v>
      </c>
      <c r="S70" s="53">
        <f>STOCK[[#This Row],[Peso (g)]]*STOCK[[#This Row],[Precio Envío Kilogramo (USD)]]/1000</f>
        <v>1.12</v>
      </c>
      <c r="T70" s="53">
        <f>STOCK[[#This Row],[Costo Unitario (USD)]]+STOCK[[#This Row],[Costo Envío (USD)]]+STOCK[[#This Row],[Comisión 10%]]</f>
        <v>10.2977777777778</v>
      </c>
      <c r="U70" s="53">
        <f>STOCK[[#This Row],[Costo total]]*1.5</f>
        <v>15.4466666666667</v>
      </c>
      <c r="V70" s="53">
        <v>14</v>
      </c>
      <c r="W70" s="53">
        <f>STOCK[[#This Row],[Precio Final]]-STOCK[[#This Row],[Costo total]]</f>
        <v>3.70222222222222</v>
      </c>
      <c r="X70" s="53">
        <f>STOCK[[#This Row],[Ganancia Unitaria]]*STOCK[[#This Row],[Salidas]]</f>
        <v>3.70222222222222</v>
      </c>
      <c r="Y70" s="53" t="s">
        <v>168</v>
      </c>
      <c r="AA70" s="53">
        <f>STOCK[[#This Row],[Costo total]]*STOCK[[#This Row],[Entradas]]</f>
        <v>10.2977777777778</v>
      </c>
      <c r="AB70" s="53">
        <f>STOCK[[#This Row],[Stock Actual]]*STOCK[[#This Row],[Costo total]]</f>
        <v>0</v>
      </c>
    </row>
    <row r="71" s="54" customFormat="1" ht="50" customHeight="1" spans="1:28">
      <c r="A71" s="54" t="s">
        <v>183</v>
      </c>
      <c r="B71" s="66"/>
      <c r="C71" s="54" t="s">
        <v>32</v>
      </c>
      <c r="D71" s="54" t="s">
        <v>174</v>
      </c>
      <c r="E71" s="68" t="s">
        <v>184</v>
      </c>
      <c r="F71" s="54" t="s">
        <v>46</v>
      </c>
      <c r="G71" s="54" t="s">
        <v>36</v>
      </c>
      <c r="H71" s="54">
        <f>STOCK[[#This Row],[Precio Final]]</f>
        <v>14</v>
      </c>
      <c r="I71" s="54">
        <f>STOCK[[#This Row],[Precio Venta Ideal (x1.5)]]</f>
        <v>15.3866666666667</v>
      </c>
      <c r="J71" s="72">
        <v>1</v>
      </c>
      <c r="K71" s="72">
        <f>SUMIFS(VENTAS[Cantidad],VENTAS[Código del producto Vendido],STOCK[[#This Row],[Code]])</f>
        <v>1</v>
      </c>
      <c r="L71" s="72">
        <f>STOCK[[#This Row],[Entradas]]-STOCK[[#This Row],[Salidas]]</f>
        <v>0</v>
      </c>
      <c r="M71" s="54">
        <f>STOCK[[#This Row],[Precio Final]]*10%</f>
        <v>1.4</v>
      </c>
      <c r="N71" s="54">
        <v>140</v>
      </c>
      <c r="O71" s="54">
        <v>18</v>
      </c>
      <c r="P71" s="54">
        <v>7.77777777777778</v>
      </c>
      <c r="Q71" s="72">
        <v>135</v>
      </c>
      <c r="R71" s="54">
        <v>8</v>
      </c>
      <c r="S71" s="54">
        <f>STOCK[[#This Row],[Peso (g)]]*STOCK[[#This Row],[Precio Envío Kilogramo (USD)]]/1000</f>
        <v>1.08</v>
      </c>
      <c r="T71" s="53">
        <f>STOCK[[#This Row],[Costo Unitario (USD)]]+STOCK[[#This Row],[Costo Envío (USD)]]+STOCK[[#This Row],[Comisión 10%]]</f>
        <v>10.2577777777778</v>
      </c>
      <c r="U71" s="54">
        <f>STOCK[[#This Row],[Costo total]]*1.5</f>
        <v>15.3866666666667</v>
      </c>
      <c r="V71" s="54">
        <v>14</v>
      </c>
      <c r="W71" s="54">
        <f>STOCK[[#This Row],[Precio Final]]-STOCK[[#This Row],[Costo total]]</f>
        <v>3.74222222222222</v>
      </c>
      <c r="X71" s="54">
        <f>STOCK[[#This Row],[Ganancia Unitaria]]*STOCK[[#This Row],[Salidas]]</f>
        <v>3.74222222222222</v>
      </c>
      <c r="Y71" s="54" t="s">
        <v>168</v>
      </c>
      <c r="AA71" s="54">
        <f>STOCK[[#This Row],[Costo total]]*STOCK[[#This Row],[Entradas]]</f>
        <v>10.2577777777778</v>
      </c>
      <c r="AB71" s="54">
        <f>STOCK[[#This Row],[Stock Actual]]*STOCK[[#This Row],[Costo total]]</f>
        <v>0</v>
      </c>
    </row>
    <row r="72" s="53" customFormat="1" ht="50" customHeight="1" spans="1:28">
      <c r="A72" s="53" t="s">
        <v>185</v>
      </c>
      <c r="B72" s="66"/>
      <c r="C72" s="53" t="s">
        <v>32</v>
      </c>
      <c r="D72" s="53" t="s">
        <v>174</v>
      </c>
      <c r="E72" s="67" t="s">
        <v>186</v>
      </c>
      <c r="F72" s="53" t="s">
        <v>187</v>
      </c>
      <c r="G72" s="53" t="s">
        <v>36</v>
      </c>
      <c r="H72" s="53">
        <f>STOCK[[#This Row],[Precio Final]]</f>
        <v>12</v>
      </c>
      <c r="I72" s="53">
        <f>STOCK[[#This Row],[Precio Venta Ideal (x1.5)]]</f>
        <v>14.7866666666667</v>
      </c>
      <c r="J72" s="71">
        <v>1</v>
      </c>
      <c r="K72" s="71">
        <f>SUMIFS(VENTAS[Cantidad],VENTAS[Código del producto Vendido],STOCK[[#This Row],[Code]])</f>
        <v>1</v>
      </c>
      <c r="L72" s="71">
        <f>STOCK[[#This Row],[Entradas]]-STOCK[[#This Row],[Salidas]]</f>
        <v>0</v>
      </c>
      <c r="M72" s="53">
        <f>STOCK[[#This Row],[Precio Final]]*10%</f>
        <v>1.2</v>
      </c>
      <c r="N72" s="53">
        <v>140</v>
      </c>
      <c r="O72" s="53">
        <v>18</v>
      </c>
      <c r="P72" s="53">
        <v>7.77777777777778</v>
      </c>
      <c r="Q72" s="71">
        <v>110</v>
      </c>
      <c r="R72" s="53">
        <v>8</v>
      </c>
      <c r="S72" s="53">
        <f>STOCK[[#This Row],[Peso (g)]]*STOCK[[#This Row],[Precio Envío Kilogramo (USD)]]/1000</f>
        <v>0.88</v>
      </c>
      <c r="T72" s="53">
        <f>STOCK[[#This Row],[Costo Unitario (USD)]]+STOCK[[#This Row],[Costo Envío (USD)]]+STOCK[[#This Row],[Comisión 10%]]</f>
        <v>9.85777777777778</v>
      </c>
      <c r="U72" s="53">
        <f>STOCK[[#This Row],[Costo total]]*1.5</f>
        <v>14.7866666666667</v>
      </c>
      <c r="V72" s="53">
        <v>12</v>
      </c>
      <c r="W72" s="53">
        <f>STOCK[[#This Row],[Precio Final]]-STOCK[[#This Row],[Costo total]]</f>
        <v>2.14222222222222</v>
      </c>
      <c r="X72" s="53">
        <f>STOCK[[#This Row],[Ganancia Unitaria]]*STOCK[[#This Row],[Salidas]]</f>
        <v>2.14222222222222</v>
      </c>
      <c r="Y72" s="53" t="s">
        <v>168</v>
      </c>
      <c r="AA72" s="53">
        <f>STOCK[[#This Row],[Costo total]]*STOCK[[#This Row],[Entradas]]</f>
        <v>9.85777777777778</v>
      </c>
      <c r="AB72" s="53">
        <f>STOCK[[#This Row],[Stock Actual]]*STOCK[[#This Row],[Costo total]]</f>
        <v>0</v>
      </c>
    </row>
    <row r="73" s="54" customFormat="1" ht="50" customHeight="1" spans="1:28">
      <c r="A73" s="54" t="s">
        <v>188</v>
      </c>
      <c r="B73" s="66"/>
      <c r="C73" s="54" t="s">
        <v>32</v>
      </c>
      <c r="D73" s="54" t="s">
        <v>174</v>
      </c>
      <c r="E73" s="68" t="s">
        <v>189</v>
      </c>
      <c r="F73" s="54" t="s">
        <v>190</v>
      </c>
      <c r="G73" s="54" t="s">
        <v>36</v>
      </c>
      <c r="H73" s="54">
        <f>STOCK[[#This Row],[Precio Final]]</f>
        <v>14</v>
      </c>
      <c r="I73" s="54">
        <f>STOCK[[#This Row],[Precio Venta Ideal (x1.5)]]</f>
        <v>15.4466666666667</v>
      </c>
      <c r="J73" s="72">
        <v>1</v>
      </c>
      <c r="K73" s="72">
        <f>SUMIFS(VENTAS[Cantidad],VENTAS[Código del producto Vendido],STOCK[[#This Row],[Code]])</f>
        <v>1</v>
      </c>
      <c r="L73" s="72">
        <f>STOCK[[#This Row],[Entradas]]-STOCK[[#This Row],[Salidas]]</f>
        <v>0</v>
      </c>
      <c r="M73" s="54">
        <f>STOCK[[#This Row],[Precio Final]]*10%</f>
        <v>1.4</v>
      </c>
      <c r="N73" s="54">
        <v>140</v>
      </c>
      <c r="O73" s="54">
        <v>18</v>
      </c>
      <c r="P73" s="54">
        <v>7.77777777777778</v>
      </c>
      <c r="Q73" s="72">
        <v>140</v>
      </c>
      <c r="R73" s="54">
        <v>8</v>
      </c>
      <c r="S73" s="54">
        <f>STOCK[[#This Row],[Peso (g)]]*STOCK[[#This Row],[Precio Envío Kilogramo (USD)]]/1000</f>
        <v>1.12</v>
      </c>
      <c r="T73" s="53">
        <f>STOCK[[#This Row],[Costo Unitario (USD)]]+STOCK[[#This Row],[Costo Envío (USD)]]+STOCK[[#This Row],[Comisión 10%]]</f>
        <v>10.2977777777778</v>
      </c>
      <c r="U73" s="54">
        <f>STOCK[[#This Row],[Costo total]]*1.5</f>
        <v>15.4466666666667</v>
      </c>
      <c r="V73" s="54">
        <v>14</v>
      </c>
      <c r="W73" s="54">
        <f>STOCK[[#This Row],[Precio Final]]-STOCK[[#This Row],[Costo total]]</f>
        <v>3.70222222222222</v>
      </c>
      <c r="X73" s="54">
        <f>STOCK[[#This Row],[Ganancia Unitaria]]*STOCK[[#This Row],[Salidas]]</f>
        <v>3.70222222222222</v>
      </c>
      <c r="Y73" s="54" t="s">
        <v>168</v>
      </c>
      <c r="AA73" s="54">
        <f>STOCK[[#This Row],[Costo total]]*STOCK[[#This Row],[Entradas]]</f>
        <v>10.2977777777778</v>
      </c>
      <c r="AB73" s="54">
        <f>STOCK[[#This Row],[Stock Actual]]*STOCK[[#This Row],[Costo total]]</f>
        <v>0</v>
      </c>
    </row>
    <row r="74" s="53" customFormat="1" ht="50" customHeight="1" spans="1:28">
      <c r="A74" s="53" t="s">
        <v>191</v>
      </c>
      <c r="B74" s="66"/>
      <c r="C74" s="53" t="s">
        <v>32</v>
      </c>
      <c r="D74" s="53" t="s">
        <v>152</v>
      </c>
      <c r="E74" s="67" t="s">
        <v>192</v>
      </c>
      <c r="F74" s="53" t="s">
        <v>46</v>
      </c>
      <c r="G74" s="53" t="s">
        <v>36</v>
      </c>
      <c r="H74" s="53">
        <f>STOCK[[#This Row],[Precio Final]]</f>
        <v>23</v>
      </c>
      <c r="I74" s="53">
        <f>STOCK[[#This Row],[Precio Venta Ideal (x1.5)]]</f>
        <v>23.0566666666667</v>
      </c>
      <c r="J74" s="71">
        <v>1</v>
      </c>
      <c r="K74" s="71">
        <f>SUMIFS(VENTAS[Cantidad],VENTAS[Código del producto Vendido],STOCK[[#This Row],[Code]])</f>
        <v>1</v>
      </c>
      <c r="L74" s="71">
        <f>STOCK[[#This Row],[Entradas]]-STOCK[[#This Row],[Salidas]]</f>
        <v>0</v>
      </c>
      <c r="M74" s="53">
        <f>STOCK[[#This Row],[Precio Final]]*10%</f>
        <v>2.3</v>
      </c>
      <c r="N74" s="53">
        <v>200</v>
      </c>
      <c r="O74" s="53">
        <v>18</v>
      </c>
      <c r="P74" s="53">
        <v>11.1111111111111</v>
      </c>
      <c r="Q74" s="71">
        <v>245</v>
      </c>
      <c r="R74" s="53">
        <v>8</v>
      </c>
      <c r="S74" s="53">
        <f>STOCK[[#This Row],[Peso (g)]]*STOCK[[#This Row],[Precio Envío Kilogramo (USD)]]/1000</f>
        <v>1.96</v>
      </c>
      <c r="T74" s="53">
        <f>STOCK[[#This Row],[Costo Unitario (USD)]]+STOCK[[#This Row],[Costo Envío (USD)]]+STOCK[[#This Row],[Comisión 10%]]</f>
        <v>15.3711111111111</v>
      </c>
      <c r="U74" s="53">
        <f>STOCK[[#This Row],[Costo total]]*1.5</f>
        <v>23.0566666666667</v>
      </c>
      <c r="V74" s="53">
        <v>23</v>
      </c>
      <c r="W74" s="53">
        <f>STOCK[[#This Row],[Precio Final]]-STOCK[[#This Row],[Costo total]]</f>
        <v>7.6288888888889</v>
      </c>
      <c r="X74" s="53">
        <f>STOCK[[#This Row],[Ganancia Unitaria]]*STOCK[[#This Row],[Salidas]]</f>
        <v>7.6288888888889</v>
      </c>
      <c r="Y74" s="53" t="s">
        <v>168</v>
      </c>
      <c r="AA74" s="53">
        <f>STOCK[[#This Row],[Costo total]]*STOCK[[#This Row],[Entradas]]</f>
        <v>15.3711111111111</v>
      </c>
      <c r="AB74" s="53">
        <f>STOCK[[#This Row],[Stock Actual]]*STOCK[[#This Row],[Costo total]]</f>
        <v>0</v>
      </c>
    </row>
    <row r="75" s="54" customFormat="1" ht="50" customHeight="1" spans="1:28">
      <c r="A75" s="54" t="s">
        <v>193</v>
      </c>
      <c r="B75" s="66"/>
      <c r="C75" s="54" t="s">
        <v>32</v>
      </c>
      <c r="D75" s="54" t="s">
        <v>152</v>
      </c>
      <c r="E75" s="68" t="s">
        <v>192</v>
      </c>
      <c r="F75" s="54" t="s">
        <v>62</v>
      </c>
      <c r="G75" s="54" t="s">
        <v>36</v>
      </c>
      <c r="H75" s="54">
        <f>STOCK[[#This Row],[Precio Final]]</f>
        <v>23</v>
      </c>
      <c r="I75" s="54">
        <f>STOCK[[#This Row],[Precio Venta Ideal (x1.5)]]</f>
        <v>23.1766666666666</v>
      </c>
      <c r="J75" s="72">
        <v>1</v>
      </c>
      <c r="K75" s="72">
        <f>SUMIFS(VENTAS[Cantidad],VENTAS[Código del producto Vendido],STOCK[[#This Row],[Code]])</f>
        <v>1</v>
      </c>
      <c r="L75" s="72">
        <f>STOCK[[#This Row],[Entradas]]-STOCK[[#This Row],[Salidas]]</f>
        <v>0</v>
      </c>
      <c r="M75" s="54">
        <f>STOCK[[#This Row],[Precio Final]]*10%</f>
        <v>2.3</v>
      </c>
      <c r="N75" s="54">
        <v>200</v>
      </c>
      <c r="O75" s="54">
        <v>18</v>
      </c>
      <c r="P75" s="54">
        <v>11.1111111111111</v>
      </c>
      <c r="Q75" s="72">
        <v>255</v>
      </c>
      <c r="R75" s="54">
        <v>8</v>
      </c>
      <c r="S75" s="54">
        <f>STOCK[[#This Row],[Peso (g)]]*STOCK[[#This Row],[Precio Envío Kilogramo (USD)]]/1000</f>
        <v>2.04</v>
      </c>
      <c r="T75" s="53">
        <f>STOCK[[#This Row],[Costo Unitario (USD)]]+STOCK[[#This Row],[Costo Envío (USD)]]+STOCK[[#This Row],[Comisión 10%]]</f>
        <v>15.4511111111111</v>
      </c>
      <c r="U75" s="54">
        <f>STOCK[[#This Row],[Costo total]]*1.5</f>
        <v>23.1766666666666</v>
      </c>
      <c r="V75" s="54">
        <v>23</v>
      </c>
      <c r="W75" s="54">
        <f>STOCK[[#This Row],[Precio Final]]-STOCK[[#This Row],[Costo total]]</f>
        <v>7.5488888888889</v>
      </c>
      <c r="X75" s="54">
        <f>STOCK[[#This Row],[Ganancia Unitaria]]*STOCK[[#This Row],[Salidas]]</f>
        <v>7.5488888888889</v>
      </c>
      <c r="Y75" s="54" t="s">
        <v>168</v>
      </c>
      <c r="AA75" s="54">
        <f>STOCK[[#This Row],[Costo total]]*STOCK[[#This Row],[Entradas]]</f>
        <v>15.4511111111111</v>
      </c>
      <c r="AB75" s="54">
        <f>STOCK[[#This Row],[Stock Actual]]*STOCK[[#This Row],[Costo total]]</f>
        <v>0</v>
      </c>
    </row>
    <row r="76" s="53" customFormat="1" ht="50" customHeight="1" spans="1:28">
      <c r="A76" s="53" t="s">
        <v>194</v>
      </c>
      <c r="B76" s="66"/>
      <c r="C76" s="53" t="s">
        <v>32</v>
      </c>
      <c r="D76" s="53" t="s">
        <v>152</v>
      </c>
      <c r="E76" s="67" t="s">
        <v>192</v>
      </c>
      <c r="F76" s="53" t="s">
        <v>49</v>
      </c>
      <c r="G76" s="53" t="s">
        <v>36</v>
      </c>
      <c r="H76" s="53">
        <f>STOCK[[#This Row],[Precio Final]]</f>
        <v>23</v>
      </c>
      <c r="I76" s="53">
        <f>STOCK[[#This Row],[Precio Venta Ideal (x1.5)]]</f>
        <v>23.1766666666666</v>
      </c>
      <c r="J76" s="71">
        <v>1</v>
      </c>
      <c r="K76" s="71">
        <f>SUMIFS(VENTAS[Cantidad],VENTAS[Código del producto Vendido],STOCK[[#This Row],[Code]])</f>
        <v>1</v>
      </c>
      <c r="L76" s="71">
        <f>STOCK[[#This Row],[Entradas]]-STOCK[[#This Row],[Salidas]]</f>
        <v>0</v>
      </c>
      <c r="M76" s="53">
        <f>STOCK[[#This Row],[Precio Final]]*10%</f>
        <v>2.3</v>
      </c>
      <c r="N76" s="53">
        <v>200</v>
      </c>
      <c r="O76" s="53">
        <v>18</v>
      </c>
      <c r="P76" s="53">
        <v>11.1111111111111</v>
      </c>
      <c r="Q76" s="71">
        <v>255</v>
      </c>
      <c r="R76" s="53">
        <v>8</v>
      </c>
      <c r="S76" s="53">
        <f>STOCK[[#This Row],[Peso (g)]]*STOCK[[#This Row],[Precio Envío Kilogramo (USD)]]/1000</f>
        <v>2.04</v>
      </c>
      <c r="T76" s="53">
        <f>STOCK[[#This Row],[Costo Unitario (USD)]]+STOCK[[#This Row],[Costo Envío (USD)]]+STOCK[[#This Row],[Comisión 10%]]</f>
        <v>15.4511111111111</v>
      </c>
      <c r="U76" s="53">
        <f>STOCK[[#This Row],[Costo total]]*1.5</f>
        <v>23.1766666666666</v>
      </c>
      <c r="V76" s="53">
        <v>23</v>
      </c>
      <c r="W76" s="53">
        <f>STOCK[[#This Row],[Precio Final]]-STOCK[[#This Row],[Costo total]]</f>
        <v>7.5488888888889</v>
      </c>
      <c r="X76" s="53">
        <f>STOCK[[#This Row],[Ganancia Unitaria]]*STOCK[[#This Row],[Salidas]]</f>
        <v>7.5488888888889</v>
      </c>
      <c r="Y76" s="53" t="s">
        <v>168</v>
      </c>
      <c r="AA76" s="53">
        <f>STOCK[[#This Row],[Costo total]]*STOCK[[#This Row],[Entradas]]</f>
        <v>15.4511111111111</v>
      </c>
      <c r="AB76" s="53">
        <f>STOCK[[#This Row],[Stock Actual]]*STOCK[[#This Row],[Costo total]]</f>
        <v>0</v>
      </c>
    </row>
    <row r="77" s="54" customFormat="1" ht="50" customHeight="1" spans="1:28">
      <c r="A77" s="54" t="s">
        <v>195</v>
      </c>
      <c r="B77" s="66"/>
      <c r="C77" s="54" t="s">
        <v>32</v>
      </c>
      <c r="D77" s="54" t="s">
        <v>196</v>
      </c>
      <c r="E77" s="68" t="s">
        <v>197</v>
      </c>
      <c r="F77" s="54" t="s">
        <v>49</v>
      </c>
      <c r="G77" s="54" t="s">
        <v>36</v>
      </c>
      <c r="H77" s="54">
        <f>STOCK[[#This Row],[Precio Final]]</f>
        <v>12</v>
      </c>
      <c r="I77" s="54">
        <f>STOCK[[#This Row],[Precio Venta Ideal (x1.5)]]</f>
        <v>12.53</v>
      </c>
      <c r="J77" s="72">
        <v>1</v>
      </c>
      <c r="K77" s="72">
        <f>SUMIFS(VENTAS[Cantidad],VENTAS[Código del producto Vendido],STOCK[[#This Row],[Code]])</f>
        <v>0</v>
      </c>
      <c r="L77" s="72">
        <f>STOCK[[#This Row],[Entradas]]-STOCK[[#This Row],[Salidas]]</f>
        <v>1</v>
      </c>
      <c r="M77" s="54">
        <f>STOCK[[#This Row],[Precio Final]]*10%</f>
        <v>1.2</v>
      </c>
      <c r="N77" s="54">
        <v>105</v>
      </c>
      <c r="O77" s="54">
        <v>18</v>
      </c>
      <c r="P77" s="54">
        <v>5.83333333333333</v>
      </c>
      <c r="Q77" s="72">
        <v>165</v>
      </c>
      <c r="R77" s="54">
        <v>8</v>
      </c>
      <c r="S77" s="54">
        <f>STOCK[[#This Row],[Peso (g)]]*STOCK[[#This Row],[Precio Envío Kilogramo (USD)]]/1000</f>
        <v>1.32</v>
      </c>
      <c r="T77" s="53">
        <f>STOCK[[#This Row],[Costo Unitario (USD)]]+STOCK[[#This Row],[Costo Envío (USD)]]+STOCK[[#This Row],[Comisión 10%]]</f>
        <v>8.35333333333333</v>
      </c>
      <c r="U77" s="54">
        <f>STOCK[[#This Row],[Costo total]]*1.5</f>
        <v>12.53</v>
      </c>
      <c r="V77" s="54">
        <v>12</v>
      </c>
      <c r="W77" s="54">
        <f>STOCK[[#This Row],[Precio Final]]-STOCK[[#This Row],[Costo total]]</f>
        <v>3.64666666666667</v>
      </c>
      <c r="X77" s="54">
        <f>STOCK[[#This Row],[Ganancia Unitaria]]*STOCK[[#This Row],[Salidas]]</f>
        <v>0</v>
      </c>
      <c r="Y77" s="54" t="s">
        <v>168</v>
      </c>
      <c r="AA77" s="54">
        <f>STOCK[[#This Row],[Costo total]]*STOCK[[#This Row],[Entradas]]</f>
        <v>8.35333333333333</v>
      </c>
      <c r="AB77" s="54">
        <f>STOCK[[#This Row],[Stock Actual]]*STOCK[[#This Row],[Costo total]]</f>
        <v>8.35333333333333</v>
      </c>
    </row>
    <row r="78" s="53" customFormat="1" ht="50" customHeight="1" spans="1:28">
      <c r="A78" s="53" t="s">
        <v>198</v>
      </c>
      <c r="B78" s="66"/>
      <c r="C78" s="53" t="s">
        <v>32</v>
      </c>
      <c r="D78" s="54" t="s">
        <v>199</v>
      </c>
      <c r="E78" s="67" t="s">
        <v>197</v>
      </c>
      <c r="F78" s="53" t="s">
        <v>46</v>
      </c>
      <c r="G78" s="53" t="s">
        <v>36</v>
      </c>
      <c r="H78" s="53">
        <f>STOCK[[#This Row],[Precio Final]]</f>
        <v>12</v>
      </c>
      <c r="I78" s="53">
        <f>STOCK[[#This Row],[Precio Venta Ideal (x1.5)]]</f>
        <v>12.71</v>
      </c>
      <c r="J78" s="71">
        <v>2</v>
      </c>
      <c r="K78" s="71">
        <f>SUMIFS(VENTAS[Cantidad],VENTAS[Código del producto Vendido],STOCK[[#This Row],[Code]])</f>
        <v>2</v>
      </c>
      <c r="L78" s="71">
        <f>STOCK[[#This Row],[Entradas]]-STOCK[[#This Row],[Salidas]]</f>
        <v>0</v>
      </c>
      <c r="M78" s="53">
        <f>STOCK[[#This Row],[Precio Final]]*10%</f>
        <v>1.2</v>
      </c>
      <c r="N78" s="53">
        <v>105</v>
      </c>
      <c r="O78" s="53">
        <v>18</v>
      </c>
      <c r="P78" s="53">
        <v>5.83333333333333</v>
      </c>
      <c r="Q78" s="71">
        <v>180</v>
      </c>
      <c r="R78" s="53">
        <v>8</v>
      </c>
      <c r="S78" s="53">
        <f>STOCK[[#This Row],[Peso (g)]]*STOCK[[#This Row],[Precio Envío Kilogramo (USD)]]/1000</f>
        <v>1.44</v>
      </c>
      <c r="T78" s="53">
        <f>STOCK[[#This Row],[Costo Unitario (USD)]]+STOCK[[#This Row],[Costo Envío (USD)]]+STOCK[[#This Row],[Comisión 10%]]</f>
        <v>8.47333333333333</v>
      </c>
      <c r="U78" s="53">
        <f>STOCK[[#This Row],[Costo total]]*1.5</f>
        <v>12.71</v>
      </c>
      <c r="V78" s="53">
        <v>12</v>
      </c>
      <c r="W78" s="53">
        <f>STOCK[[#This Row],[Precio Final]]-STOCK[[#This Row],[Costo total]]</f>
        <v>3.52666666666667</v>
      </c>
      <c r="X78" s="53">
        <f>STOCK[[#This Row],[Ganancia Unitaria]]*STOCK[[#This Row],[Salidas]]</f>
        <v>7.05333333333334</v>
      </c>
      <c r="Y78" s="53" t="s">
        <v>168</v>
      </c>
      <c r="AA78" s="53">
        <f>STOCK[[#This Row],[Costo total]]*STOCK[[#This Row],[Entradas]]</f>
        <v>16.9466666666667</v>
      </c>
      <c r="AB78" s="53">
        <f>STOCK[[#This Row],[Stock Actual]]*STOCK[[#This Row],[Costo total]]</f>
        <v>0</v>
      </c>
    </row>
    <row r="79" s="54" customFormat="1" ht="50" customHeight="1" spans="1:28">
      <c r="A79" s="54" t="s">
        <v>200</v>
      </c>
      <c r="B79" s="66"/>
      <c r="C79" s="54" t="s">
        <v>32</v>
      </c>
      <c r="D79" s="54" t="s">
        <v>44</v>
      </c>
      <c r="E79" s="68" t="s">
        <v>201</v>
      </c>
      <c r="F79" s="54" t="s">
        <v>62</v>
      </c>
      <c r="G79" s="54" t="s">
        <v>36</v>
      </c>
      <c r="H79" s="54">
        <f>STOCK[[#This Row],[Precio Final]]</f>
        <v>16</v>
      </c>
      <c r="I79" s="54">
        <f>STOCK[[#This Row],[Precio Venta Ideal (x1.5)]]</f>
        <v>13.96</v>
      </c>
      <c r="J79" s="72">
        <v>1</v>
      </c>
      <c r="K79" s="72">
        <f>SUMIFS(VENTAS[Cantidad],VENTAS[Código del producto Vendido],STOCK[[#This Row],[Code]])</f>
        <v>1</v>
      </c>
      <c r="L79" s="72">
        <f>STOCK[[#This Row],[Entradas]]-STOCK[[#This Row],[Salidas]]</f>
        <v>0</v>
      </c>
      <c r="M79" s="54">
        <f>STOCK[[#This Row],[Precio Final]]*10%</f>
        <v>1.6</v>
      </c>
      <c r="N79" s="54">
        <v>120</v>
      </c>
      <c r="O79" s="54">
        <v>18</v>
      </c>
      <c r="P79" s="54">
        <v>6.66666666666667</v>
      </c>
      <c r="Q79" s="72">
        <v>130</v>
      </c>
      <c r="R79" s="54">
        <v>8</v>
      </c>
      <c r="S79" s="54">
        <f>STOCK[[#This Row],[Peso (g)]]*STOCK[[#This Row],[Precio Envío Kilogramo (USD)]]/1000</f>
        <v>1.04</v>
      </c>
      <c r="T79" s="53">
        <f>STOCK[[#This Row],[Costo Unitario (USD)]]+STOCK[[#This Row],[Costo Envío (USD)]]+STOCK[[#This Row],[Comisión 10%]]</f>
        <v>9.30666666666667</v>
      </c>
      <c r="U79" s="54">
        <f>STOCK[[#This Row],[Costo total]]*1.5</f>
        <v>13.96</v>
      </c>
      <c r="V79" s="54">
        <v>16</v>
      </c>
      <c r="W79" s="54">
        <f>STOCK[[#This Row],[Precio Final]]-STOCK[[#This Row],[Costo total]]</f>
        <v>6.69333333333333</v>
      </c>
      <c r="X79" s="54">
        <f>STOCK[[#This Row],[Ganancia Unitaria]]*STOCK[[#This Row],[Salidas]]</f>
        <v>6.69333333333333</v>
      </c>
      <c r="Y79" s="54" t="s">
        <v>168</v>
      </c>
      <c r="AA79" s="54">
        <f>STOCK[[#This Row],[Costo total]]*STOCK[[#This Row],[Entradas]]</f>
        <v>9.30666666666667</v>
      </c>
      <c r="AB79" s="54">
        <f>STOCK[[#This Row],[Stock Actual]]*STOCK[[#This Row],[Costo total]]</f>
        <v>0</v>
      </c>
    </row>
    <row r="80" s="53" customFormat="1" ht="50" customHeight="1" spans="1:28">
      <c r="A80" s="53" t="s">
        <v>202</v>
      </c>
      <c r="B80" s="66"/>
      <c r="C80" s="53" t="s">
        <v>32</v>
      </c>
      <c r="D80" s="53" t="s">
        <v>203</v>
      </c>
      <c r="E80" s="67" t="s">
        <v>204</v>
      </c>
      <c r="F80" s="53" t="s">
        <v>205</v>
      </c>
      <c r="G80" s="53" t="s">
        <v>36</v>
      </c>
      <c r="H80" s="53">
        <f>STOCK[[#This Row],[Precio Final]]</f>
        <v>18</v>
      </c>
      <c r="I80" s="53">
        <f>STOCK[[#This Row],[Precio Venta Ideal (x1.5)]]</f>
        <v>21.4733333333334</v>
      </c>
      <c r="J80" s="71">
        <v>1</v>
      </c>
      <c r="K80" s="71">
        <f>SUMIFS(VENTAS[Cantidad],VENTAS[Código del producto Vendido],STOCK[[#This Row],[Code]])</f>
        <v>1</v>
      </c>
      <c r="L80" s="71">
        <f>STOCK[[#This Row],[Entradas]]-STOCK[[#This Row],[Salidas]]</f>
        <v>0</v>
      </c>
      <c r="M80" s="53">
        <f>STOCK[[#This Row],[Precio Final]]*10%</f>
        <v>1.8</v>
      </c>
      <c r="N80" s="53">
        <v>190</v>
      </c>
      <c r="O80" s="53">
        <v>18</v>
      </c>
      <c r="P80" s="53">
        <v>10.5555555555556</v>
      </c>
      <c r="Q80" s="71">
        <v>245</v>
      </c>
      <c r="R80" s="53">
        <v>8</v>
      </c>
      <c r="S80" s="53">
        <f>STOCK[[#This Row],[Peso (g)]]*STOCK[[#This Row],[Precio Envío Kilogramo (USD)]]/1000</f>
        <v>1.96</v>
      </c>
      <c r="T80" s="53">
        <f>STOCK[[#This Row],[Costo Unitario (USD)]]+STOCK[[#This Row],[Costo Envío (USD)]]+STOCK[[#This Row],[Comisión 10%]]</f>
        <v>14.3155555555556</v>
      </c>
      <c r="U80" s="53">
        <f>STOCK[[#This Row],[Costo total]]*1.5</f>
        <v>21.4733333333334</v>
      </c>
      <c r="V80" s="53">
        <v>18</v>
      </c>
      <c r="W80" s="53">
        <f>STOCK[[#This Row],[Precio Final]]-STOCK[[#This Row],[Costo total]]</f>
        <v>3.6844444444444</v>
      </c>
      <c r="X80" s="53">
        <f>STOCK[[#This Row],[Ganancia Unitaria]]*STOCK[[#This Row],[Salidas]]</f>
        <v>3.6844444444444</v>
      </c>
      <c r="Y80" s="53" t="s">
        <v>168</v>
      </c>
      <c r="AA80" s="53">
        <f>STOCK[[#This Row],[Costo total]]*STOCK[[#This Row],[Entradas]]</f>
        <v>14.3155555555556</v>
      </c>
      <c r="AB80" s="53">
        <f>STOCK[[#This Row],[Stock Actual]]*STOCK[[#This Row],[Costo total]]</f>
        <v>0</v>
      </c>
    </row>
    <row r="81" s="54" customFormat="1" ht="50" customHeight="1" spans="1:28">
      <c r="A81" s="54" t="s">
        <v>206</v>
      </c>
      <c r="B81" s="66"/>
      <c r="C81" s="54" t="s">
        <v>32</v>
      </c>
      <c r="D81" s="54" t="s">
        <v>44</v>
      </c>
      <c r="E81" s="68" t="s">
        <v>207</v>
      </c>
      <c r="F81" s="54" t="s">
        <v>49</v>
      </c>
      <c r="G81" s="54" t="s">
        <v>36</v>
      </c>
      <c r="H81" s="54">
        <f>STOCK[[#This Row],[Precio Final]]</f>
        <v>20</v>
      </c>
      <c r="I81" s="54">
        <f>STOCK[[#This Row],[Precio Venta Ideal (x1.5)]]</f>
        <v>22.3133333333334</v>
      </c>
      <c r="J81" s="72">
        <v>1</v>
      </c>
      <c r="K81" s="72">
        <f>SUMIFS(VENTAS[Cantidad],VENTAS[Código del producto Vendido],STOCK[[#This Row],[Code]])</f>
        <v>1</v>
      </c>
      <c r="L81" s="72">
        <f>STOCK[[#This Row],[Entradas]]-STOCK[[#This Row],[Salidas]]</f>
        <v>0</v>
      </c>
      <c r="M81" s="54">
        <f>STOCK[[#This Row],[Precio Final]]*10%</f>
        <v>2</v>
      </c>
      <c r="N81" s="54">
        <v>190</v>
      </c>
      <c r="O81" s="54">
        <v>18</v>
      </c>
      <c r="P81" s="54">
        <v>10.5555555555556</v>
      </c>
      <c r="Q81" s="72">
        <v>290</v>
      </c>
      <c r="R81" s="54">
        <v>8</v>
      </c>
      <c r="S81" s="54">
        <f>STOCK[[#This Row],[Peso (g)]]*STOCK[[#This Row],[Precio Envío Kilogramo (USD)]]/1000</f>
        <v>2.32</v>
      </c>
      <c r="T81" s="53">
        <f>STOCK[[#This Row],[Costo Unitario (USD)]]+STOCK[[#This Row],[Costo Envío (USD)]]+STOCK[[#This Row],[Comisión 10%]]</f>
        <v>14.8755555555556</v>
      </c>
      <c r="U81" s="54">
        <f>STOCK[[#This Row],[Costo total]]*1.5</f>
        <v>22.3133333333334</v>
      </c>
      <c r="V81" s="54">
        <v>20</v>
      </c>
      <c r="W81" s="54">
        <f>STOCK[[#This Row],[Precio Final]]-STOCK[[#This Row],[Costo total]]</f>
        <v>5.1244444444444</v>
      </c>
      <c r="X81" s="54">
        <f>STOCK[[#This Row],[Ganancia Unitaria]]*STOCK[[#This Row],[Salidas]]</f>
        <v>5.1244444444444</v>
      </c>
      <c r="Y81" s="54" t="s">
        <v>168</v>
      </c>
      <c r="AA81" s="54">
        <f>STOCK[[#This Row],[Costo total]]*STOCK[[#This Row],[Entradas]]</f>
        <v>14.8755555555556</v>
      </c>
      <c r="AB81" s="54">
        <f>STOCK[[#This Row],[Stock Actual]]*STOCK[[#This Row],[Costo total]]</f>
        <v>0</v>
      </c>
    </row>
    <row r="82" s="53" customFormat="1" ht="50" customHeight="1" spans="1:28">
      <c r="A82" s="53" t="s">
        <v>208</v>
      </c>
      <c r="B82" s="66"/>
      <c r="C82" s="53" t="s">
        <v>32</v>
      </c>
      <c r="D82" s="53" t="s">
        <v>44</v>
      </c>
      <c r="E82" s="67" t="s">
        <v>209</v>
      </c>
      <c r="F82" s="53" t="s">
        <v>88</v>
      </c>
      <c r="G82" s="53" t="s">
        <v>36</v>
      </c>
      <c r="H82" s="53">
        <f>STOCK[[#This Row],[Precio Final]]</f>
        <v>25</v>
      </c>
      <c r="I82" s="53">
        <f>STOCK[[#This Row],[Precio Venta Ideal (x1.5)]]</f>
        <v>25.5</v>
      </c>
      <c r="J82" s="71">
        <v>1</v>
      </c>
      <c r="K82" s="71">
        <f>SUMIFS(VENTAS[Cantidad],VENTAS[Código del producto Vendido],STOCK[[#This Row],[Code]])</f>
        <v>1</v>
      </c>
      <c r="L82" s="71">
        <f>STOCK[[#This Row],[Entradas]]-STOCK[[#This Row],[Salidas]]</f>
        <v>0</v>
      </c>
      <c r="M82" s="53">
        <f>STOCK[[#This Row],[Precio Final]]*10%</f>
        <v>2.5</v>
      </c>
      <c r="N82" s="53">
        <v>225</v>
      </c>
      <c r="O82" s="53">
        <v>18</v>
      </c>
      <c r="P82" s="53">
        <v>12.5</v>
      </c>
      <c r="Q82" s="71">
        <v>250</v>
      </c>
      <c r="R82" s="53">
        <v>8</v>
      </c>
      <c r="S82" s="53">
        <f>STOCK[[#This Row],[Peso (g)]]*STOCK[[#This Row],[Precio Envío Kilogramo (USD)]]/1000</f>
        <v>2</v>
      </c>
      <c r="T82" s="53">
        <f>STOCK[[#This Row],[Costo Unitario (USD)]]+STOCK[[#This Row],[Costo Envío (USD)]]+STOCK[[#This Row],[Comisión 10%]]</f>
        <v>17</v>
      </c>
      <c r="U82" s="53">
        <f>STOCK[[#This Row],[Costo total]]*1.5</f>
        <v>25.5</v>
      </c>
      <c r="V82" s="53">
        <v>25</v>
      </c>
      <c r="W82" s="53">
        <f>STOCK[[#This Row],[Precio Final]]-STOCK[[#This Row],[Costo total]]</f>
        <v>8</v>
      </c>
      <c r="X82" s="53">
        <f>STOCK[[#This Row],[Ganancia Unitaria]]*STOCK[[#This Row],[Salidas]]</f>
        <v>8</v>
      </c>
      <c r="Y82" s="53" t="s">
        <v>168</v>
      </c>
      <c r="AA82" s="53">
        <f>STOCK[[#This Row],[Costo total]]*STOCK[[#This Row],[Entradas]]</f>
        <v>17</v>
      </c>
      <c r="AB82" s="53">
        <f>STOCK[[#This Row],[Stock Actual]]*STOCK[[#This Row],[Costo total]]</f>
        <v>0</v>
      </c>
    </row>
    <row r="83" s="54" customFormat="1" ht="50" customHeight="1" spans="1:28">
      <c r="A83" s="54" t="s">
        <v>210</v>
      </c>
      <c r="B83" s="66"/>
      <c r="C83" s="54" t="s">
        <v>32</v>
      </c>
      <c r="D83" s="54" t="s">
        <v>44</v>
      </c>
      <c r="E83" s="68" t="s">
        <v>209</v>
      </c>
      <c r="F83" s="54" t="s">
        <v>211</v>
      </c>
      <c r="G83" s="54" t="s">
        <v>36</v>
      </c>
      <c r="H83" s="54">
        <f>STOCK[[#This Row],[Precio Final]]</f>
        <v>25</v>
      </c>
      <c r="I83" s="54">
        <f>STOCK[[#This Row],[Precio Venta Ideal (x1.5)]]</f>
        <v>24.84</v>
      </c>
      <c r="J83" s="72">
        <v>1</v>
      </c>
      <c r="K83" s="72">
        <f>SUMIFS(VENTAS[Cantidad],VENTAS[Código del producto Vendido],STOCK[[#This Row],[Code]])</f>
        <v>1</v>
      </c>
      <c r="L83" s="72">
        <f>STOCK[[#This Row],[Entradas]]-STOCK[[#This Row],[Salidas]]</f>
        <v>0</v>
      </c>
      <c r="M83" s="54">
        <f>STOCK[[#This Row],[Precio Final]]*10%</f>
        <v>2.5</v>
      </c>
      <c r="N83" s="54">
        <v>225</v>
      </c>
      <c r="O83" s="54">
        <v>18</v>
      </c>
      <c r="P83" s="54">
        <v>12.5</v>
      </c>
      <c r="Q83" s="72">
        <v>195</v>
      </c>
      <c r="R83" s="54">
        <v>8</v>
      </c>
      <c r="S83" s="54">
        <f>STOCK[[#This Row],[Peso (g)]]*STOCK[[#This Row],[Precio Envío Kilogramo (USD)]]/1000</f>
        <v>1.56</v>
      </c>
      <c r="T83" s="53">
        <f>STOCK[[#This Row],[Costo Unitario (USD)]]+STOCK[[#This Row],[Costo Envío (USD)]]+STOCK[[#This Row],[Comisión 10%]]</f>
        <v>16.56</v>
      </c>
      <c r="U83" s="54">
        <f>STOCK[[#This Row],[Costo total]]*1.5</f>
        <v>24.84</v>
      </c>
      <c r="V83" s="54">
        <v>25</v>
      </c>
      <c r="W83" s="54">
        <f>STOCK[[#This Row],[Precio Final]]-STOCK[[#This Row],[Costo total]]</f>
        <v>8.44</v>
      </c>
      <c r="X83" s="54">
        <f>STOCK[[#This Row],[Ganancia Unitaria]]*STOCK[[#This Row],[Salidas]]</f>
        <v>8.44</v>
      </c>
      <c r="Y83" s="54" t="s">
        <v>168</v>
      </c>
      <c r="AA83" s="54">
        <f>STOCK[[#This Row],[Costo total]]*STOCK[[#This Row],[Entradas]]</f>
        <v>16.56</v>
      </c>
      <c r="AB83" s="54">
        <f>STOCK[[#This Row],[Stock Actual]]*STOCK[[#This Row],[Costo total]]</f>
        <v>0</v>
      </c>
    </row>
    <row r="84" s="53" customFormat="1" ht="50" customHeight="1" spans="1:28">
      <c r="A84" s="53" t="s">
        <v>212</v>
      </c>
      <c r="B84" s="66"/>
      <c r="C84" s="53" t="s">
        <v>32</v>
      </c>
      <c r="D84" s="53" t="s">
        <v>213</v>
      </c>
      <c r="E84" s="67" t="s">
        <v>214</v>
      </c>
      <c r="F84" s="53" t="s">
        <v>46</v>
      </c>
      <c r="G84" s="53" t="s">
        <v>36</v>
      </c>
      <c r="H84" s="53">
        <f>STOCK[[#This Row],[Precio Final]]</f>
        <v>25</v>
      </c>
      <c r="I84" s="53">
        <f>STOCK[[#This Row],[Precio Venta Ideal (x1.5)]]</f>
        <v>25.26</v>
      </c>
      <c r="J84" s="71">
        <v>1</v>
      </c>
      <c r="K84" s="71">
        <f>SUMIFS(VENTAS[Cantidad],VENTAS[Código del producto Vendido],STOCK[[#This Row],[Code]])</f>
        <v>1</v>
      </c>
      <c r="L84" s="71">
        <f>STOCK[[#This Row],[Entradas]]-STOCK[[#This Row],[Salidas]]</f>
        <v>0</v>
      </c>
      <c r="M84" s="53">
        <f>STOCK[[#This Row],[Precio Final]]*10%</f>
        <v>2.5</v>
      </c>
      <c r="N84" s="53">
        <v>225</v>
      </c>
      <c r="O84" s="53">
        <v>18</v>
      </c>
      <c r="P84" s="53">
        <v>12.5</v>
      </c>
      <c r="Q84" s="71">
        <v>230</v>
      </c>
      <c r="R84" s="53">
        <v>8</v>
      </c>
      <c r="S84" s="53">
        <f>STOCK[[#This Row],[Peso (g)]]*STOCK[[#This Row],[Precio Envío Kilogramo (USD)]]/1000</f>
        <v>1.84</v>
      </c>
      <c r="T84" s="53">
        <f>STOCK[[#This Row],[Costo Unitario (USD)]]+STOCK[[#This Row],[Costo Envío (USD)]]+STOCK[[#This Row],[Comisión 10%]]</f>
        <v>16.84</v>
      </c>
      <c r="U84" s="53">
        <f>STOCK[[#This Row],[Costo total]]*1.5</f>
        <v>25.26</v>
      </c>
      <c r="V84" s="53">
        <v>25</v>
      </c>
      <c r="W84" s="53">
        <f>STOCK[[#This Row],[Precio Final]]-STOCK[[#This Row],[Costo total]]</f>
        <v>8.16</v>
      </c>
      <c r="X84" s="53">
        <f>STOCK[[#This Row],[Ganancia Unitaria]]*STOCK[[#This Row],[Salidas]]</f>
        <v>8.16</v>
      </c>
      <c r="Y84" s="53" t="s">
        <v>168</v>
      </c>
      <c r="AA84" s="53">
        <f>STOCK[[#This Row],[Costo total]]*STOCK[[#This Row],[Entradas]]</f>
        <v>16.84</v>
      </c>
      <c r="AB84" s="53">
        <f>STOCK[[#This Row],[Stock Actual]]*STOCK[[#This Row],[Costo total]]</f>
        <v>0</v>
      </c>
    </row>
    <row r="85" s="54" customFormat="1" ht="50" customHeight="1" spans="1:29">
      <c r="A85" s="54" t="s">
        <v>215</v>
      </c>
      <c r="B85" s="66"/>
      <c r="C85" s="54" t="s">
        <v>32</v>
      </c>
      <c r="D85" s="54" t="s">
        <v>216</v>
      </c>
      <c r="E85" s="68" t="s">
        <v>217</v>
      </c>
      <c r="F85" s="54" t="s">
        <v>49</v>
      </c>
      <c r="G85" s="54" t="s">
        <v>36</v>
      </c>
      <c r="H85" s="54">
        <f>STOCK[[#This Row],[Precio Final]]</f>
        <v>30</v>
      </c>
      <c r="I85" s="54">
        <f>STOCK[[#This Row],[Precio Venta Ideal (x1.5)]]</f>
        <v>31.3766666666667</v>
      </c>
      <c r="J85" s="72">
        <v>1</v>
      </c>
      <c r="K85" s="72">
        <f>SUMIFS(VENTAS[Cantidad],VENTAS[Código del producto Vendido],STOCK[[#This Row],[Code]])</f>
        <v>0</v>
      </c>
      <c r="L85" s="72">
        <f>STOCK[[#This Row],[Entradas]]-STOCK[[#This Row],[Salidas]]</f>
        <v>1</v>
      </c>
      <c r="M85" s="54">
        <f>STOCK[[#This Row],[Precio Final]]*10%</f>
        <v>3</v>
      </c>
      <c r="N85" s="54">
        <v>275</v>
      </c>
      <c r="O85" s="54">
        <v>18</v>
      </c>
      <c r="P85" s="54">
        <v>15.2777777777778</v>
      </c>
      <c r="Q85" s="72">
        <v>330</v>
      </c>
      <c r="R85" s="54">
        <v>8</v>
      </c>
      <c r="S85" s="54">
        <f>STOCK[[#This Row],[Peso (g)]]*STOCK[[#This Row],[Precio Envío Kilogramo (USD)]]/1000</f>
        <v>2.64</v>
      </c>
      <c r="T85" s="53">
        <f>STOCK[[#This Row],[Costo Unitario (USD)]]+STOCK[[#This Row],[Costo Envío (USD)]]+STOCK[[#This Row],[Comisión 10%]]</f>
        <v>20.9177777777778</v>
      </c>
      <c r="U85" s="54">
        <f>STOCK[[#This Row],[Costo total]]*1.5</f>
        <v>31.3766666666667</v>
      </c>
      <c r="V85" s="54">
        <v>30</v>
      </c>
      <c r="W85" s="54">
        <f>STOCK[[#This Row],[Precio Final]]-STOCK[[#This Row],[Costo total]]</f>
        <v>9.0822222222222</v>
      </c>
      <c r="X85" s="54">
        <f>STOCK[[#This Row],[Ganancia Unitaria]]*STOCK[[#This Row],[Salidas]]</f>
        <v>0</v>
      </c>
      <c r="Y85" s="54" t="s">
        <v>168</v>
      </c>
      <c r="AA85" s="54">
        <f>STOCK[[#This Row],[Costo total]]*STOCK[[#This Row],[Entradas]]</f>
        <v>20.9177777777778</v>
      </c>
      <c r="AB85" s="54">
        <f>STOCK[[#This Row],[Stock Actual]]*STOCK[[#This Row],[Costo total]]</f>
        <v>20.9177777777778</v>
      </c>
      <c r="AC85" s="54">
        <v>28</v>
      </c>
    </row>
    <row r="86" s="53" customFormat="1" ht="50" customHeight="1" spans="1:29">
      <c r="A86" s="53" t="s">
        <v>218</v>
      </c>
      <c r="B86" s="66"/>
      <c r="C86" s="53" t="s">
        <v>32</v>
      </c>
      <c r="D86" s="53" t="s">
        <v>216</v>
      </c>
      <c r="E86" s="67" t="s">
        <v>217</v>
      </c>
      <c r="F86" s="53" t="s">
        <v>40</v>
      </c>
      <c r="G86" s="53" t="s">
        <v>36</v>
      </c>
      <c r="H86" s="53">
        <f>STOCK[[#This Row],[Precio Final]]</f>
        <v>30</v>
      </c>
      <c r="I86" s="53">
        <f>STOCK[[#This Row],[Precio Venta Ideal (x1.5)]]</f>
        <v>31.3766666666667</v>
      </c>
      <c r="J86" s="71">
        <v>1</v>
      </c>
      <c r="K86" s="71">
        <f>SUMIFS(VENTAS[Cantidad],VENTAS[Código del producto Vendido],STOCK[[#This Row],[Code]])</f>
        <v>0</v>
      </c>
      <c r="L86" s="71">
        <f>STOCK[[#This Row],[Entradas]]-STOCK[[#This Row],[Salidas]]</f>
        <v>1</v>
      </c>
      <c r="M86" s="53">
        <f>STOCK[[#This Row],[Precio Final]]*10%</f>
        <v>3</v>
      </c>
      <c r="N86" s="53">
        <v>275</v>
      </c>
      <c r="O86" s="53">
        <v>18</v>
      </c>
      <c r="P86" s="53">
        <v>15.2777777777778</v>
      </c>
      <c r="Q86" s="71">
        <v>330</v>
      </c>
      <c r="R86" s="53">
        <v>8</v>
      </c>
      <c r="S86" s="53">
        <f>STOCK[[#This Row],[Peso (g)]]*STOCK[[#This Row],[Precio Envío Kilogramo (USD)]]/1000</f>
        <v>2.64</v>
      </c>
      <c r="T86" s="53">
        <f>STOCK[[#This Row],[Costo Unitario (USD)]]+STOCK[[#This Row],[Costo Envío (USD)]]+STOCK[[#This Row],[Comisión 10%]]</f>
        <v>20.9177777777778</v>
      </c>
      <c r="U86" s="53">
        <f>STOCK[[#This Row],[Costo total]]*1.5</f>
        <v>31.3766666666667</v>
      </c>
      <c r="V86" s="53">
        <v>30</v>
      </c>
      <c r="W86" s="53">
        <f>STOCK[[#This Row],[Precio Final]]-STOCK[[#This Row],[Costo total]]</f>
        <v>9.0822222222222</v>
      </c>
      <c r="X86" s="53">
        <f>STOCK[[#This Row],[Ganancia Unitaria]]*STOCK[[#This Row],[Salidas]]</f>
        <v>0</v>
      </c>
      <c r="Y86" s="53" t="s">
        <v>168</v>
      </c>
      <c r="AA86" s="53">
        <f>STOCK[[#This Row],[Costo total]]*STOCK[[#This Row],[Entradas]]</f>
        <v>20.9177777777778</v>
      </c>
      <c r="AB86" s="53">
        <f>STOCK[[#This Row],[Stock Actual]]*STOCK[[#This Row],[Costo total]]</f>
        <v>20.9177777777778</v>
      </c>
      <c r="AC86" s="53">
        <v>28</v>
      </c>
    </row>
    <row r="87" s="54" customFormat="1" ht="50" customHeight="1" spans="1:28">
      <c r="A87" s="54" t="s">
        <v>219</v>
      </c>
      <c r="B87" s="66"/>
      <c r="C87" s="54" t="s">
        <v>32</v>
      </c>
      <c r="D87" s="54" t="s">
        <v>174</v>
      </c>
      <c r="E87" s="68" t="s">
        <v>220</v>
      </c>
      <c r="F87" s="54" t="s">
        <v>49</v>
      </c>
      <c r="G87" s="54" t="s">
        <v>36</v>
      </c>
      <c r="H87" s="54">
        <f>STOCK[[#This Row],[Precio Final]]</f>
        <v>14</v>
      </c>
      <c r="I87" s="54">
        <f>STOCK[[#This Row],[Precio Venta Ideal (x1.5)]]</f>
        <v>15.3866666666667</v>
      </c>
      <c r="J87" s="72">
        <v>1</v>
      </c>
      <c r="K87" s="72">
        <f>SUMIFS(VENTAS[Cantidad],VENTAS[Código del producto Vendido],STOCK[[#This Row],[Code]])</f>
        <v>1</v>
      </c>
      <c r="L87" s="72">
        <f>STOCK[[#This Row],[Entradas]]-STOCK[[#This Row],[Salidas]]</f>
        <v>0</v>
      </c>
      <c r="M87" s="54">
        <f>STOCK[[#This Row],[Precio Final]]*10%</f>
        <v>1.4</v>
      </c>
      <c r="N87" s="54">
        <v>140</v>
      </c>
      <c r="O87" s="54">
        <v>18</v>
      </c>
      <c r="P87" s="54">
        <v>7.77777777777778</v>
      </c>
      <c r="Q87" s="72">
        <v>135</v>
      </c>
      <c r="R87" s="54">
        <v>8</v>
      </c>
      <c r="S87" s="54">
        <f>STOCK[[#This Row],[Peso (g)]]*STOCK[[#This Row],[Precio Envío Kilogramo (USD)]]/1000</f>
        <v>1.08</v>
      </c>
      <c r="T87" s="53">
        <f>STOCK[[#This Row],[Costo Unitario (USD)]]+STOCK[[#This Row],[Costo Envío (USD)]]+STOCK[[#This Row],[Comisión 10%]]</f>
        <v>10.2577777777778</v>
      </c>
      <c r="U87" s="54">
        <f>STOCK[[#This Row],[Costo total]]*1.5</f>
        <v>15.3866666666667</v>
      </c>
      <c r="V87" s="54">
        <v>14</v>
      </c>
      <c r="W87" s="54">
        <f>STOCK[[#This Row],[Precio Final]]-STOCK[[#This Row],[Costo total]]</f>
        <v>3.74222222222222</v>
      </c>
      <c r="X87" s="54">
        <f>STOCK[[#This Row],[Ganancia Unitaria]]*STOCK[[#This Row],[Salidas]]</f>
        <v>3.74222222222222</v>
      </c>
      <c r="Y87" s="54" t="s">
        <v>168</v>
      </c>
      <c r="AA87" s="54">
        <f>STOCK[[#This Row],[Costo total]]*STOCK[[#This Row],[Entradas]]</f>
        <v>10.2577777777778</v>
      </c>
      <c r="AB87" s="54">
        <f>STOCK[[#This Row],[Stock Actual]]*STOCK[[#This Row],[Costo total]]</f>
        <v>0</v>
      </c>
    </row>
    <row r="88" s="53" customFormat="1" ht="50" customHeight="1" spans="1:28">
      <c r="A88" s="53" t="s">
        <v>221</v>
      </c>
      <c r="B88" s="66"/>
      <c r="C88" s="53" t="s">
        <v>32</v>
      </c>
      <c r="D88" s="53" t="s">
        <v>44</v>
      </c>
      <c r="E88" s="67" t="s">
        <v>222</v>
      </c>
      <c r="F88" s="53" t="s">
        <v>40</v>
      </c>
      <c r="G88" s="53" t="s">
        <v>36</v>
      </c>
      <c r="H88" s="53">
        <f>STOCK[[#This Row],[Precio Final]]</f>
        <v>30</v>
      </c>
      <c r="I88" s="53">
        <f>STOCK[[#This Row],[Precio Venta Ideal (x1.5)]]</f>
        <v>29.2300000000001</v>
      </c>
      <c r="J88" s="71">
        <v>1</v>
      </c>
      <c r="K88" s="71">
        <f>SUMIFS(VENTAS[Cantidad],VENTAS[Código del producto Vendido],STOCK[[#This Row],[Code]])</f>
        <v>1</v>
      </c>
      <c r="L88" s="71">
        <f>STOCK[[#This Row],[Entradas]]-STOCK[[#This Row],[Salidas]]</f>
        <v>0</v>
      </c>
      <c r="M88" s="53">
        <f>STOCK[[#This Row],[Precio Final]]*10%</f>
        <v>3</v>
      </c>
      <c r="N88" s="53">
        <v>255</v>
      </c>
      <c r="O88" s="53">
        <v>18</v>
      </c>
      <c r="P88" s="53">
        <v>14.1666666666667</v>
      </c>
      <c r="Q88" s="71">
        <v>290</v>
      </c>
      <c r="R88" s="53">
        <v>8</v>
      </c>
      <c r="S88" s="53">
        <f>STOCK[[#This Row],[Peso (g)]]*STOCK[[#This Row],[Precio Envío Kilogramo (USD)]]/1000</f>
        <v>2.32</v>
      </c>
      <c r="T88" s="53">
        <f>STOCK[[#This Row],[Costo Unitario (USD)]]+STOCK[[#This Row],[Costo Envío (USD)]]+STOCK[[#This Row],[Comisión 10%]]</f>
        <v>19.4866666666667</v>
      </c>
      <c r="U88" s="53">
        <f>STOCK[[#This Row],[Costo total]]*1.5</f>
        <v>29.2300000000001</v>
      </c>
      <c r="V88" s="53">
        <v>30</v>
      </c>
      <c r="W88" s="53">
        <f>STOCK[[#This Row],[Precio Final]]-STOCK[[#This Row],[Costo total]]</f>
        <v>10.5133333333333</v>
      </c>
      <c r="X88" s="53">
        <f>STOCK[[#This Row],[Ganancia Unitaria]]*STOCK[[#This Row],[Salidas]]</f>
        <v>10.5133333333333</v>
      </c>
      <c r="Y88" s="53" t="s">
        <v>168</v>
      </c>
      <c r="AA88" s="53">
        <f>STOCK[[#This Row],[Costo total]]*STOCK[[#This Row],[Entradas]]</f>
        <v>19.4866666666667</v>
      </c>
      <c r="AB88" s="53">
        <f>STOCK[[#This Row],[Stock Actual]]*STOCK[[#This Row],[Costo total]]</f>
        <v>0</v>
      </c>
    </row>
    <row r="89" s="54" customFormat="1" ht="50" customHeight="1" spans="1:28">
      <c r="A89" s="54" t="s">
        <v>223</v>
      </c>
      <c r="B89" s="66"/>
      <c r="C89" s="54" t="s">
        <v>32</v>
      </c>
      <c r="D89" s="54" t="s">
        <v>44</v>
      </c>
      <c r="E89" s="68" t="s">
        <v>224</v>
      </c>
      <c r="F89" s="54" t="s">
        <v>40</v>
      </c>
      <c r="G89" s="54" t="s">
        <v>36</v>
      </c>
      <c r="H89" s="54">
        <f>STOCK[[#This Row],[Precio Final]]</f>
        <v>18</v>
      </c>
      <c r="I89" s="54">
        <f>STOCK[[#This Row],[Precio Venta Ideal (x1.5)]]</f>
        <v>16.47</v>
      </c>
      <c r="J89" s="72">
        <v>1</v>
      </c>
      <c r="K89" s="72">
        <f>SUMIFS(VENTAS[Cantidad],VENTAS[Código del producto Vendido],STOCK[[#This Row],[Code]])</f>
        <v>1</v>
      </c>
      <c r="L89" s="72">
        <f>STOCK[[#This Row],[Entradas]]-STOCK[[#This Row],[Salidas]]</f>
        <v>0</v>
      </c>
      <c r="M89" s="54">
        <f>STOCK[[#This Row],[Precio Final]]*10%</f>
        <v>1.8</v>
      </c>
      <c r="N89" s="54">
        <v>135</v>
      </c>
      <c r="O89" s="54">
        <v>18</v>
      </c>
      <c r="P89" s="54">
        <v>7.5</v>
      </c>
      <c r="Q89" s="72">
        <v>210</v>
      </c>
      <c r="R89" s="54">
        <v>8</v>
      </c>
      <c r="S89" s="54">
        <f>STOCK[[#This Row],[Peso (g)]]*STOCK[[#This Row],[Precio Envío Kilogramo (USD)]]/1000</f>
        <v>1.68</v>
      </c>
      <c r="T89" s="53">
        <f>STOCK[[#This Row],[Costo Unitario (USD)]]+STOCK[[#This Row],[Costo Envío (USD)]]+STOCK[[#This Row],[Comisión 10%]]</f>
        <v>10.98</v>
      </c>
      <c r="U89" s="54">
        <f>STOCK[[#This Row],[Costo total]]*1.5</f>
        <v>16.47</v>
      </c>
      <c r="V89" s="54">
        <v>18</v>
      </c>
      <c r="W89" s="54">
        <f>STOCK[[#This Row],[Precio Final]]-STOCK[[#This Row],[Costo total]]</f>
        <v>7.02</v>
      </c>
      <c r="X89" s="54">
        <f>STOCK[[#This Row],[Ganancia Unitaria]]*STOCK[[#This Row],[Salidas]]</f>
        <v>7.02</v>
      </c>
      <c r="Y89" s="54" t="s">
        <v>168</v>
      </c>
      <c r="AA89" s="54">
        <f>STOCK[[#This Row],[Costo total]]*STOCK[[#This Row],[Entradas]]</f>
        <v>10.98</v>
      </c>
      <c r="AB89" s="54">
        <f>STOCK[[#This Row],[Stock Actual]]*STOCK[[#This Row],[Costo total]]</f>
        <v>0</v>
      </c>
    </row>
    <row r="90" s="53" customFormat="1" ht="50" customHeight="1" spans="1:28">
      <c r="A90" s="53" t="s">
        <v>225</v>
      </c>
      <c r="B90" s="66"/>
      <c r="C90" s="53" t="s">
        <v>32</v>
      </c>
      <c r="D90" s="53" t="s">
        <v>44</v>
      </c>
      <c r="E90" s="67" t="s">
        <v>167</v>
      </c>
      <c r="F90" s="53" t="s">
        <v>49</v>
      </c>
      <c r="G90" s="53" t="s">
        <v>36</v>
      </c>
      <c r="H90" s="53">
        <f>STOCK[[#This Row],[Precio Final]]</f>
        <v>22</v>
      </c>
      <c r="I90" s="53">
        <f>STOCK[[#This Row],[Precio Venta Ideal (x1.5)]]</f>
        <v>22.6066666666667</v>
      </c>
      <c r="J90" s="71">
        <v>1</v>
      </c>
      <c r="K90" s="71">
        <f>SUMIFS(VENTAS[Cantidad],VENTAS[Código del producto Vendido],STOCK[[#This Row],[Code]])</f>
        <v>1</v>
      </c>
      <c r="L90" s="71">
        <f>STOCK[[#This Row],[Entradas]]-STOCK[[#This Row],[Salidas]]</f>
        <v>0</v>
      </c>
      <c r="M90" s="53">
        <f>STOCK[[#This Row],[Precio Final]]*10%</f>
        <v>2.2</v>
      </c>
      <c r="N90" s="53">
        <v>200</v>
      </c>
      <c r="O90" s="53">
        <v>18</v>
      </c>
      <c r="P90" s="53">
        <v>11.1111111111111</v>
      </c>
      <c r="Q90" s="71">
        <v>220</v>
      </c>
      <c r="R90" s="53">
        <v>8</v>
      </c>
      <c r="S90" s="53">
        <f>STOCK[[#This Row],[Peso (g)]]*STOCK[[#This Row],[Precio Envío Kilogramo (USD)]]/1000</f>
        <v>1.76</v>
      </c>
      <c r="T90" s="53">
        <f>STOCK[[#This Row],[Costo Unitario (USD)]]+STOCK[[#This Row],[Costo Envío (USD)]]+STOCK[[#This Row],[Comisión 10%]]</f>
        <v>15.0711111111111</v>
      </c>
      <c r="U90" s="53">
        <f>STOCK[[#This Row],[Costo total]]*1.5</f>
        <v>22.6066666666667</v>
      </c>
      <c r="V90" s="53">
        <v>22</v>
      </c>
      <c r="W90" s="53">
        <f>STOCK[[#This Row],[Precio Final]]-STOCK[[#This Row],[Costo total]]</f>
        <v>6.9288888888889</v>
      </c>
      <c r="X90" s="53">
        <f>STOCK[[#This Row],[Ganancia Unitaria]]*STOCK[[#This Row],[Salidas]]</f>
        <v>6.9288888888889</v>
      </c>
      <c r="Y90" s="53" t="s">
        <v>168</v>
      </c>
      <c r="AA90" s="53">
        <f>STOCK[[#This Row],[Costo total]]*STOCK[[#This Row],[Entradas]]</f>
        <v>15.0711111111111</v>
      </c>
      <c r="AB90" s="53">
        <f>STOCK[[#This Row],[Stock Actual]]*STOCK[[#This Row],[Costo total]]</f>
        <v>0</v>
      </c>
    </row>
    <row r="91" s="54" customFormat="1" ht="50" customHeight="1" spans="1:28">
      <c r="A91" s="54" t="s">
        <v>226</v>
      </c>
      <c r="B91" s="66"/>
      <c r="C91" s="54" t="s">
        <v>32</v>
      </c>
      <c r="D91" s="54" t="s">
        <v>152</v>
      </c>
      <c r="E91" s="68" t="s">
        <v>227</v>
      </c>
      <c r="F91" s="54" t="s">
        <v>228</v>
      </c>
      <c r="G91" s="54" t="s">
        <v>36</v>
      </c>
      <c r="H91" s="54">
        <f>STOCK[[#This Row],[Precio Final]]</f>
        <v>23</v>
      </c>
      <c r="I91" s="54">
        <f>STOCK[[#This Row],[Precio Venta Ideal (x1.5)]]</f>
        <v>24.3666666666666</v>
      </c>
      <c r="J91" s="72">
        <v>1</v>
      </c>
      <c r="K91" s="72">
        <f>SUMIFS(VENTAS[Cantidad],VENTAS[Código del producto Vendido],STOCK[[#This Row],[Code]])</f>
        <v>1</v>
      </c>
      <c r="L91" s="72">
        <f>STOCK[[#This Row],[Entradas]]-STOCK[[#This Row],[Salidas]]</f>
        <v>0</v>
      </c>
      <c r="M91" s="54">
        <f>STOCK[[#This Row],[Precio Final]]*10%</f>
        <v>2.3</v>
      </c>
      <c r="N91" s="54">
        <v>215</v>
      </c>
      <c r="O91" s="54">
        <v>18</v>
      </c>
      <c r="P91" s="54">
        <v>11.9444444444444</v>
      </c>
      <c r="Q91" s="72">
        <v>250</v>
      </c>
      <c r="R91" s="54">
        <v>8</v>
      </c>
      <c r="S91" s="54">
        <f>STOCK[[#This Row],[Peso (g)]]*STOCK[[#This Row],[Precio Envío Kilogramo (USD)]]/1000</f>
        <v>2</v>
      </c>
      <c r="T91" s="53">
        <f>STOCK[[#This Row],[Costo Unitario (USD)]]+STOCK[[#This Row],[Costo Envío (USD)]]+STOCK[[#This Row],[Comisión 10%]]</f>
        <v>16.2444444444444</v>
      </c>
      <c r="U91" s="54">
        <f>STOCK[[#This Row],[Costo total]]*1.5</f>
        <v>24.3666666666666</v>
      </c>
      <c r="V91" s="54">
        <v>23</v>
      </c>
      <c r="W91" s="54">
        <f>STOCK[[#This Row],[Precio Final]]-STOCK[[#This Row],[Costo total]]</f>
        <v>6.7555555555556</v>
      </c>
      <c r="X91" s="54">
        <f>STOCK[[#This Row],[Ganancia Unitaria]]*STOCK[[#This Row],[Salidas]]</f>
        <v>6.7555555555556</v>
      </c>
      <c r="Y91" s="54" t="s">
        <v>168</v>
      </c>
      <c r="AA91" s="54">
        <f>STOCK[[#This Row],[Costo total]]*STOCK[[#This Row],[Entradas]]</f>
        <v>16.2444444444444</v>
      </c>
      <c r="AB91" s="54">
        <f>STOCK[[#This Row],[Stock Actual]]*STOCK[[#This Row],[Costo total]]</f>
        <v>0</v>
      </c>
    </row>
    <row r="92" s="53" customFormat="1" ht="50" customHeight="1" spans="1:28">
      <c r="A92" s="53" t="s">
        <v>229</v>
      </c>
      <c r="B92" s="66"/>
      <c r="C92" s="53" t="s">
        <v>32</v>
      </c>
      <c r="D92" s="53" t="s">
        <v>152</v>
      </c>
      <c r="E92" s="67" t="s">
        <v>230</v>
      </c>
      <c r="F92" s="53" t="s">
        <v>228</v>
      </c>
      <c r="G92" s="53" t="s">
        <v>36</v>
      </c>
      <c r="H92" s="53">
        <f>STOCK[[#This Row],[Precio Final]]</f>
        <v>23</v>
      </c>
      <c r="I92" s="53">
        <f>STOCK[[#This Row],[Precio Venta Ideal (x1.5)]]</f>
        <v>24.3666666666666</v>
      </c>
      <c r="J92" s="71">
        <v>1</v>
      </c>
      <c r="K92" s="71">
        <f>SUMIFS(VENTAS[Cantidad],VENTAS[Código del producto Vendido],STOCK[[#This Row],[Code]])</f>
        <v>1</v>
      </c>
      <c r="L92" s="71">
        <f>STOCK[[#This Row],[Entradas]]-STOCK[[#This Row],[Salidas]]</f>
        <v>0</v>
      </c>
      <c r="M92" s="53">
        <f>STOCK[[#This Row],[Precio Final]]*10%</f>
        <v>2.3</v>
      </c>
      <c r="N92" s="53">
        <v>215</v>
      </c>
      <c r="O92" s="53">
        <v>18</v>
      </c>
      <c r="P92" s="53">
        <v>11.9444444444444</v>
      </c>
      <c r="Q92" s="71">
        <v>250</v>
      </c>
      <c r="R92" s="53">
        <v>8</v>
      </c>
      <c r="S92" s="53">
        <f>STOCK[[#This Row],[Peso (g)]]*STOCK[[#This Row],[Precio Envío Kilogramo (USD)]]/1000</f>
        <v>2</v>
      </c>
      <c r="T92" s="53">
        <f>STOCK[[#This Row],[Costo Unitario (USD)]]+STOCK[[#This Row],[Costo Envío (USD)]]+STOCK[[#This Row],[Comisión 10%]]</f>
        <v>16.2444444444444</v>
      </c>
      <c r="U92" s="53">
        <f>STOCK[[#This Row],[Costo total]]*1.5</f>
        <v>24.3666666666666</v>
      </c>
      <c r="V92" s="53">
        <v>23</v>
      </c>
      <c r="W92" s="53">
        <f>STOCK[[#This Row],[Precio Final]]-STOCK[[#This Row],[Costo total]]</f>
        <v>6.7555555555556</v>
      </c>
      <c r="X92" s="53">
        <f>STOCK[[#This Row],[Ganancia Unitaria]]*STOCK[[#This Row],[Salidas]]</f>
        <v>6.7555555555556</v>
      </c>
      <c r="Y92" s="53" t="s">
        <v>168</v>
      </c>
      <c r="AA92" s="53">
        <f>STOCK[[#This Row],[Costo total]]*STOCK[[#This Row],[Entradas]]</f>
        <v>16.2444444444444</v>
      </c>
      <c r="AB92" s="53">
        <f>STOCK[[#This Row],[Stock Actual]]*STOCK[[#This Row],[Costo total]]</f>
        <v>0</v>
      </c>
    </row>
    <row r="93" s="54" customFormat="1" ht="50" customHeight="1" spans="1:28">
      <c r="A93" s="54" t="s">
        <v>231</v>
      </c>
      <c r="B93" s="66"/>
      <c r="C93" s="54" t="s">
        <v>32</v>
      </c>
      <c r="D93" s="54" t="s">
        <v>44</v>
      </c>
      <c r="E93" s="68" t="s">
        <v>232</v>
      </c>
      <c r="F93" s="54" t="s">
        <v>62</v>
      </c>
      <c r="G93" s="54" t="s">
        <v>36</v>
      </c>
      <c r="H93" s="54">
        <f>STOCK[[#This Row],[Precio Final]]</f>
        <v>28</v>
      </c>
      <c r="I93" s="54">
        <f>STOCK[[#This Row],[Precio Venta Ideal (x1.5)]]</f>
        <v>31.92</v>
      </c>
      <c r="J93" s="72">
        <v>1</v>
      </c>
      <c r="K93" s="72">
        <f>SUMIFS(VENTAS[Cantidad],VENTAS[Código del producto Vendido],STOCK[[#This Row],[Code]])</f>
        <v>1</v>
      </c>
      <c r="L93" s="72">
        <f>STOCK[[#This Row],[Entradas]]-STOCK[[#This Row],[Salidas]]</f>
        <v>0</v>
      </c>
      <c r="M93" s="54">
        <f>STOCK[[#This Row],[Precio Final]]*10%</f>
        <v>2.8</v>
      </c>
      <c r="N93" s="54">
        <v>270</v>
      </c>
      <c r="O93" s="54">
        <v>18</v>
      </c>
      <c r="P93" s="54">
        <v>15</v>
      </c>
      <c r="Q93" s="72">
        <v>435</v>
      </c>
      <c r="R93" s="54">
        <v>8</v>
      </c>
      <c r="S93" s="54">
        <f>STOCK[[#This Row],[Peso (g)]]*STOCK[[#This Row],[Precio Envío Kilogramo (USD)]]/1000</f>
        <v>3.48</v>
      </c>
      <c r="T93" s="53">
        <f>STOCK[[#This Row],[Costo Unitario (USD)]]+STOCK[[#This Row],[Costo Envío (USD)]]+STOCK[[#This Row],[Comisión 10%]]</f>
        <v>21.28</v>
      </c>
      <c r="U93" s="54">
        <f>STOCK[[#This Row],[Costo total]]*1.5</f>
        <v>31.92</v>
      </c>
      <c r="V93" s="54">
        <v>28</v>
      </c>
      <c r="W93" s="54">
        <f>STOCK[[#This Row],[Precio Final]]-STOCK[[#This Row],[Costo total]]</f>
        <v>6.72</v>
      </c>
      <c r="X93" s="54">
        <f>STOCK[[#This Row],[Ganancia Unitaria]]*STOCK[[#This Row],[Salidas]]</f>
        <v>6.72</v>
      </c>
      <c r="Y93" s="54" t="s">
        <v>168</v>
      </c>
      <c r="AA93" s="54">
        <f>STOCK[[#This Row],[Costo total]]*STOCK[[#This Row],[Entradas]]</f>
        <v>21.28</v>
      </c>
      <c r="AB93" s="54">
        <f>STOCK[[#This Row],[Stock Actual]]*STOCK[[#This Row],[Costo total]]</f>
        <v>0</v>
      </c>
    </row>
    <row r="94" s="53" customFormat="1" ht="50" customHeight="1" spans="1:28">
      <c r="A94" s="53" t="s">
        <v>233</v>
      </c>
      <c r="B94" s="66"/>
      <c r="C94" s="53" t="s">
        <v>32</v>
      </c>
      <c r="D94" s="53" t="s">
        <v>174</v>
      </c>
      <c r="E94" s="67" t="s">
        <v>234</v>
      </c>
      <c r="F94" s="53" t="s">
        <v>49</v>
      </c>
      <c r="G94" s="53" t="s">
        <v>36</v>
      </c>
      <c r="H94" s="53">
        <f>STOCK[[#This Row],[Precio Final]]</f>
        <v>14</v>
      </c>
      <c r="I94" s="53">
        <f>STOCK[[#This Row],[Precio Venta Ideal (x1.5)]]</f>
        <v>14.4333333333333</v>
      </c>
      <c r="J94" s="71">
        <v>1</v>
      </c>
      <c r="K94" s="71">
        <f>SUMIFS(VENTAS[Cantidad],VENTAS[Código del producto Vendido],STOCK[[#This Row],[Code]])</f>
        <v>1</v>
      </c>
      <c r="L94" s="71">
        <f>STOCK[[#This Row],[Entradas]]-STOCK[[#This Row],[Salidas]]</f>
        <v>0</v>
      </c>
      <c r="M94" s="53">
        <f>STOCK[[#This Row],[Precio Final]]*10%</f>
        <v>1.4</v>
      </c>
      <c r="N94" s="53">
        <v>130</v>
      </c>
      <c r="O94" s="53">
        <v>18</v>
      </c>
      <c r="P94" s="53">
        <v>7.22222222222222</v>
      </c>
      <c r="Q94" s="71">
        <v>125</v>
      </c>
      <c r="R94" s="53">
        <v>8</v>
      </c>
      <c r="S94" s="53">
        <f>STOCK[[#This Row],[Peso (g)]]*STOCK[[#This Row],[Precio Envío Kilogramo (USD)]]/1000</f>
        <v>1</v>
      </c>
      <c r="T94" s="53">
        <f>STOCK[[#This Row],[Costo Unitario (USD)]]+STOCK[[#This Row],[Costo Envío (USD)]]+STOCK[[#This Row],[Comisión 10%]]</f>
        <v>9.62222222222222</v>
      </c>
      <c r="U94" s="53">
        <f>STOCK[[#This Row],[Costo total]]*1.5</f>
        <v>14.4333333333333</v>
      </c>
      <c r="V94" s="53">
        <v>14</v>
      </c>
      <c r="W94" s="53">
        <f>STOCK[[#This Row],[Precio Final]]-STOCK[[#This Row],[Costo total]]</f>
        <v>4.37777777777778</v>
      </c>
      <c r="X94" s="53">
        <f>STOCK[[#This Row],[Ganancia Unitaria]]*STOCK[[#This Row],[Salidas]]</f>
        <v>4.37777777777778</v>
      </c>
      <c r="Y94" s="53" t="s">
        <v>168</v>
      </c>
      <c r="AA94" s="53">
        <f>STOCK[[#This Row],[Costo total]]*STOCK[[#This Row],[Entradas]]</f>
        <v>9.62222222222222</v>
      </c>
      <c r="AB94" s="53">
        <f>STOCK[[#This Row],[Stock Actual]]*STOCK[[#This Row],[Costo total]]</f>
        <v>0</v>
      </c>
    </row>
    <row r="95" s="54" customFormat="1" ht="50" customHeight="1" spans="1:28">
      <c r="A95" s="54" t="s">
        <v>235</v>
      </c>
      <c r="B95" s="66"/>
      <c r="C95" s="54" t="s">
        <v>32</v>
      </c>
      <c r="D95" s="54" t="s">
        <v>174</v>
      </c>
      <c r="E95" s="68" t="s">
        <v>236</v>
      </c>
      <c r="F95" s="54" t="s">
        <v>40</v>
      </c>
      <c r="G95" s="54" t="s">
        <v>36</v>
      </c>
      <c r="H95" s="54">
        <f>STOCK[[#This Row],[Precio Final]]</f>
        <v>12</v>
      </c>
      <c r="I95" s="54">
        <f>STOCK[[#This Row],[Precio Venta Ideal (x1.5)]]</f>
        <v>13.6566666666667</v>
      </c>
      <c r="J95" s="72">
        <v>1</v>
      </c>
      <c r="K95" s="72">
        <f>SUMIFS(VENTAS[Cantidad],VENTAS[Código del producto Vendido],STOCK[[#This Row],[Code]])</f>
        <v>1</v>
      </c>
      <c r="L95" s="72">
        <f>STOCK[[#This Row],[Entradas]]-STOCK[[#This Row],[Salidas]]</f>
        <v>0</v>
      </c>
      <c r="M95" s="54">
        <f>STOCK[[#This Row],[Precio Final]]*10%</f>
        <v>1.2</v>
      </c>
      <c r="N95" s="54">
        <v>125</v>
      </c>
      <c r="O95" s="54">
        <v>18</v>
      </c>
      <c r="P95" s="54">
        <v>6.94444444444444</v>
      </c>
      <c r="Q95" s="72">
        <v>120</v>
      </c>
      <c r="R95" s="54">
        <v>8</v>
      </c>
      <c r="S95" s="54">
        <f>STOCK[[#This Row],[Peso (g)]]*STOCK[[#This Row],[Precio Envío Kilogramo (USD)]]/1000</f>
        <v>0.96</v>
      </c>
      <c r="T95" s="53">
        <f>STOCK[[#This Row],[Costo Unitario (USD)]]+STOCK[[#This Row],[Costo Envío (USD)]]+STOCK[[#This Row],[Comisión 10%]]</f>
        <v>9.10444444444444</v>
      </c>
      <c r="U95" s="54">
        <f>STOCK[[#This Row],[Costo total]]*1.5</f>
        <v>13.6566666666667</v>
      </c>
      <c r="V95" s="54">
        <v>12</v>
      </c>
      <c r="W95" s="54">
        <f>STOCK[[#This Row],[Precio Final]]-STOCK[[#This Row],[Costo total]]</f>
        <v>2.89555555555556</v>
      </c>
      <c r="X95" s="54">
        <f>STOCK[[#This Row],[Ganancia Unitaria]]*STOCK[[#This Row],[Salidas]]</f>
        <v>2.89555555555556</v>
      </c>
      <c r="Y95" s="54" t="s">
        <v>168</v>
      </c>
      <c r="AA95" s="54">
        <f>STOCK[[#This Row],[Costo total]]*STOCK[[#This Row],[Entradas]]</f>
        <v>9.10444444444444</v>
      </c>
      <c r="AB95" s="54">
        <f>STOCK[[#This Row],[Stock Actual]]*STOCK[[#This Row],[Costo total]]</f>
        <v>0</v>
      </c>
    </row>
    <row r="96" s="53" customFormat="1" ht="50" customHeight="1" spans="1:28">
      <c r="A96" s="53" t="s">
        <v>237</v>
      </c>
      <c r="B96" s="66"/>
      <c r="C96" s="53" t="s">
        <v>32</v>
      </c>
      <c r="D96" s="53" t="s">
        <v>174</v>
      </c>
      <c r="E96" s="67" t="s">
        <v>236</v>
      </c>
      <c r="F96" s="53" t="s">
        <v>49</v>
      </c>
      <c r="G96" s="53" t="s">
        <v>36</v>
      </c>
      <c r="H96" s="53">
        <f>STOCK[[#This Row],[Precio Final]]</f>
        <v>12</v>
      </c>
      <c r="I96" s="53">
        <f>STOCK[[#This Row],[Precio Venta Ideal (x1.5)]]</f>
        <v>13.6566666666667</v>
      </c>
      <c r="J96" s="71">
        <v>1</v>
      </c>
      <c r="K96" s="71">
        <f>SUMIFS(VENTAS[Cantidad],VENTAS[Código del producto Vendido],STOCK[[#This Row],[Code]])</f>
        <v>1</v>
      </c>
      <c r="L96" s="71">
        <f>STOCK[[#This Row],[Entradas]]-STOCK[[#This Row],[Salidas]]</f>
        <v>0</v>
      </c>
      <c r="M96" s="53">
        <f>STOCK[[#This Row],[Precio Final]]*10%</f>
        <v>1.2</v>
      </c>
      <c r="N96" s="53">
        <v>125</v>
      </c>
      <c r="O96" s="53">
        <v>18</v>
      </c>
      <c r="P96" s="53">
        <v>6.94444444444444</v>
      </c>
      <c r="Q96" s="71">
        <v>120</v>
      </c>
      <c r="R96" s="53">
        <v>8</v>
      </c>
      <c r="S96" s="53">
        <f>STOCK[[#This Row],[Peso (g)]]*STOCK[[#This Row],[Precio Envío Kilogramo (USD)]]/1000</f>
        <v>0.96</v>
      </c>
      <c r="T96" s="53">
        <f>STOCK[[#This Row],[Costo Unitario (USD)]]+STOCK[[#This Row],[Costo Envío (USD)]]+STOCK[[#This Row],[Comisión 10%]]</f>
        <v>9.10444444444444</v>
      </c>
      <c r="U96" s="53">
        <f>STOCK[[#This Row],[Costo total]]*1.5</f>
        <v>13.6566666666667</v>
      </c>
      <c r="V96" s="53">
        <v>12</v>
      </c>
      <c r="W96" s="53">
        <f>STOCK[[#This Row],[Precio Final]]-STOCK[[#This Row],[Costo total]]</f>
        <v>2.89555555555556</v>
      </c>
      <c r="X96" s="53">
        <f>STOCK[[#This Row],[Ganancia Unitaria]]*STOCK[[#This Row],[Salidas]]</f>
        <v>2.89555555555556</v>
      </c>
      <c r="Y96" s="53" t="s">
        <v>168</v>
      </c>
      <c r="AA96" s="53">
        <f>STOCK[[#This Row],[Costo total]]*STOCK[[#This Row],[Entradas]]</f>
        <v>9.10444444444444</v>
      </c>
      <c r="AB96" s="53">
        <f>STOCK[[#This Row],[Stock Actual]]*STOCK[[#This Row],[Costo total]]</f>
        <v>0</v>
      </c>
    </row>
    <row r="97" s="54" customFormat="1" ht="50" customHeight="1" spans="1:28">
      <c r="A97" s="54" t="s">
        <v>238</v>
      </c>
      <c r="B97" s="66"/>
      <c r="C97" s="54" t="s">
        <v>32</v>
      </c>
      <c r="D97" s="54" t="s">
        <v>44</v>
      </c>
      <c r="E97" s="68" t="s">
        <v>239</v>
      </c>
      <c r="F97" s="54" t="s">
        <v>49</v>
      </c>
      <c r="G97" s="54" t="s">
        <v>36</v>
      </c>
      <c r="H97" s="54">
        <f>STOCK[[#This Row],[Precio Final]]</f>
        <v>28</v>
      </c>
      <c r="I97" s="54">
        <f>STOCK[[#This Row],[Precio Venta Ideal (x1.5)]]</f>
        <v>31.7966666666667</v>
      </c>
      <c r="J97" s="72">
        <v>1</v>
      </c>
      <c r="K97" s="72">
        <f>SUMIFS(VENTAS[Cantidad],VENTAS[Código del producto Vendido],STOCK[[#This Row],[Code]])</f>
        <v>1</v>
      </c>
      <c r="L97" s="72">
        <f>STOCK[[#This Row],[Entradas]]-STOCK[[#This Row],[Salidas]]</f>
        <v>0</v>
      </c>
      <c r="M97" s="54">
        <f>STOCK[[#This Row],[Precio Final]]*10%</f>
        <v>2.8</v>
      </c>
      <c r="N97" s="54">
        <v>275</v>
      </c>
      <c r="O97" s="54">
        <v>18</v>
      </c>
      <c r="P97" s="54">
        <v>15.2777777777778</v>
      </c>
      <c r="Q97" s="72">
        <v>390</v>
      </c>
      <c r="R97" s="54">
        <v>8</v>
      </c>
      <c r="S97" s="54">
        <f>STOCK[[#This Row],[Peso (g)]]*STOCK[[#This Row],[Precio Envío Kilogramo (USD)]]/1000</f>
        <v>3.12</v>
      </c>
      <c r="T97" s="53">
        <f>STOCK[[#This Row],[Costo Unitario (USD)]]+STOCK[[#This Row],[Costo Envío (USD)]]+STOCK[[#This Row],[Comisión 10%]]</f>
        <v>21.1977777777778</v>
      </c>
      <c r="U97" s="54">
        <f>STOCK[[#This Row],[Costo total]]*1.5</f>
        <v>31.7966666666667</v>
      </c>
      <c r="V97" s="54">
        <v>28</v>
      </c>
      <c r="W97" s="54">
        <f>STOCK[[#This Row],[Precio Final]]-STOCK[[#This Row],[Costo total]]</f>
        <v>6.8022222222222</v>
      </c>
      <c r="X97" s="54">
        <f>STOCK[[#This Row],[Ganancia Unitaria]]*STOCK[[#This Row],[Salidas]]</f>
        <v>6.8022222222222</v>
      </c>
      <c r="Y97" s="54" t="s">
        <v>168</v>
      </c>
      <c r="AA97" s="54">
        <f>STOCK[[#This Row],[Costo total]]*STOCK[[#This Row],[Entradas]]</f>
        <v>21.1977777777778</v>
      </c>
      <c r="AB97" s="54">
        <f>STOCK[[#This Row],[Stock Actual]]*STOCK[[#This Row],[Costo total]]</f>
        <v>0</v>
      </c>
    </row>
    <row r="98" s="53" customFormat="1" ht="50" customHeight="1" spans="1:28">
      <c r="A98" s="53" t="s">
        <v>240</v>
      </c>
      <c r="B98" s="66"/>
      <c r="C98" s="53" t="s">
        <v>32</v>
      </c>
      <c r="D98" s="53" t="s">
        <v>44</v>
      </c>
      <c r="E98" s="67" t="s">
        <v>239</v>
      </c>
      <c r="F98" s="53" t="s">
        <v>40</v>
      </c>
      <c r="G98" s="53" t="s">
        <v>36</v>
      </c>
      <c r="H98" s="53">
        <f>STOCK[[#This Row],[Precio Final]]</f>
        <v>28</v>
      </c>
      <c r="I98" s="53">
        <f>STOCK[[#This Row],[Precio Venta Ideal (x1.5)]]</f>
        <v>30.6566666666667</v>
      </c>
      <c r="J98" s="71">
        <v>1</v>
      </c>
      <c r="K98" s="71">
        <f>SUMIFS(VENTAS[Cantidad],VENTAS[Código del producto Vendido],STOCK[[#This Row],[Code]])</f>
        <v>1</v>
      </c>
      <c r="L98" s="71">
        <f>STOCK[[#This Row],[Entradas]]-STOCK[[#This Row],[Salidas]]</f>
        <v>0</v>
      </c>
      <c r="M98" s="53">
        <f>STOCK[[#This Row],[Precio Final]]*10%</f>
        <v>2.8</v>
      </c>
      <c r="N98" s="53">
        <v>275</v>
      </c>
      <c r="O98" s="53">
        <v>18</v>
      </c>
      <c r="P98" s="53">
        <v>15.2777777777778</v>
      </c>
      <c r="Q98" s="71">
        <v>295</v>
      </c>
      <c r="R98" s="53">
        <v>8</v>
      </c>
      <c r="S98" s="53">
        <f>STOCK[[#This Row],[Peso (g)]]*STOCK[[#This Row],[Precio Envío Kilogramo (USD)]]/1000</f>
        <v>2.36</v>
      </c>
      <c r="T98" s="53">
        <f>STOCK[[#This Row],[Costo Unitario (USD)]]+STOCK[[#This Row],[Costo Envío (USD)]]+STOCK[[#This Row],[Comisión 10%]]</f>
        <v>20.4377777777778</v>
      </c>
      <c r="U98" s="53">
        <f>STOCK[[#This Row],[Costo total]]*1.5</f>
        <v>30.6566666666667</v>
      </c>
      <c r="V98" s="53">
        <v>28</v>
      </c>
      <c r="W98" s="53">
        <f>STOCK[[#This Row],[Precio Final]]-STOCK[[#This Row],[Costo total]]</f>
        <v>7.5622222222222</v>
      </c>
      <c r="X98" s="53">
        <f>STOCK[[#This Row],[Ganancia Unitaria]]*STOCK[[#This Row],[Salidas]]</f>
        <v>7.5622222222222</v>
      </c>
      <c r="Y98" s="53" t="s">
        <v>168</v>
      </c>
      <c r="AA98" s="53">
        <f>STOCK[[#This Row],[Costo total]]*STOCK[[#This Row],[Entradas]]</f>
        <v>20.4377777777778</v>
      </c>
      <c r="AB98" s="53">
        <f>STOCK[[#This Row],[Stock Actual]]*STOCK[[#This Row],[Costo total]]</f>
        <v>0</v>
      </c>
    </row>
    <row r="99" s="54" customFormat="1" ht="50" customHeight="1" spans="1:28">
      <c r="A99" s="54" t="s">
        <v>241</v>
      </c>
      <c r="B99" s="66"/>
      <c r="C99" s="54" t="s">
        <v>32</v>
      </c>
      <c r="D99" s="54" t="s">
        <v>44</v>
      </c>
      <c r="E99" s="68" t="s">
        <v>242</v>
      </c>
      <c r="F99" s="54" t="s">
        <v>46</v>
      </c>
      <c r="G99" s="54" t="s">
        <v>36</v>
      </c>
      <c r="H99" s="54">
        <f>STOCK[[#This Row],[Precio Final]]</f>
        <v>20</v>
      </c>
      <c r="I99" s="54">
        <f>STOCK[[#This Row],[Precio Venta Ideal (x1.5)]]</f>
        <v>20.8133333333334</v>
      </c>
      <c r="J99" s="72">
        <v>1</v>
      </c>
      <c r="K99" s="72">
        <f>SUMIFS(VENTAS[Cantidad],VENTAS[Código del producto Vendido],STOCK[[#This Row],[Code]])</f>
        <v>1</v>
      </c>
      <c r="L99" s="72">
        <f>STOCK[[#This Row],[Entradas]]-STOCK[[#This Row],[Salidas]]</f>
        <v>0</v>
      </c>
      <c r="M99" s="54">
        <f>STOCK[[#This Row],[Precio Final]]*10%</f>
        <v>2</v>
      </c>
      <c r="N99" s="54">
        <v>190</v>
      </c>
      <c r="O99" s="54">
        <v>18</v>
      </c>
      <c r="P99" s="54">
        <v>10.5555555555556</v>
      </c>
      <c r="Q99" s="72">
        <v>165</v>
      </c>
      <c r="R99" s="54">
        <v>8</v>
      </c>
      <c r="S99" s="54">
        <f>STOCK[[#This Row],[Peso (g)]]*STOCK[[#This Row],[Precio Envío Kilogramo (USD)]]/1000</f>
        <v>1.32</v>
      </c>
      <c r="T99" s="53">
        <f>STOCK[[#This Row],[Costo Unitario (USD)]]+STOCK[[#This Row],[Costo Envío (USD)]]+STOCK[[#This Row],[Comisión 10%]]</f>
        <v>13.8755555555556</v>
      </c>
      <c r="U99" s="54">
        <f>STOCK[[#This Row],[Costo total]]*1.5</f>
        <v>20.8133333333334</v>
      </c>
      <c r="V99" s="54">
        <v>20</v>
      </c>
      <c r="W99" s="54">
        <f>STOCK[[#This Row],[Precio Final]]-STOCK[[#This Row],[Costo total]]</f>
        <v>6.1244444444444</v>
      </c>
      <c r="X99" s="54">
        <f>STOCK[[#This Row],[Ganancia Unitaria]]*STOCK[[#This Row],[Salidas]]</f>
        <v>6.1244444444444</v>
      </c>
      <c r="Y99" s="54" t="s">
        <v>168</v>
      </c>
      <c r="AA99" s="54">
        <f>STOCK[[#This Row],[Costo total]]*STOCK[[#This Row],[Entradas]]</f>
        <v>13.8755555555556</v>
      </c>
      <c r="AB99" s="54">
        <f>STOCK[[#This Row],[Stock Actual]]*STOCK[[#This Row],[Costo total]]</f>
        <v>0</v>
      </c>
    </row>
    <row r="100" s="53" customFormat="1" ht="50" customHeight="1" spans="1:28">
      <c r="A100" s="53" t="s">
        <v>243</v>
      </c>
      <c r="B100" s="66"/>
      <c r="C100" s="53" t="s">
        <v>32</v>
      </c>
      <c r="D100" s="53" t="s">
        <v>44</v>
      </c>
      <c r="E100" s="67" t="s">
        <v>242</v>
      </c>
      <c r="F100" s="53" t="s">
        <v>49</v>
      </c>
      <c r="G100" s="53" t="s">
        <v>36</v>
      </c>
      <c r="H100" s="53">
        <f>STOCK[[#This Row],[Precio Final]]</f>
        <v>20</v>
      </c>
      <c r="I100" s="53">
        <f>STOCK[[#This Row],[Precio Venta Ideal (x1.5)]]</f>
        <v>20.6933333333334</v>
      </c>
      <c r="J100" s="71">
        <v>1</v>
      </c>
      <c r="K100" s="71">
        <f>SUMIFS(VENTAS[Cantidad],VENTAS[Código del producto Vendido],STOCK[[#This Row],[Code]])</f>
        <v>1</v>
      </c>
      <c r="L100" s="71">
        <f>STOCK[[#This Row],[Entradas]]-STOCK[[#This Row],[Salidas]]</f>
        <v>0</v>
      </c>
      <c r="M100" s="53">
        <f>STOCK[[#This Row],[Precio Final]]*10%</f>
        <v>2</v>
      </c>
      <c r="N100" s="53">
        <v>190</v>
      </c>
      <c r="O100" s="53">
        <v>18</v>
      </c>
      <c r="P100" s="53">
        <v>10.5555555555556</v>
      </c>
      <c r="Q100" s="71">
        <v>155</v>
      </c>
      <c r="R100" s="53">
        <v>8</v>
      </c>
      <c r="S100" s="53">
        <f>STOCK[[#This Row],[Peso (g)]]*STOCK[[#This Row],[Precio Envío Kilogramo (USD)]]/1000</f>
        <v>1.24</v>
      </c>
      <c r="T100" s="53">
        <f>STOCK[[#This Row],[Costo Unitario (USD)]]+STOCK[[#This Row],[Costo Envío (USD)]]+STOCK[[#This Row],[Comisión 10%]]</f>
        <v>13.7955555555556</v>
      </c>
      <c r="U100" s="53">
        <f>STOCK[[#This Row],[Costo total]]*1.5</f>
        <v>20.6933333333334</v>
      </c>
      <c r="V100" s="53">
        <v>20</v>
      </c>
      <c r="W100" s="53">
        <f>STOCK[[#This Row],[Precio Final]]-STOCK[[#This Row],[Costo total]]</f>
        <v>6.2044444444444</v>
      </c>
      <c r="X100" s="53">
        <f>STOCK[[#This Row],[Ganancia Unitaria]]*STOCK[[#This Row],[Salidas]]</f>
        <v>6.2044444444444</v>
      </c>
      <c r="Y100" s="53" t="s">
        <v>168</v>
      </c>
      <c r="AA100" s="53">
        <f>STOCK[[#This Row],[Costo total]]*STOCK[[#This Row],[Entradas]]</f>
        <v>13.7955555555556</v>
      </c>
      <c r="AB100" s="53">
        <f>STOCK[[#This Row],[Stock Actual]]*STOCK[[#This Row],[Costo total]]</f>
        <v>0</v>
      </c>
    </row>
    <row r="101" s="54" customFormat="1" ht="50" customHeight="1" spans="1:28">
      <c r="A101" s="54" t="s">
        <v>244</v>
      </c>
      <c r="B101" s="66"/>
      <c r="C101" s="54" t="s">
        <v>32</v>
      </c>
      <c r="D101" s="54" t="s">
        <v>174</v>
      </c>
      <c r="E101" s="68" t="s">
        <v>245</v>
      </c>
      <c r="F101" s="54" t="s">
        <v>49</v>
      </c>
      <c r="G101" s="54" t="s">
        <v>36</v>
      </c>
      <c r="H101" s="54">
        <f>STOCK[[#This Row],[Precio Final]]</f>
        <v>14</v>
      </c>
      <c r="I101" s="54">
        <f>STOCK[[#This Row],[Precio Venta Ideal (x1.5)]]</f>
        <v>15.7566666666667</v>
      </c>
      <c r="J101" s="72">
        <v>1</v>
      </c>
      <c r="K101" s="72">
        <f>SUMIFS(VENTAS[Cantidad],VENTAS[Código del producto Vendido],STOCK[[#This Row],[Code]])</f>
        <v>1</v>
      </c>
      <c r="L101" s="72">
        <f>STOCK[[#This Row],[Entradas]]-STOCK[[#This Row],[Salidas]]</f>
        <v>0</v>
      </c>
      <c r="M101" s="54">
        <f>STOCK[[#This Row],[Precio Final]]*10%</f>
        <v>1.4</v>
      </c>
      <c r="N101" s="54">
        <v>143</v>
      </c>
      <c r="O101" s="54">
        <v>18</v>
      </c>
      <c r="P101" s="54">
        <v>7.94444444444444</v>
      </c>
      <c r="Q101" s="72">
        <v>145</v>
      </c>
      <c r="R101" s="54">
        <v>8</v>
      </c>
      <c r="S101" s="54">
        <f>STOCK[[#This Row],[Peso (g)]]*STOCK[[#This Row],[Precio Envío Kilogramo (USD)]]/1000</f>
        <v>1.16</v>
      </c>
      <c r="T101" s="53">
        <f>STOCK[[#This Row],[Costo Unitario (USD)]]+STOCK[[#This Row],[Costo Envío (USD)]]+STOCK[[#This Row],[Comisión 10%]]</f>
        <v>10.5044444444444</v>
      </c>
      <c r="U101" s="54">
        <f>STOCK[[#This Row],[Costo total]]*1.5</f>
        <v>15.7566666666667</v>
      </c>
      <c r="V101" s="54">
        <v>14</v>
      </c>
      <c r="W101" s="54">
        <f>STOCK[[#This Row],[Precio Final]]-STOCK[[#This Row],[Costo total]]</f>
        <v>3.49555555555556</v>
      </c>
      <c r="X101" s="54">
        <f>STOCK[[#This Row],[Ganancia Unitaria]]*STOCK[[#This Row],[Salidas]]</f>
        <v>3.49555555555556</v>
      </c>
      <c r="Y101" s="54" t="s">
        <v>168</v>
      </c>
      <c r="AA101" s="54">
        <f>STOCK[[#This Row],[Costo total]]*STOCK[[#This Row],[Entradas]]</f>
        <v>10.5044444444444</v>
      </c>
      <c r="AB101" s="54">
        <f>STOCK[[#This Row],[Stock Actual]]*STOCK[[#This Row],[Costo total]]</f>
        <v>0</v>
      </c>
    </row>
    <row r="102" s="53" customFormat="1" ht="50" customHeight="1" spans="1:28">
      <c r="A102" s="53" t="s">
        <v>246</v>
      </c>
      <c r="B102" s="66"/>
      <c r="C102" s="53" t="s">
        <v>32</v>
      </c>
      <c r="D102" s="53" t="s">
        <v>247</v>
      </c>
      <c r="E102" s="67" t="s">
        <v>248</v>
      </c>
      <c r="F102" s="53" t="s">
        <v>205</v>
      </c>
      <c r="G102" s="53" t="s">
        <v>36</v>
      </c>
      <c r="H102" s="53">
        <f>STOCK[[#This Row],[Precio Final]]</f>
        <v>13</v>
      </c>
      <c r="I102" s="53">
        <f>STOCK[[#This Row],[Precio Venta Ideal (x1.5)]]</f>
        <v>14.0133333333333</v>
      </c>
      <c r="J102" s="71">
        <v>1</v>
      </c>
      <c r="K102" s="71">
        <f>SUMIFS(VENTAS[Cantidad],VENTAS[Código del producto Vendido],STOCK[[#This Row],[Code]])</f>
        <v>1</v>
      </c>
      <c r="L102" s="71">
        <f>STOCK[[#This Row],[Entradas]]-STOCK[[#This Row],[Salidas]]</f>
        <v>0</v>
      </c>
      <c r="M102" s="53">
        <f>STOCK[[#This Row],[Precio Final]]*10%</f>
        <v>1.3</v>
      </c>
      <c r="N102" s="53">
        <v>121</v>
      </c>
      <c r="O102" s="53">
        <v>18</v>
      </c>
      <c r="P102" s="53">
        <v>6.72222222222222</v>
      </c>
      <c r="Q102" s="71">
        <v>165</v>
      </c>
      <c r="R102" s="53">
        <v>8</v>
      </c>
      <c r="S102" s="53">
        <f>STOCK[[#This Row],[Peso (g)]]*STOCK[[#This Row],[Precio Envío Kilogramo (USD)]]/1000</f>
        <v>1.32</v>
      </c>
      <c r="T102" s="53">
        <f>STOCK[[#This Row],[Costo Unitario (USD)]]+STOCK[[#This Row],[Costo Envío (USD)]]+STOCK[[#This Row],[Comisión 10%]]</f>
        <v>9.34222222222222</v>
      </c>
      <c r="U102" s="53">
        <f>STOCK[[#This Row],[Costo total]]*1.5</f>
        <v>14.0133333333333</v>
      </c>
      <c r="V102" s="53">
        <v>13</v>
      </c>
      <c r="W102" s="53">
        <f>STOCK[[#This Row],[Precio Final]]-STOCK[[#This Row],[Costo total]]</f>
        <v>3.65777777777778</v>
      </c>
      <c r="X102" s="53">
        <f>STOCK[[#This Row],[Ganancia Unitaria]]*STOCK[[#This Row],[Salidas]]</f>
        <v>3.65777777777778</v>
      </c>
      <c r="Y102" s="53" t="s">
        <v>168</v>
      </c>
      <c r="AA102" s="53">
        <f>STOCK[[#This Row],[Costo total]]*STOCK[[#This Row],[Entradas]]</f>
        <v>9.34222222222222</v>
      </c>
      <c r="AB102" s="53">
        <f>STOCK[[#This Row],[Stock Actual]]*STOCK[[#This Row],[Costo total]]</f>
        <v>0</v>
      </c>
    </row>
    <row r="103" s="54" customFormat="1" ht="50" customHeight="1" spans="1:28">
      <c r="A103" s="54" t="s">
        <v>249</v>
      </c>
      <c r="B103" s="66"/>
      <c r="C103" s="54" t="s">
        <v>32</v>
      </c>
      <c r="D103" s="54" t="s">
        <v>44</v>
      </c>
      <c r="E103" s="68" t="s">
        <v>250</v>
      </c>
      <c r="F103" s="54" t="s">
        <v>42</v>
      </c>
      <c r="G103" s="54" t="s">
        <v>36</v>
      </c>
      <c r="H103" s="54">
        <f>STOCK[[#This Row],[Precio Final]]</f>
        <v>25</v>
      </c>
      <c r="I103" s="54">
        <f>STOCK[[#This Row],[Precio Venta Ideal (x1.5)]]</f>
        <v>29.55</v>
      </c>
      <c r="J103" s="72">
        <v>1</v>
      </c>
      <c r="K103" s="72">
        <f>SUMIFS(VENTAS[Cantidad],VENTAS[Código del producto Vendido],STOCK[[#This Row],[Code]])</f>
        <v>1</v>
      </c>
      <c r="L103" s="72">
        <f>STOCK[[#This Row],[Entradas]]-STOCK[[#This Row],[Salidas]]</f>
        <v>0</v>
      </c>
      <c r="M103" s="54">
        <f>STOCK[[#This Row],[Precio Final]]*10%</f>
        <v>2.5</v>
      </c>
      <c r="N103" s="54">
        <v>270</v>
      </c>
      <c r="O103" s="54">
        <v>18</v>
      </c>
      <c r="P103" s="54">
        <v>15</v>
      </c>
      <c r="Q103" s="72">
        <v>275</v>
      </c>
      <c r="R103" s="54">
        <v>8</v>
      </c>
      <c r="S103" s="54">
        <f>STOCK[[#This Row],[Peso (g)]]*STOCK[[#This Row],[Precio Envío Kilogramo (USD)]]/1000</f>
        <v>2.2</v>
      </c>
      <c r="T103" s="53">
        <f>STOCK[[#This Row],[Costo Unitario (USD)]]+STOCK[[#This Row],[Costo Envío (USD)]]+STOCK[[#This Row],[Comisión 10%]]</f>
        <v>19.7</v>
      </c>
      <c r="U103" s="54">
        <f>STOCK[[#This Row],[Costo total]]*1.5</f>
        <v>29.55</v>
      </c>
      <c r="V103" s="54">
        <v>25</v>
      </c>
      <c r="W103" s="54">
        <f>STOCK[[#This Row],[Precio Final]]-STOCK[[#This Row],[Costo total]]</f>
        <v>5.3</v>
      </c>
      <c r="X103" s="54">
        <f>STOCK[[#This Row],[Ganancia Unitaria]]*STOCK[[#This Row],[Salidas]]</f>
        <v>5.3</v>
      </c>
      <c r="Y103" s="54" t="s">
        <v>168</v>
      </c>
      <c r="AA103" s="54">
        <f>STOCK[[#This Row],[Costo total]]*STOCK[[#This Row],[Entradas]]</f>
        <v>19.7</v>
      </c>
      <c r="AB103" s="54">
        <f>STOCK[[#This Row],[Stock Actual]]*STOCK[[#This Row],[Costo total]]</f>
        <v>0</v>
      </c>
    </row>
    <row r="104" s="53" customFormat="1" ht="50" customHeight="1" spans="1:28">
      <c r="A104" s="53" t="s">
        <v>251</v>
      </c>
      <c r="B104" s="66"/>
      <c r="C104" s="53" t="s">
        <v>32</v>
      </c>
      <c r="D104" s="53" t="s">
        <v>44</v>
      </c>
      <c r="E104" s="67" t="s">
        <v>252</v>
      </c>
      <c r="F104" s="53" t="s">
        <v>211</v>
      </c>
      <c r="G104" s="53" t="s">
        <v>36</v>
      </c>
      <c r="H104" s="53">
        <f>STOCK[[#This Row],[Precio Final]]</f>
        <v>25</v>
      </c>
      <c r="I104" s="53">
        <f>STOCK[[#This Row],[Precio Venta Ideal (x1.5)]]</f>
        <v>28.89</v>
      </c>
      <c r="J104" s="71">
        <v>1</v>
      </c>
      <c r="K104" s="71">
        <f>SUMIFS(VENTAS[Cantidad],VENTAS[Código del producto Vendido],STOCK[[#This Row],[Code]])</f>
        <v>1</v>
      </c>
      <c r="L104" s="71">
        <f>STOCK[[#This Row],[Entradas]]-STOCK[[#This Row],[Salidas]]</f>
        <v>0</v>
      </c>
      <c r="M104" s="53">
        <f>STOCK[[#This Row],[Precio Final]]*10%</f>
        <v>2.5</v>
      </c>
      <c r="N104" s="53">
        <v>270</v>
      </c>
      <c r="O104" s="53">
        <v>18</v>
      </c>
      <c r="P104" s="53">
        <v>15</v>
      </c>
      <c r="Q104" s="71">
        <v>220</v>
      </c>
      <c r="R104" s="53">
        <v>8</v>
      </c>
      <c r="S104" s="53">
        <f>STOCK[[#This Row],[Peso (g)]]*STOCK[[#This Row],[Precio Envío Kilogramo (USD)]]/1000</f>
        <v>1.76</v>
      </c>
      <c r="T104" s="53">
        <f>STOCK[[#This Row],[Costo Unitario (USD)]]+STOCK[[#This Row],[Costo Envío (USD)]]+STOCK[[#This Row],[Comisión 10%]]</f>
        <v>19.26</v>
      </c>
      <c r="U104" s="53">
        <f>STOCK[[#This Row],[Costo total]]*1.5</f>
        <v>28.89</v>
      </c>
      <c r="V104" s="53">
        <v>25</v>
      </c>
      <c r="W104" s="53">
        <f>STOCK[[#This Row],[Precio Final]]-STOCK[[#This Row],[Costo total]]</f>
        <v>5.74</v>
      </c>
      <c r="X104" s="53">
        <f>STOCK[[#This Row],[Ganancia Unitaria]]*STOCK[[#This Row],[Salidas]]</f>
        <v>5.74</v>
      </c>
      <c r="Y104" s="53" t="s">
        <v>168</v>
      </c>
      <c r="AA104" s="53">
        <f>STOCK[[#This Row],[Costo total]]*STOCK[[#This Row],[Entradas]]</f>
        <v>19.26</v>
      </c>
      <c r="AB104" s="53">
        <f>STOCK[[#This Row],[Stock Actual]]*STOCK[[#This Row],[Costo total]]</f>
        <v>0</v>
      </c>
    </row>
    <row r="105" s="54" customFormat="1" ht="50" customHeight="1" spans="1:28">
      <c r="A105" s="54" t="s">
        <v>253</v>
      </c>
      <c r="B105" s="66"/>
      <c r="C105" s="54" t="s">
        <v>32</v>
      </c>
      <c r="D105" s="54" t="s">
        <v>44</v>
      </c>
      <c r="E105" s="68" t="s">
        <v>250</v>
      </c>
      <c r="F105" s="54" t="s">
        <v>62</v>
      </c>
      <c r="G105" s="54" t="s">
        <v>36</v>
      </c>
      <c r="H105" s="54">
        <f>STOCK[[#This Row],[Precio Final]]</f>
        <v>25</v>
      </c>
      <c r="I105" s="54">
        <f>STOCK[[#This Row],[Precio Venta Ideal (x1.5)]]</f>
        <v>28.95</v>
      </c>
      <c r="J105" s="72">
        <v>1</v>
      </c>
      <c r="K105" s="72">
        <f>SUMIFS(VENTAS[Cantidad],VENTAS[Código del producto Vendido],STOCK[[#This Row],[Code]])</f>
        <v>1</v>
      </c>
      <c r="L105" s="72">
        <f>STOCK[[#This Row],[Entradas]]-STOCK[[#This Row],[Salidas]]</f>
        <v>0</v>
      </c>
      <c r="M105" s="54">
        <f>STOCK[[#This Row],[Precio Final]]*10%</f>
        <v>2.5</v>
      </c>
      <c r="N105" s="54">
        <v>270</v>
      </c>
      <c r="O105" s="54">
        <v>18</v>
      </c>
      <c r="P105" s="54">
        <v>15</v>
      </c>
      <c r="Q105" s="72">
        <v>225</v>
      </c>
      <c r="R105" s="54">
        <v>8</v>
      </c>
      <c r="S105" s="54">
        <f>STOCK[[#This Row],[Peso (g)]]*STOCK[[#This Row],[Precio Envío Kilogramo (USD)]]/1000</f>
        <v>1.8</v>
      </c>
      <c r="T105" s="53">
        <f>STOCK[[#This Row],[Costo Unitario (USD)]]+STOCK[[#This Row],[Costo Envío (USD)]]+STOCK[[#This Row],[Comisión 10%]]</f>
        <v>19.3</v>
      </c>
      <c r="U105" s="54">
        <f>STOCK[[#This Row],[Costo total]]*1.5</f>
        <v>28.95</v>
      </c>
      <c r="V105" s="54">
        <v>25</v>
      </c>
      <c r="W105" s="54">
        <f>STOCK[[#This Row],[Precio Final]]-STOCK[[#This Row],[Costo total]]</f>
        <v>5.7</v>
      </c>
      <c r="X105" s="54">
        <f>STOCK[[#This Row],[Ganancia Unitaria]]*STOCK[[#This Row],[Salidas]]</f>
        <v>5.7</v>
      </c>
      <c r="Y105" s="54" t="s">
        <v>168</v>
      </c>
      <c r="AA105" s="54">
        <f>STOCK[[#This Row],[Costo total]]*STOCK[[#This Row],[Entradas]]</f>
        <v>19.3</v>
      </c>
      <c r="AB105" s="54">
        <f>STOCK[[#This Row],[Stock Actual]]*STOCK[[#This Row],[Costo total]]</f>
        <v>0</v>
      </c>
    </row>
    <row r="106" s="53" customFormat="1" ht="50" customHeight="1" spans="1:28">
      <c r="A106" s="53" t="s">
        <v>254</v>
      </c>
      <c r="B106" s="66"/>
      <c r="C106" s="53" t="s">
        <v>32</v>
      </c>
      <c r="D106" s="53" t="s">
        <v>174</v>
      </c>
      <c r="E106" s="67" t="s">
        <v>255</v>
      </c>
      <c r="F106" s="53" t="s">
        <v>187</v>
      </c>
      <c r="G106" s="53" t="s">
        <v>36</v>
      </c>
      <c r="H106" s="53">
        <f>STOCK[[#This Row],[Precio Final]]</f>
        <v>12</v>
      </c>
      <c r="I106" s="53">
        <f>STOCK[[#This Row],[Precio Venta Ideal (x1.5)]]</f>
        <v>14.3133333333333</v>
      </c>
      <c r="J106" s="71">
        <v>1</v>
      </c>
      <c r="K106" s="71">
        <f>SUMIFS(VENTAS[Cantidad],VENTAS[Código del producto Vendido],STOCK[[#This Row],[Code]])</f>
        <v>1</v>
      </c>
      <c r="L106" s="71">
        <f>STOCK[[#This Row],[Entradas]]-STOCK[[#This Row],[Salidas]]</f>
        <v>0</v>
      </c>
      <c r="M106" s="53">
        <f>STOCK[[#This Row],[Precio Final]]*10%</f>
        <v>1.2</v>
      </c>
      <c r="N106" s="53">
        <v>130</v>
      </c>
      <c r="O106" s="53">
        <v>18</v>
      </c>
      <c r="P106" s="53">
        <v>7.22222222222222</v>
      </c>
      <c r="Q106" s="71">
        <v>140</v>
      </c>
      <c r="R106" s="53">
        <v>8</v>
      </c>
      <c r="S106" s="53">
        <f>STOCK[[#This Row],[Peso (g)]]*STOCK[[#This Row],[Precio Envío Kilogramo (USD)]]/1000</f>
        <v>1.12</v>
      </c>
      <c r="T106" s="53">
        <f>STOCK[[#This Row],[Costo Unitario (USD)]]+STOCK[[#This Row],[Costo Envío (USD)]]+STOCK[[#This Row],[Comisión 10%]]</f>
        <v>9.54222222222222</v>
      </c>
      <c r="U106" s="53">
        <f>STOCK[[#This Row],[Costo total]]*1.5</f>
        <v>14.3133333333333</v>
      </c>
      <c r="V106" s="53">
        <v>12</v>
      </c>
      <c r="W106" s="53">
        <f>STOCK[[#This Row],[Precio Final]]-STOCK[[#This Row],[Costo total]]</f>
        <v>2.45777777777778</v>
      </c>
      <c r="X106" s="53">
        <f>STOCK[[#This Row],[Ganancia Unitaria]]*STOCK[[#This Row],[Salidas]]</f>
        <v>2.45777777777778</v>
      </c>
      <c r="Y106" s="53" t="s">
        <v>168</v>
      </c>
      <c r="AA106" s="53">
        <f>STOCK[[#This Row],[Costo total]]*STOCK[[#This Row],[Entradas]]</f>
        <v>9.54222222222222</v>
      </c>
      <c r="AB106" s="53">
        <f>STOCK[[#This Row],[Stock Actual]]*STOCK[[#This Row],[Costo total]]</f>
        <v>0</v>
      </c>
    </row>
    <row r="107" s="54" customFormat="1" ht="50" customHeight="1" spans="1:28">
      <c r="A107" s="54" t="s">
        <v>256</v>
      </c>
      <c r="B107" s="66"/>
      <c r="C107" s="54" t="s">
        <v>32</v>
      </c>
      <c r="D107" s="54" t="s">
        <v>174</v>
      </c>
      <c r="E107" s="68" t="s">
        <v>257</v>
      </c>
      <c r="F107" s="54" t="s">
        <v>258</v>
      </c>
      <c r="G107" s="54" t="s">
        <v>36</v>
      </c>
      <c r="H107" s="54">
        <f>STOCK[[#This Row],[Precio Final]]</f>
        <v>14</v>
      </c>
      <c r="I107" s="54">
        <f>STOCK[[#This Row],[Precio Venta Ideal (x1.5)]]</f>
        <v>14.6133333333333</v>
      </c>
      <c r="J107" s="72">
        <v>1</v>
      </c>
      <c r="K107" s="72">
        <f>SUMIFS(VENTAS[Cantidad],VENTAS[Código del producto Vendido],STOCK[[#This Row],[Code]])</f>
        <v>1</v>
      </c>
      <c r="L107" s="72">
        <f>STOCK[[#This Row],[Entradas]]-STOCK[[#This Row],[Salidas]]</f>
        <v>0</v>
      </c>
      <c r="M107" s="54">
        <f>STOCK[[#This Row],[Precio Final]]*10%</f>
        <v>1.4</v>
      </c>
      <c r="N107" s="54">
        <v>130</v>
      </c>
      <c r="O107" s="54">
        <v>18</v>
      </c>
      <c r="P107" s="54">
        <v>7.22222222222222</v>
      </c>
      <c r="Q107" s="72">
        <v>140</v>
      </c>
      <c r="R107" s="54">
        <v>8</v>
      </c>
      <c r="S107" s="54">
        <f>STOCK[[#This Row],[Peso (g)]]*STOCK[[#This Row],[Precio Envío Kilogramo (USD)]]/1000</f>
        <v>1.12</v>
      </c>
      <c r="T107" s="53">
        <f>STOCK[[#This Row],[Costo Unitario (USD)]]+STOCK[[#This Row],[Costo Envío (USD)]]+STOCK[[#This Row],[Comisión 10%]]</f>
        <v>9.74222222222222</v>
      </c>
      <c r="U107" s="54">
        <f>STOCK[[#This Row],[Costo total]]*1.5</f>
        <v>14.6133333333333</v>
      </c>
      <c r="V107" s="54">
        <v>14</v>
      </c>
      <c r="W107" s="54">
        <f>STOCK[[#This Row],[Precio Final]]-STOCK[[#This Row],[Costo total]]</f>
        <v>4.25777777777778</v>
      </c>
      <c r="X107" s="54">
        <f>STOCK[[#This Row],[Ganancia Unitaria]]*STOCK[[#This Row],[Salidas]]</f>
        <v>4.25777777777778</v>
      </c>
      <c r="Y107" s="54" t="s">
        <v>168</v>
      </c>
      <c r="AA107" s="54">
        <f>STOCK[[#This Row],[Costo total]]*STOCK[[#This Row],[Entradas]]</f>
        <v>9.74222222222222</v>
      </c>
      <c r="AB107" s="54">
        <f>STOCK[[#This Row],[Stock Actual]]*STOCK[[#This Row],[Costo total]]</f>
        <v>0</v>
      </c>
    </row>
    <row r="108" s="53" customFormat="1" ht="50" customHeight="1" spans="1:28">
      <c r="A108" s="53" t="s">
        <v>259</v>
      </c>
      <c r="B108" s="66"/>
      <c r="C108" s="53" t="s">
        <v>32</v>
      </c>
      <c r="D108" s="53" t="s">
        <v>174</v>
      </c>
      <c r="E108" s="67" t="s">
        <v>260</v>
      </c>
      <c r="F108" s="53" t="s">
        <v>62</v>
      </c>
      <c r="G108" s="53" t="s">
        <v>36</v>
      </c>
      <c r="H108" s="53">
        <f>STOCK[[#This Row],[Precio Final]]</f>
        <v>12</v>
      </c>
      <c r="I108" s="53">
        <f>STOCK[[#This Row],[Precio Venta Ideal (x1.5)]]</f>
        <v>13.0666666666667</v>
      </c>
      <c r="J108" s="71">
        <v>1</v>
      </c>
      <c r="K108" s="71">
        <f>SUMIFS(VENTAS[Cantidad],VENTAS[Código del producto Vendido],STOCK[[#This Row],[Code]])</f>
        <v>1</v>
      </c>
      <c r="L108" s="71">
        <f>STOCK[[#This Row],[Entradas]]-STOCK[[#This Row],[Salidas]]</f>
        <v>0</v>
      </c>
      <c r="M108" s="53">
        <f>STOCK[[#This Row],[Precio Final]]*10%</f>
        <v>1.2</v>
      </c>
      <c r="N108" s="53">
        <v>110</v>
      </c>
      <c r="O108" s="53">
        <v>18</v>
      </c>
      <c r="P108" s="53">
        <v>6.11111111111111</v>
      </c>
      <c r="Q108" s="71">
        <v>175</v>
      </c>
      <c r="R108" s="53">
        <v>8</v>
      </c>
      <c r="S108" s="53">
        <f>STOCK[[#This Row],[Peso (g)]]*STOCK[[#This Row],[Precio Envío Kilogramo (USD)]]/1000</f>
        <v>1.4</v>
      </c>
      <c r="T108" s="53">
        <f>STOCK[[#This Row],[Costo Unitario (USD)]]+STOCK[[#This Row],[Costo Envío (USD)]]+STOCK[[#This Row],[Comisión 10%]]</f>
        <v>8.71111111111111</v>
      </c>
      <c r="U108" s="53">
        <f>STOCK[[#This Row],[Costo total]]*1.5</f>
        <v>13.0666666666667</v>
      </c>
      <c r="V108" s="53">
        <v>12</v>
      </c>
      <c r="W108" s="53">
        <f>STOCK[[#This Row],[Precio Final]]-STOCK[[#This Row],[Costo total]]</f>
        <v>3.28888888888889</v>
      </c>
      <c r="X108" s="53">
        <f>STOCK[[#This Row],[Ganancia Unitaria]]*STOCK[[#This Row],[Salidas]]</f>
        <v>3.28888888888889</v>
      </c>
      <c r="Y108" s="53" t="s">
        <v>168</v>
      </c>
      <c r="AA108" s="53">
        <f>STOCK[[#This Row],[Costo total]]*STOCK[[#This Row],[Entradas]]</f>
        <v>8.71111111111111</v>
      </c>
      <c r="AB108" s="53">
        <f>STOCK[[#This Row],[Stock Actual]]*STOCK[[#This Row],[Costo total]]</f>
        <v>0</v>
      </c>
    </row>
    <row r="109" s="54" customFormat="1" ht="50" customHeight="1" spans="1:28">
      <c r="A109" s="54" t="s">
        <v>261</v>
      </c>
      <c r="B109" s="66"/>
      <c r="C109" s="54" t="s">
        <v>32</v>
      </c>
      <c r="D109" s="54" t="s">
        <v>174</v>
      </c>
      <c r="E109" s="68" t="s">
        <v>262</v>
      </c>
      <c r="F109" s="54" t="s">
        <v>62</v>
      </c>
      <c r="G109" s="54" t="s">
        <v>36</v>
      </c>
      <c r="H109" s="54">
        <f>STOCK[[#This Row],[Precio Final]]</f>
        <v>14</v>
      </c>
      <c r="I109" s="54">
        <f>STOCK[[#This Row],[Precio Venta Ideal (x1.5)]]</f>
        <v>14.2533333333333</v>
      </c>
      <c r="J109" s="72">
        <v>1</v>
      </c>
      <c r="K109" s="72">
        <f>SUMIFS(VENTAS[Cantidad],VENTAS[Código del producto Vendido],STOCK[[#This Row],[Code]])</f>
        <v>1</v>
      </c>
      <c r="L109" s="72">
        <f>STOCK[[#This Row],[Entradas]]-STOCK[[#This Row],[Salidas]]</f>
        <v>0</v>
      </c>
      <c r="M109" s="54">
        <f>STOCK[[#This Row],[Precio Final]]*10%</f>
        <v>1.4</v>
      </c>
      <c r="N109" s="54">
        <v>130</v>
      </c>
      <c r="O109" s="54">
        <v>18</v>
      </c>
      <c r="P109" s="54">
        <v>7.22222222222222</v>
      </c>
      <c r="Q109" s="72">
        <v>110</v>
      </c>
      <c r="R109" s="54">
        <v>8</v>
      </c>
      <c r="S109" s="54">
        <f>STOCK[[#This Row],[Peso (g)]]*STOCK[[#This Row],[Precio Envío Kilogramo (USD)]]/1000</f>
        <v>0.88</v>
      </c>
      <c r="T109" s="53">
        <f>STOCK[[#This Row],[Costo Unitario (USD)]]+STOCK[[#This Row],[Costo Envío (USD)]]+STOCK[[#This Row],[Comisión 10%]]</f>
        <v>9.50222222222222</v>
      </c>
      <c r="U109" s="54">
        <f>STOCK[[#This Row],[Costo total]]*1.5</f>
        <v>14.2533333333333</v>
      </c>
      <c r="V109" s="54">
        <v>14</v>
      </c>
      <c r="W109" s="54">
        <f>STOCK[[#This Row],[Precio Final]]-STOCK[[#This Row],[Costo total]]</f>
        <v>4.49777777777778</v>
      </c>
      <c r="X109" s="54">
        <f>STOCK[[#This Row],[Ganancia Unitaria]]*STOCK[[#This Row],[Salidas]]</f>
        <v>4.49777777777778</v>
      </c>
      <c r="Y109" s="54" t="s">
        <v>168</v>
      </c>
      <c r="AA109" s="54">
        <f>STOCK[[#This Row],[Costo total]]*STOCK[[#This Row],[Entradas]]</f>
        <v>9.50222222222222</v>
      </c>
      <c r="AB109" s="54">
        <f>STOCK[[#This Row],[Stock Actual]]*STOCK[[#This Row],[Costo total]]</f>
        <v>0</v>
      </c>
    </row>
    <row r="110" s="53" customFormat="1" ht="50" customHeight="1" spans="1:28">
      <c r="A110" s="53" t="s">
        <v>263</v>
      </c>
      <c r="B110" s="66"/>
      <c r="C110" s="53" t="s">
        <v>32</v>
      </c>
      <c r="D110" s="53" t="s">
        <v>174</v>
      </c>
      <c r="E110" s="67" t="s">
        <v>262</v>
      </c>
      <c r="F110" s="53" t="s">
        <v>49</v>
      </c>
      <c r="G110" s="53" t="s">
        <v>36</v>
      </c>
      <c r="H110" s="53">
        <f>STOCK[[#This Row],[Precio Final]]</f>
        <v>14</v>
      </c>
      <c r="I110" s="53">
        <f>STOCK[[#This Row],[Precio Venta Ideal (x1.5)]]</f>
        <v>14.1333333333333</v>
      </c>
      <c r="J110" s="71">
        <v>1</v>
      </c>
      <c r="K110" s="71">
        <f>SUMIFS(VENTAS[Cantidad],VENTAS[Código del producto Vendido],STOCK[[#This Row],[Code]])</f>
        <v>1</v>
      </c>
      <c r="L110" s="71">
        <f>STOCK[[#This Row],[Entradas]]-STOCK[[#This Row],[Salidas]]</f>
        <v>0</v>
      </c>
      <c r="M110" s="53">
        <f>STOCK[[#This Row],[Precio Final]]*10%</f>
        <v>1.4</v>
      </c>
      <c r="N110" s="53">
        <v>130</v>
      </c>
      <c r="O110" s="53">
        <v>18</v>
      </c>
      <c r="P110" s="53">
        <v>7.22222222222222</v>
      </c>
      <c r="Q110" s="71">
        <v>100</v>
      </c>
      <c r="R110" s="53">
        <v>8</v>
      </c>
      <c r="S110" s="53">
        <f>STOCK[[#This Row],[Peso (g)]]*STOCK[[#This Row],[Precio Envío Kilogramo (USD)]]/1000</f>
        <v>0.8</v>
      </c>
      <c r="T110" s="53">
        <f>STOCK[[#This Row],[Costo Unitario (USD)]]+STOCK[[#This Row],[Costo Envío (USD)]]+STOCK[[#This Row],[Comisión 10%]]</f>
        <v>9.42222222222222</v>
      </c>
      <c r="U110" s="53">
        <f>STOCK[[#This Row],[Costo total]]*1.5</f>
        <v>14.1333333333333</v>
      </c>
      <c r="V110" s="53">
        <v>14</v>
      </c>
      <c r="W110" s="53">
        <f>STOCK[[#This Row],[Precio Final]]-STOCK[[#This Row],[Costo total]]</f>
        <v>4.57777777777778</v>
      </c>
      <c r="X110" s="53">
        <f>STOCK[[#This Row],[Ganancia Unitaria]]*STOCK[[#This Row],[Salidas]]</f>
        <v>4.57777777777778</v>
      </c>
      <c r="Y110" s="53" t="s">
        <v>168</v>
      </c>
      <c r="AA110" s="53">
        <f>STOCK[[#This Row],[Costo total]]*STOCK[[#This Row],[Entradas]]</f>
        <v>9.42222222222222</v>
      </c>
      <c r="AB110" s="53">
        <f>STOCK[[#This Row],[Stock Actual]]*STOCK[[#This Row],[Costo total]]</f>
        <v>0</v>
      </c>
    </row>
    <row r="111" s="54" customFormat="1" ht="50" customHeight="1" spans="1:28">
      <c r="A111" s="54" t="s">
        <v>264</v>
      </c>
      <c r="B111" s="66"/>
      <c r="C111" s="54" t="s">
        <v>32</v>
      </c>
      <c r="D111" s="54" t="s">
        <v>174</v>
      </c>
      <c r="E111" s="68" t="s">
        <v>262</v>
      </c>
      <c r="F111" s="54" t="s">
        <v>46</v>
      </c>
      <c r="G111" s="54" t="s">
        <v>36</v>
      </c>
      <c r="H111" s="54">
        <f>STOCK[[#This Row],[Precio Final]]</f>
        <v>14</v>
      </c>
      <c r="I111" s="54">
        <f>STOCK[[#This Row],[Precio Venta Ideal (x1.5)]]</f>
        <v>14.4933333333333</v>
      </c>
      <c r="J111" s="72">
        <v>1</v>
      </c>
      <c r="K111" s="72">
        <f>SUMIFS(VENTAS[Cantidad],VENTAS[Código del producto Vendido],STOCK[[#This Row],[Code]])</f>
        <v>1</v>
      </c>
      <c r="L111" s="72">
        <f>STOCK[[#This Row],[Entradas]]-STOCK[[#This Row],[Salidas]]</f>
        <v>0</v>
      </c>
      <c r="M111" s="54">
        <f>STOCK[[#This Row],[Precio Final]]*10%</f>
        <v>1.4</v>
      </c>
      <c r="N111" s="54">
        <v>130</v>
      </c>
      <c r="O111" s="54">
        <v>18</v>
      </c>
      <c r="P111" s="54">
        <v>7.22222222222222</v>
      </c>
      <c r="Q111" s="72">
        <v>130</v>
      </c>
      <c r="R111" s="54">
        <v>8</v>
      </c>
      <c r="S111" s="54">
        <f>STOCK[[#This Row],[Peso (g)]]*STOCK[[#This Row],[Precio Envío Kilogramo (USD)]]/1000</f>
        <v>1.04</v>
      </c>
      <c r="T111" s="53">
        <f>STOCK[[#This Row],[Costo Unitario (USD)]]+STOCK[[#This Row],[Costo Envío (USD)]]+STOCK[[#This Row],[Comisión 10%]]</f>
        <v>9.66222222222222</v>
      </c>
      <c r="U111" s="54">
        <f>STOCK[[#This Row],[Costo total]]*1.5</f>
        <v>14.4933333333333</v>
      </c>
      <c r="V111" s="54">
        <v>14</v>
      </c>
      <c r="W111" s="54">
        <f>STOCK[[#This Row],[Precio Final]]-STOCK[[#This Row],[Costo total]]</f>
        <v>4.33777777777778</v>
      </c>
      <c r="X111" s="54">
        <f>STOCK[[#This Row],[Ganancia Unitaria]]*STOCK[[#This Row],[Salidas]]</f>
        <v>4.33777777777778</v>
      </c>
      <c r="Y111" s="54" t="s">
        <v>168</v>
      </c>
      <c r="AA111" s="54">
        <f>STOCK[[#This Row],[Costo total]]*STOCK[[#This Row],[Entradas]]</f>
        <v>9.66222222222222</v>
      </c>
      <c r="AB111" s="54">
        <f>STOCK[[#This Row],[Stock Actual]]*STOCK[[#This Row],[Costo total]]</f>
        <v>0</v>
      </c>
    </row>
    <row r="112" s="53" customFormat="1" ht="50" customHeight="1" spans="1:28">
      <c r="A112" s="53" t="s">
        <v>265</v>
      </c>
      <c r="B112" s="66"/>
      <c r="C112" s="53" t="s">
        <v>32</v>
      </c>
      <c r="D112" s="53" t="s">
        <v>44</v>
      </c>
      <c r="E112" s="67" t="s">
        <v>266</v>
      </c>
      <c r="F112" s="53" t="s">
        <v>62</v>
      </c>
      <c r="G112" s="53" t="s">
        <v>36</v>
      </c>
      <c r="H112" s="53">
        <f>STOCK[[#This Row],[Precio Final]]</f>
        <v>0</v>
      </c>
      <c r="I112" s="53">
        <f>STOCK[[#This Row],[Precio Venta Ideal (x1.5)]]</f>
        <v>26.8733333333334</v>
      </c>
      <c r="J112" s="71">
        <v>1</v>
      </c>
      <c r="K112" s="71">
        <f>SUMIFS(VENTAS[Cantidad],VENTAS[Código del producto Vendido],STOCK[[#This Row],[Code]])</f>
        <v>1</v>
      </c>
      <c r="L112" s="71">
        <f>STOCK[[#This Row],[Entradas]]-STOCK[[#This Row],[Salidas]]</f>
        <v>0</v>
      </c>
      <c r="M112" s="53">
        <f>STOCK[[#This Row],[Precio Final]]*10%</f>
        <v>0</v>
      </c>
      <c r="N112" s="53">
        <v>280</v>
      </c>
      <c r="O112" s="53">
        <v>18</v>
      </c>
      <c r="P112" s="53">
        <v>15.5555555555556</v>
      </c>
      <c r="Q112" s="71">
        <v>295</v>
      </c>
      <c r="R112" s="53">
        <v>8</v>
      </c>
      <c r="S112" s="53">
        <f>STOCK[[#This Row],[Peso (g)]]*STOCK[[#This Row],[Precio Envío Kilogramo (USD)]]/1000</f>
        <v>2.36</v>
      </c>
      <c r="T112" s="53">
        <f>STOCK[[#This Row],[Costo Unitario (USD)]]+STOCK[[#This Row],[Costo Envío (USD)]]+STOCK[[#This Row],[Comisión 10%]]</f>
        <v>17.9155555555556</v>
      </c>
      <c r="U112" s="53">
        <f>STOCK[[#This Row],[Costo total]]*1.5</f>
        <v>26.8733333333334</v>
      </c>
      <c r="V112" s="53">
        <v>0</v>
      </c>
      <c r="W112" s="53">
        <f>STOCK[[#This Row],[Precio Final]]-STOCK[[#This Row],[Costo total]]</f>
        <v>-17.9155555555556</v>
      </c>
      <c r="X112" s="53">
        <f>STOCK[[#This Row],[Ganancia Unitaria]]*STOCK[[#This Row],[Salidas]]</f>
        <v>-17.9155555555556</v>
      </c>
      <c r="Y112" s="53" t="s">
        <v>168</v>
      </c>
      <c r="AA112" s="53">
        <f>STOCK[[#This Row],[Costo total]]*STOCK[[#This Row],[Entradas]]</f>
        <v>17.9155555555556</v>
      </c>
      <c r="AB112" s="53">
        <f>STOCK[[#This Row],[Stock Actual]]*STOCK[[#This Row],[Costo total]]</f>
        <v>0</v>
      </c>
    </row>
    <row r="113" s="54" customFormat="1" ht="50" customHeight="1" spans="1:28">
      <c r="A113" s="54" t="s">
        <v>267</v>
      </c>
      <c r="B113" s="66"/>
      <c r="C113" s="54" t="s">
        <v>32</v>
      </c>
      <c r="D113" s="54" t="s">
        <v>44</v>
      </c>
      <c r="E113" s="68" t="s">
        <v>268</v>
      </c>
      <c r="F113" s="54" t="s">
        <v>49</v>
      </c>
      <c r="G113" s="54" t="s">
        <v>36</v>
      </c>
      <c r="H113" s="54">
        <f>STOCK[[#This Row],[Precio Final]]</f>
        <v>25</v>
      </c>
      <c r="I113" s="54">
        <f>STOCK[[#This Row],[Precio Venta Ideal (x1.5)]]</f>
        <v>23.4166666666667</v>
      </c>
      <c r="J113" s="72">
        <v>1</v>
      </c>
      <c r="K113" s="72">
        <f>SUMIFS(VENTAS[Cantidad],VENTAS[Código del producto Vendido],STOCK[[#This Row],[Code]])</f>
        <v>1</v>
      </c>
      <c r="L113" s="72">
        <f>STOCK[[#This Row],[Entradas]]-STOCK[[#This Row],[Salidas]]</f>
        <v>0</v>
      </c>
      <c r="M113" s="54">
        <f>STOCK[[#This Row],[Precio Final]]*10%</f>
        <v>2.5</v>
      </c>
      <c r="N113" s="54">
        <v>200</v>
      </c>
      <c r="O113" s="54">
        <v>18</v>
      </c>
      <c r="P113" s="54">
        <v>11.1111111111111</v>
      </c>
      <c r="Q113" s="72">
        <v>250</v>
      </c>
      <c r="R113" s="54">
        <v>8</v>
      </c>
      <c r="S113" s="54">
        <f>STOCK[[#This Row],[Peso (g)]]*STOCK[[#This Row],[Precio Envío Kilogramo (USD)]]/1000</f>
        <v>2</v>
      </c>
      <c r="T113" s="53">
        <f>STOCK[[#This Row],[Costo Unitario (USD)]]+STOCK[[#This Row],[Costo Envío (USD)]]+STOCK[[#This Row],[Comisión 10%]]</f>
        <v>15.6111111111111</v>
      </c>
      <c r="U113" s="54">
        <f>STOCK[[#This Row],[Costo total]]*1.5</f>
        <v>23.4166666666667</v>
      </c>
      <c r="V113" s="54">
        <v>25</v>
      </c>
      <c r="W113" s="54">
        <f>STOCK[[#This Row],[Precio Final]]-STOCK[[#This Row],[Costo total]]</f>
        <v>9.3888888888889</v>
      </c>
      <c r="X113" s="54">
        <f>STOCK[[#This Row],[Ganancia Unitaria]]*STOCK[[#This Row],[Salidas]]</f>
        <v>9.3888888888889</v>
      </c>
      <c r="Y113" s="54" t="s">
        <v>168</v>
      </c>
      <c r="AA113" s="54">
        <f>STOCK[[#This Row],[Costo total]]*STOCK[[#This Row],[Entradas]]</f>
        <v>15.6111111111111</v>
      </c>
      <c r="AB113" s="54">
        <f>STOCK[[#This Row],[Stock Actual]]*STOCK[[#This Row],[Costo total]]</f>
        <v>0</v>
      </c>
    </row>
    <row r="114" s="53" customFormat="1" ht="50" customHeight="1" spans="1:28">
      <c r="A114" s="53" t="s">
        <v>269</v>
      </c>
      <c r="B114" s="66"/>
      <c r="C114" s="53" t="s">
        <v>32</v>
      </c>
      <c r="D114" s="53" t="s">
        <v>44</v>
      </c>
      <c r="E114" s="67" t="s">
        <v>268</v>
      </c>
      <c r="F114" s="53" t="s">
        <v>62</v>
      </c>
      <c r="G114" s="53" t="s">
        <v>36</v>
      </c>
      <c r="H114" s="53">
        <f>STOCK[[#This Row],[Precio Final]]</f>
        <v>25</v>
      </c>
      <c r="I114" s="53">
        <f>STOCK[[#This Row],[Precio Venta Ideal (x1.5)]]</f>
        <v>23.3566666666667</v>
      </c>
      <c r="J114" s="71">
        <v>1</v>
      </c>
      <c r="K114" s="71">
        <f>SUMIFS(VENTAS[Cantidad],VENTAS[Código del producto Vendido],STOCK[[#This Row],[Code]])</f>
        <v>1</v>
      </c>
      <c r="L114" s="71">
        <f>STOCK[[#This Row],[Entradas]]-STOCK[[#This Row],[Salidas]]</f>
        <v>0</v>
      </c>
      <c r="M114" s="53">
        <f>STOCK[[#This Row],[Precio Final]]*10%</f>
        <v>2.5</v>
      </c>
      <c r="N114" s="53">
        <v>200</v>
      </c>
      <c r="O114" s="53">
        <v>18</v>
      </c>
      <c r="P114" s="53">
        <v>11.1111111111111</v>
      </c>
      <c r="Q114" s="71">
        <v>245</v>
      </c>
      <c r="R114" s="53">
        <v>8</v>
      </c>
      <c r="S114" s="53">
        <f>STOCK[[#This Row],[Peso (g)]]*STOCK[[#This Row],[Precio Envío Kilogramo (USD)]]/1000</f>
        <v>1.96</v>
      </c>
      <c r="T114" s="53">
        <f>STOCK[[#This Row],[Costo Unitario (USD)]]+STOCK[[#This Row],[Costo Envío (USD)]]+STOCK[[#This Row],[Comisión 10%]]</f>
        <v>15.5711111111111</v>
      </c>
      <c r="U114" s="53">
        <f>STOCK[[#This Row],[Costo total]]*1.5</f>
        <v>23.3566666666667</v>
      </c>
      <c r="V114" s="53">
        <v>25</v>
      </c>
      <c r="W114" s="53">
        <f>STOCK[[#This Row],[Precio Final]]-STOCK[[#This Row],[Costo total]]</f>
        <v>9.4288888888889</v>
      </c>
      <c r="X114" s="53">
        <f>STOCK[[#This Row],[Ganancia Unitaria]]*STOCK[[#This Row],[Salidas]]</f>
        <v>9.4288888888889</v>
      </c>
      <c r="Y114" s="53" t="s">
        <v>168</v>
      </c>
      <c r="AA114" s="53">
        <f>STOCK[[#This Row],[Costo total]]*STOCK[[#This Row],[Entradas]]</f>
        <v>15.5711111111111</v>
      </c>
      <c r="AB114" s="53">
        <f>STOCK[[#This Row],[Stock Actual]]*STOCK[[#This Row],[Costo total]]</f>
        <v>0</v>
      </c>
    </row>
    <row r="115" s="54" customFormat="1" ht="50" customHeight="1" spans="1:28">
      <c r="A115" s="54" t="s">
        <v>270</v>
      </c>
      <c r="B115" s="66"/>
      <c r="C115" s="54" t="s">
        <v>32</v>
      </c>
      <c r="D115" s="54" t="s">
        <v>216</v>
      </c>
      <c r="E115" s="68" t="s">
        <v>271</v>
      </c>
      <c r="F115" s="54" t="s">
        <v>211</v>
      </c>
      <c r="G115" s="54" t="s">
        <v>36</v>
      </c>
      <c r="H115" s="54">
        <f>STOCK[[#This Row],[Precio Final]]</f>
        <v>20</v>
      </c>
      <c r="I115" s="54">
        <f>STOCK[[#This Row],[Precio Venta Ideal (x1.5)]]</f>
        <v>23.0833333333333</v>
      </c>
      <c r="J115" s="72">
        <v>1</v>
      </c>
      <c r="K115" s="72">
        <f>SUMIFS(VENTAS[Cantidad],VENTAS[Código del producto Vendido],STOCK[[#This Row],[Code]])</f>
        <v>1</v>
      </c>
      <c r="L115" s="72">
        <f>STOCK[[#This Row],[Entradas]]-STOCK[[#This Row],[Salidas]]</f>
        <v>0</v>
      </c>
      <c r="M115" s="54">
        <f>STOCK[[#This Row],[Precio Final]]*10%</f>
        <v>2</v>
      </c>
      <c r="N115" s="54">
        <v>205</v>
      </c>
      <c r="O115" s="54">
        <v>18</v>
      </c>
      <c r="P115" s="54">
        <v>11.3888888888889</v>
      </c>
      <c r="Q115" s="72">
        <v>250</v>
      </c>
      <c r="R115" s="54">
        <v>8</v>
      </c>
      <c r="S115" s="54">
        <f>STOCK[[#This Row],[Peso (g)]]*STOCK[[#This Row],[Precio Envío Kilogramo (USD)]]/1000</f>
        <v>2</v>
      </c>
      <c r="T115" s="53">
        <f>STOCK[[#This Row],[Costo Unitario (USD)]]+STOCK[[#This Row],[Costo Envío (USD)]]+STOCK[[#This Row],[Comisión 10%]]</f>
        <v>15.3888888888889</v>
      </c>
      <c r="U115" s="54">
        <f>STOCK[[#This Row],[Costo total]]*1.5</f>
        <v>23.0833333333333</v>
      </c>
      <c r="V115" s="54">
        <v>20</v>
      </c>
      <c r="W115" s="54">
        <f>STOCK[[#This Row],[Precio Final]]-STOCK[[#This Row],[Costo total]]</f>
        <v>4.6111111111111</v>
      </c>
      <c r="X115" s="54">
        <f>STOCK[[#This Row],[Ganancia Unitaria]]*STOCK[[#This Row],[Salidas]]</f>
        <v>4.6111111111111</v>
      </c>
      <c r="Y115" s="54" t="s">
        <v>168</v>
      </c>
      <c r="AA115" s="54">
        <f>STOCK[[#This Row],[Costo total]]*STOCK[[#This Row],[Entradas]]</f>
        <v>15.3888888888889</v>
      </c>
      <c r="AB115" s="54">
        <f>STOCK[[#This Row],[Stock Actual]]*STOCK[[#This Row],[Costo total]]</f>
        <v>0</v>
      </c>
    </row>
    <row r="116" s="53" customFormat="1" ht="50" customHeight="1" spans="1:28">
      <c r="A116" s="53" t="s">
        <v>272</v>
      </c>
      <c r="B116" s="66"/>
      <c r="C116" s="53" t="s">
        <v>32</v>
      </c>
      <c r="D116" s="53" t="s">
        <v>44</v>
      </c>
      <c r="E116" s="67" t="s">
        <v>273</v>
      </c>
      <c r="F116" s="53" t="s">
        <v>62</v>
      </c>
      <c r="G116" s="53" t="s">
        <v>36</v>
      </c>
      <c r="H116" s="53">
        <f>STOCK[[#This Row],[Precio Final]]</f>
        <v>22</v>
      </c>
      <c r="I116" s="53">
        <f>STOCK[[#This Row],[Precio Venta Ideal (x1.5)]]</f>
        <v>23.3833333333333</v>
      </c>
      <c r="J116" s="71">
        <v>1</v>
      </c>
      <c r="K116" s="71">
        <f>SUMIFS(VENTAS[Cantidad],VENTAS[Código del producto Vendido],STOCK[[#This Row],[Code]])</f>
        <v>1</v>
      </c>
      <c r="L116" s="71">
        <f>STOCK[[#This Row],[Entradas]]-STOCK[[#This Row],[Salidas]]</f>
        <v>0</v>
      </c>
      <c r="M116" s="53">
        <f>STOCK[[#This Row],[Precio Final]]*10%</f>
        <v>2.2</v>
      </c>
      <c r="N116" s="53">
        <v>205</v>
      </c>
      <c r="O116" s="53">
        <v>18</v>
      </c>
      <c r="P116" s="53">
        <v>11.3888888888889</v>
      </c>
      <c r="Q116" s="71">
        <v>250</v>
      </c>
      <c r="R116" s="53">
        <v>8</v>
      </c>
      <c r="S116" s="53">
        <f>STOCK[[#This Row],[Peso (g)]]*STOCK[[#This Row],[Precio Envío Kilogramo (USD)]]/1000</f>
        <v>2</v>
      </c>
      <c r="T116" s="53">
        <f>STOCK[[#This Row],[Costo Unitario (USD)]]+STOCK[[#This Row],[Costo Envío (USD)]]+STOCK[[#This Row],[Comisión 10%]]</f>
        <v>15.5888888888889</v>
      </c>
      <c r="U116" s="53">
        <f>STOCK[[#This Row],[Costo total]]*1.5</f>
        <v>23.3833333333333</v>
      </c>
      <c r="V116" s="53">
        <v>22</v>
      </c>
      <c r="W116" s="53">
        <f>STOCK[[#This Row],[Precio Final]]-STOCK[[#This Row],[Costo total]]</f>
        <v>6.4111111111111</v>
      </c>
      <c r="X116" s="53">
        <f>STOCK[[#This Row],[Ganancia Unitaria]]*STOCK[[#This Row],[Salidas]]</f>
        <v>6.4111111111111</v>
      </c>
      <c r="Y116" s="53" t="s">
        <v>168</v>
      </c>
      <c r="AA116" s="53">
        <f>STOCK[[#This Row],[Costo total]]*STOCK[[#This Row],[Entradas]]</f>
        <v>15.5888888888889</v>
      </c>
      <c r="AB116" s="53">
        <f>STOCK[[#This Row],[Stock Actual]]*STOCK[[#This Row],[Costo total]]</f>
        <v>0</v>
      </c>
    </row>
    <row r="117" s="54" customFormat="1" ht="50" customHeight="1" spans="1:28">
      <c r="A117" s="54" t="s">
        <v>274</v>
      </c>
      <c r="B117" s="66"/>
      <c r="C117" s="54" t="s">
        <v>32</v>
      </c>
      <c r="D117" s="54" t="s">
        <v>203</v>
      </c>
      <c r="E117" s="68" t="s">
        <v>271</v>
      </c>
      <c r="F117" s="54" t="s">
        <v>83</v>
      </c>
      <c r="G117" s="54" t="s">
        <v>36</v>
      </c>
      <c r="H117" s="54">
        <f>STOCK[[#This Row],[Precio Final]]</f>
        <v>20</v>
      </c>
      <c r="I117" s="54">
        <f>STOCK[[#This Row],[Precio Venta Ideal (x1.5)]]</f>
        <v>23.6833333333334</v>
      </c>
      <c r="J117" s="72">
        <v>1</v>
      </c>
      <c r="K117" s="72">
        <f>SUMIFS(VENTAS[Cantidad],VENTAS[Código del producto Vendido],STOCK[[#This Row],[Code]])</f>
        <v>1</v>
      </c>
      <c r="L117" s="72">
        <f>STOCK[[#This Row],[Entradas]]-STOCK[[#This Row],[Salidas]]</f>
        <v>0</v>
      </c>
      <c r="M117" s="54">
        <f>STOCK[[#This Row],[Precio Final]]*10%</f>
        <v>2</v>
      </c>
      <c r="N117" s="54">
        <v>205</v>
      </c>
      <c r="O117" s="54">
        <v>18</v>
      </c>
      <c r="P117" s="54">
        <v>11.3888888888889</v>
      </c>
      <c r="Q117" s="72">
        <v>300</v>
      </c>
      <c r="R117" s="54">
        <v>8</v>
      </c>
      <c r="S117" s="54">
        <f>STOCK[[#This Row],[Peso (g)]]*STOCK[[#This Row],[Precio Envío Kilogramo (USD)]]/1000</f>
        <v>2.4</v>
      </c>
      <c r="T117" s="53">
        <f>STOCK[[#This Row],[Costo Unitario (USD)]]+STOCK[[#This Row],[Costo Envío (USD)]]+STOCK[[#This Row],[Comisión 10%]]</f>
        <v>15.7888888888889</v>
      </c>
      <c r="U117" s="54">
        <f>STOCK[[#This Row],[Costo total]]*1.5</f>
        <v>23.6833333333334</v>
      </c>
      <c r="V117" s="54">
        <v>20</v>
      </c>
      <c r="W117" s="54">
        <f>STOCK[[#This Row],[Precio Final]]-STOCK[[#This Row],[Costo total]]</f>
        <v>4.2111111111111</v>
      </c>
      <c r="X117" s="54">
        <f>STOCK[[#This Row],[Ganancia Unitaria]]*STOCK[[#This Row],[Salidas]]</f>
        <v>4.2111111111111</v>
      </c>
      <c r="Y117" s="54" t="s">
        <v>168</v>
      </c>
      <c r="AA117" s="54">
        <f>STOCK[[#This Row],[Costo total]]*STOCK[[#This Row],[Entradas]]</f>
        <v>15.7888888888889</v>
      </c>
      <c r="AB117" s="54">
        <f>STOCK[[#This Row],[Stock Actual]]*STOCK[[#This Row],[Costo total]]</f>
        <v>0</v>
      </c>
    </row>
    <row r="118" s="53" customFormat="1" ht="50" customHeight="1" spans="1:28">
      <c r="A118" s="53" t="s">
        <v>275</v>
      </c>
      <c r="B118" s="66"/>
      <c r="C118" s="53" t="s">
        <v>32</v>
      </c>
      <c r="D118" s="53" t="s">
        <v>44</v>
      </c>
      <c r="E118" s="67" t="s">
        <v>273</v>
      </c>
      <c r="F118" s="53" t="s">
        <v>46</v>
      </c>
      <c r="G118" s="53" t="s">
        <v>36</v>
      </c>
      <c r="H118" s="53">
        <f>STOCK[[#This Row],[Precio Final]]</f>
        <v>22</v>
      </c>
      <c r="I118" s="53">
        <f>STOCK[[#This Row],[Precio Venta Ideal (x1.5)]]</f>
        <v>23.9833333333334</v>
      </c>
      <c r="J118" s="71">
        <v>1</v>
      </c>
      <c r="K118" s="71">
        <f>SUMIFS(VENTAS[Cantidad],VENTAS[Código del producto Vendido],STOCK[[#This Row],[Code]])</f>
        <v>1</v>
      </c>
      <c r="L118" s="71">
        <f>STOCK[[#This Row],[Entradas]]-STOCK[[#This Row],[Salidas]]</f>
        <v>0</v>
      </c>
      <c r="M118" s="53">
        <f>STOCK[[#This Row],[Precio Final]]*10%</f>
        <v>2.2</v>
      </c>
      <c r="N118" s="53">
        <v>205</v>
      </c>
      <c r="O118" s="53">
        <v>18</v>
      </c>
      <c r="P118" s="53">
        <v>11.3888888888889</v>
      </c>
      <c r="Q118" s="71">
        <v>300</v>
      </c>
      <c r="R118" s="53">
        <v>8</v>
      </c>
      <c r="S118" s="53">
        <f>STOCK[[#This Row],[Peso (g)]]*STOCK[[#This Row],[Precio Envío Kilogramo (USD)]]/1000</f>
        <v>2.4</v>
      </c>
      <c r="T118" s="53">
        <f>STOCK[[#This Row],[Costo Unitario (USD)]]+STOCK[[#This Row],[Costo Envío (USD)]]+STOCK[[#This Row],[Comisión 10%]]</f>
        <v>15.9888888888889</v>
      </c>
      <c r="U118" s="53">
        <f>STOCK[[#This Row],[Costo total]]*1.5</f>
        <v>23.9833333333334</v>
      </c>
      <c r="V118" s="53">
        <v>22</v>
      </c>
      <c r="W118" s="53">
        <f>STOCK[[#This Row],[Precio Final]]-STOCK[[#This Row],[Costo total]]</f>
        <v>6.0111111111111</v>
      </c>
      <c r="X118" s="53">
        <f>STOCK[[#This Row],[Ganancia Unitaria]]*STOCK[[#This Row],[Salidas]]</f>
        <v>6.0111111111111</v>
      </c>
      <c r="Y118" s="53" t="s">
        <v>168</v>
      </c>
      <c r="AA118" s="53">
        <f>STOCK[[#This Row],[Costo total]]*STOCK[[#This Row],[Entradas]]</f>
        <v>15.9888888888889</v>
      </c>
      <c r="AB118" s="53">
        <f>STOCK[[#This Row],[Stock Actual]]*STOCK[[#This Row],[Costo total]]</f>
        <v>0</v>
      </c>
    </row>
    <row r="119" s="54" customFormat="1" ht="50" customHeight="1" spans="1:29">
      <c r="A119" s="54" t="s">
        <v>276</v>
      </c>
      <c r="B119" s="66"/>
      <c r="C119" s="54" t="s">
        <v>32</v>
      </c>
      <c r="D119" s="54" t="s">
        <v>196</v>
      </c>
      <c r="E119" s="68" t="s">
        <v>277</v>
      </c>
      <c r="F119" s="54" t="s">
        <v>49</v>
      </c>
      <c r="G119" s="54" t="s">
        <v>36</v>
      </c>
      <c r="H119" s="54">
        <f>STOCK[[#This Row],[Precio Final]]</f>
        <v>25</v>
      </c>
      <c r="I119" s="54">
        <f>STOCK[[#This Row],[Precio Venta Ideal (x1.5)]]</f>
        <v>22.8166666666666</v>
      </c>
      <c r="J119" s="72">
        <v>1</v>
      </c>
      <c r="K119" s="72">
        <f>SUMIFS(VENTAS[Cantidad],VENTAS[Código del producto Vendido],STOCK[[#This Row],[Code]])</f>
        <v>0</v>
      </c>
      <c r="L119" s="72">
        <f>STOCK[[#This Row],[Entradas]]-STOCK[[#This Row],[Salidas]]</f>
        <v>1</v>
      </c>
      <c r="M119" s="54">
        <f>STOCK[[#This Row],[Precio Final]]*10%</f>
        <v>2.5</v>
      </c>
      <c r="N119" s="54">
        <v>200</v>
      </c>
      <c r="O119" s="54">
        <v>18</v>
      </c>
      <c r="P119" s="54">
        <v>11.1111111111111</v>
      </c>
      <c r="Q119" s="72">
        <v>200</v>
      </c>
      <c r="R119" s="54">
        <v>8</v>
      </c>
      <c r="S119" s="54">
        <f>STOCK[[#This Row],[Peso (g)]]*STOCK[[#This Row],[Precio Envío Kilogramo (USD)]]/1000</f>
        <v>1.6</v>
      </c>
      <c r="T119" s="53">
        <f>STOCK[[#This Row],[Costo Unitario (USD)]]+STOCK[[#This Row],[Costo Envío (USD)]]+STOCK[[#This Row],[Comisión 10%]]</f>
        <v>15.2111111111111</v>
      </c>
      <c r="U119" s="54">
        <f>STOCK[[#This Row],[Costo total]]*1.5</f>
        <v>22.8166666666666</v>
      </c>
      <c r="V119" s="54">
        <v>25</v>
      </c>
      <c r="W119" s="54">
        <f>STOCK[[#This Row],[Precio Final]]-STOCK[[#This Row],[Costo total]]</f>
        <v>9.7888888888889</v>
      </c>
      <c r="X119" s="54">
        <f>STOCK[[#This Row],[Ganancia Unitaria]]*STOCK[[#This Row],[Salidas]]</f>
        <v>0</v>
      </c>
      <c r="Y119" s="54" t="s">
        <v>278</v>
      </c>
      <c r="AA119" s="54">
        <f>STOCK[[#This Row],[Costo total]]*STOCK[[#This Row],[Entradas]]</f>
        <v>15.2111111111111</v>
      </c>
      <c r="AB119" s="54">
        <f>STOCK[[#This Row],[Stock Actual]]*STOCK[[#This Row],[Costo total]]</f>
        <v>15.2111111111111</v>
      </c>
      <c r="AC119" s="54">
        <v>18</v>
      </c>
    </row>
    <row r="120" s="53" customFormat="1" ht="50" customHeight="1" spans="1:28">
      <c r="A120" s="53" t="s">
        <v>279</v>
      </c>
      <c r="B120" s="66"/>
      <c r="C120" s="53" t="s">
        <v>32</v>
      </c>
      <c r="D120" s="53" t="s">
        <v>174</v>
      </c>
      <c r="E120" s="67" t="s">
        <v>280</v>
      </c>
      <c r="F120" s="53" t="s">
        <v>281</v>
      </c>
      <c r="G120" s="53" t="s">
        <v>36</v>
      </c>
      <c r="H120" s="53">
        <f>STOCK[[#This Row],[Precio Final]]</f>
        <v>14</v>
      </c>
      <c r="I120" s="53">
        <f>STOCK[[#This Row],[Precio Venta Ideal (x1.5)]]</f>
        <v>12.5933333333333</v>
      </c>
      <c r="J120" s="71">
        <v>1</v>
      </c>
      <c r="K120" s="71">
        <f>SUMIFS(VENTAS[Cantidad],VENTAS[Código del producto Vendido],STOCK[[#This Row],[Code]])</f>
        <v>1</v>
      </c>
      <c r="L120" s="71">
        <f>STOCK[[#This Row],[Entradas]]-STOCK[[#This Row],[Salidas]]</f>
        <v>0</v>
      </c>
      <c r="M120" s="53">
        <f>STOCK[[#This Row],[Precio Final]]*10%</f>
        <v>1.4</v>
      </c>
      <c r="N120" s="53">
        <v>100</v>
      </c>
      <c r="O120" s="53">
        <v>18</v>
      </c>
      <c r="P120" s="53">
        <v>5.55555555555556</v>
      </c>
      <c r="Q120" s="71">
        <v>180</v>
      </c>
      <c r="R120" s="53">
        <v>8</v>
      </c>
      <c r="S120" s="53">
        <f>STOCK[[#This Row],[Peso (g)]]*STOCK[[#This Row],[Precio Envío Kilogramo (USD)]]/1000</f>
        <v>1.44</v>
      </c>
      <c r="T120" s="53">
        <f>STOCK[[#This Row],[Costo Unitario (USD)]]+STOCK[[#This Row],[Costo Envío (USD)]]+STOCK[[#This Row],[Comisión 10%]]</f>
        <v>8.39555555555556</v>
      </c>
      <c r="U120" s="53">
        <f>STOCK[[#This Row],[Costo total]]*1.5</f>
        <v>12.5933333333333</v>
      </c>
      <c r="V120" s="53">
        <v>14</v>
      </c>
      <c r="W120" s="53">
        <f>STOCK[[#This Row],[Precio Final]]-STOCK[[#This Row],[Costo total]]</f>
        <v>5.60444444444444</v>
      </c>
      <c r="X120" s="53">
        <f>STOCK[[#This Row],[Ganancia Unitaria]]*STOCK[[#This Row],[Salidas]]</f>
        <v>5.60444444444444</v>
      </c>
      <c r="Y120" s="53" t="s">
        <v>278</v>
      </c>
      <c r="AA120" s="53">
        <f>STOCK[[#This Row],[Costo total]]*STOCK[[#This Row],[Entradas]]</f>
        <v>8.39555555555556</v>
      </c>
      <c r="AB120" s="53">
        <f>STOCK[[#This Row],[Stock Actual]]*STOCK[[#This Row],[Costo total]]</f>
        <v>0</v>
      </c>
    </row>
    <row r="121" s="54" customFormat="1" ht="50" customHeight="1" spans="1:28">
      <c r="A121" s="54" t="s">
        <v>282</v>
      </c>
      <c r="B121" s="66"/>
      <c r="C121" s="54" t="s">
        <v>32</v>
      </c>
      <c r="D121" s="54" t="s">
        <v>283</v>
      </c>
      <c r="E121" s="68" t="s">
        <v>284</v>
      </c>
      <c r="F121" s="54" t="s">
        <v>187</v>
      </c>
      <c r="G121" s="54" t="s">
        <v>36</v>
      </c>
      <c r="H121" s="54">
        <f>STOCK[[#This Row],[Precio Final]]</f>
        <v>20</v>
      </c>
      <c r="I121" s="54">
        <f>STOCK[[#This Row],[Precio Venta Ideal (x1.5)]]</f>
        <v>21.3033333333333</v>
      </c>
      <c r="J121" s="72">
        <v>1</v>
      </c>
      <c r="K121" s="72">
        <f>SUMIFS(VENTAS[Cantidad],VENTAS[Código del producto Vendido],STOCK[[#This Row],[Code]])</f>
        <v>1</v>
      </c>
      <c r="L121" s="72">
        <f>STOCK[[#This Row],[Entradas]]-STOCK[[#This Row],[Salidas]]</f>
        <v>0</v>
      </c>
      <c r="M121" s="54">
        <f>STOCK[[#This Row],[Precio Final]]*10%</f>
        <v>2</v>
      </c>
      <c r="N121" s="54">
        <v>175</v>
      </c>
      <c r="O121" s="54">
        <v>18</v>
      </c>
      <c r="P121" s="54">
        <v>9.72222222222222</v>
      </c>
      <c r="Q121" s="72">
        <v>310</v>
      </c>
      <c r="R121" s="54">
        <v>8</v>
      </c>
      <c r="S121" s="54">
        <f>STOCK[[#This Row],[Peso (g)]]*STOCK[[#This Row],[Precio Envío Kilogramo (USD)]]/1000</f>
        <v>2.48</v>
      </c>
      <c r="T121" s="53">
        <f>STOCK[[#This Row],[Costo Unitario (USD)]]+STOCK[[#This Row],[Costo Envío (USD)]]+STOCK[[#This Row],[Comisión 10%]]</f>
        <v>14.2022222222222</v>
      </c>
      <c r="U121" s="54">
        <f>STOCK[[#This Row],[Costo total]]*1.5</f>
        <v>21.3033333333333</v>
      </c>
      <c r="V121" s="54">
        <v>20</v>
      </c>
      <c r="W121" s="54">
        <f>STOCK[[#This Row],[Precio Final]]-STOCK[[#This Row],[Costo total]]</f>
        <v>5.79777777777778</v>
      </c>
      <c r="X121" s="54">
        <f>STOCK[[#This Row],[Ganancia Unitaria]]*STOCK[[#This Row],[Salidas]]</f>
        <v>5.79777777777778</v>
      </c>
      <c r="Y121" s="54" t="s">
        <v>278</v>
      </c>
      <c r="AA121" s="54">
        <f>STOCK[[#This Row],[Costo total]]*STOCK[[#This Row],[Entradas]]</f>
        <v>14.2022222222222</v>
      </c>
      <c r="AB121" s="54">
        <f>STOCK[[#This Row],[Stock Actual]]*STOCK[[#This Row],[Costo total]]</f>
        <v>0</v>
      </c>
    </row>
    <row r="122" s="53" customFormat="1" ht="50" customHeight="1" spans="1:28">
      <c r="A122" s="53" t="s">
        <v>285</v>
      </c>
      <c r="B122" s="66"/>
      <c r="C122" s="53" t="s">
        <v>32</v>
      </c>
      <c r="D122" s="53" t="s">
        <v>44</v>
      </c>
      <c r="E122" s="67" t="s">
        <v>286</v>
      </c>
      <c r="F122" s="53" t="s">
        <v>62</v>
      </c>
      <c r="G122" s="53" t="s">
        <v>36</v>
      </c>
      <c r="H122" s="53">
        <f>STOCK[[#This Row],[Precio Final]]</f>
        <v>20</v>
      </c>
      <c r="I122" s="53">
        <f>STOCK[[#This Row],[Precio Venta Ideal (x1.5)]]</f>
        <v>23.2666666666667</v>
      </c>
      <c r="J122" s="71">
        <v>1</v>
      </c>
      <c r="K122" s="71">
        <f>SUMIFS(VENTAS[Cantidad],VENTAS[Código del producto Vendido],STOCK[[#This Row],[Code]])</f>
        <v>1</v>
      </c>
      <c r="L122" s="71">
        <f>STOCK[[#This Row],[Entradas]]-STOCK[[#This Row],[Salidas]]</f>
        <v>0</v>
      </c>
      <c r="M122" s="53">
        <f>STOCK[[#This Row],[Precio Final]]*10%</f>
        <v>2</v>
      </c>
      <c r="N122" s="53">
        <v>200</v>
      </c>
      <c r="O122" s="53">
        <v>18</v>
      </c>
      <c r="P122" s="53">
        <v>11.1111111111111</v>
      </c>
      <c r="Q122" s="71">
        <v>300</v>
      </c>
      <c r="R122" s="53">
        <v>8</v>
      </c>
      <c r="S122" s="53">
        <f>STOCK[[#This Row],[Peso (g)]]*STOCK[[#This Row],[Precio Envío Kilogramo (USD)]]/1000</f>
        <v>2.4</v>
      </c>
      <c r="T122" s="53">
        <f>STOCK[[#This Row],[Costo Unitario (USD)]]+STOCK[[#This Row],[Costo Envío (USD)]]+STOCK[[#This Row],[Comisión 10%]]</f>
        <v>15.5111111111111</v>
      </c>
      <c r="U122" s="53">
        <f>STOCK[[#This Row],[Costo total]]*1.5</f>
        <v>23.2666666666667</v>
      </c>
      <c r="V122" s="53">
        <v>20</v>
      </c>
      <c r="W122" s="53">
        <f>STOCK[[#This Row],[Precio Final]]-STOCK[[#This Row],[Costo total]]</f>
        <v>4.4888888888889</v>
      </c>
      <c r="X122" s="53">
        <f>STOCK[[#This Row],[Ganancia Unitaria]]*STOCK[[#This Row],[Salidas]]</f>
        <v>4.4888888888889</v>
      </c>
      <c r="Y122" s="53" t="s">
        <v>278</v>
      </c>
      <c r="AA122" s="53">
        <f>STOCK[[#This Row],[Costo total]]*STOCK[[#This Row],[Entradas]]</f>
        <v>15.5111111111111</v>
      </c>
      <c r="AB122" s="53">
        <f>STOCK[[#This Row],[Stock Actual]]*STOCK[[#This Row],[Costo total]]</f>
        <v>0</v>
      </c>
    </row>
    <row r="123" s="54" customFormat="1" ht="50" customHeight="1" spans="1:28">
      <c r="A123" s="54" t="s">
        <v>287</v>
      </c>
      <c r="B123" s="66"/>
      <c r="C123" s="54" t="s">
        <v>32</v>
      </c>
      <c r="D123" s="54" t="s">
        <v>288</v>
      </c>
      <c r="E123" s="68" t="s">
        <v>289</v>
      </c>
      <c r="F123" s="54" t="s">
        <v>62</v>
      </c>
      <c r="G123" s="54" t="s">
        <v>36</v>
      </c>
      <c r="H123" s="54">
        <f>STOCK[[#This Row],[Precio Final]]</f>
        <v>30</v>
      </c>
      <c r="I123" s="54">
        <f>STOCK[[#This Row],[Precio Venta Ideal (x1.5)]]</f>
        <v>24.11</v>
      </c>
      <c r="J123" s="72">
        <v>1</v>
      </c>
      <c r="K123" s="72">
        <f>SUMIFS(VENTAS[Cantidad],VENTAS[Código del producto Vendido],STOCK[[#This Row],[Code]])</f>
        <v>1</v>
      </c>
      <c r="L123" s="72">
        <f>STOCK[[#This Row],[Entradas]]-STOCK[[#This Row],[Salidas]]</f>
        <v>0</v>
      </c>
      <c r="M123" s="54">
        <f>STOCK[[#This Row],[Precio Final]]*10%</f>
        <v>3</v>
      </c>
      <c r="N123" s="54">
        <v>195</v>
      </c>
      <c r="O123" s="54">
        <v>18</v>
      </c>
      <c r="P123" s="54">
        <v>10.8333333333333</v>
      </c>
      <c r="Q123" s="72">
        <v>280</v>
      </c>
      <c r="R123" s="54">
        <v>8</v>
      </c>
      <c r="S123" s="54">
        <f>STOCK[[#This Row],[Peso (g)]]*STOCK[[#This Row],[Precio Envío Kilogramo (USD)]]/1000</f>
        <v>2.24</v>
      </c>
      <c r="T123" s="53">
        <f>STOCK[[#This Row],[Costo Unitario (USD)]]+STOCK[[#This Row],[Costo Envío (USD)]]+STOCK[[#This Row],[Comisión 10%]]</f>
        <v>16.0733333333333</v>
      </c>
      <c r="U123" s="54">
        <f>STOCK[[#This Row],[Costo total]]*1.5</f>
        <v>24.11</v>
      </c>
      <c r="V123" s="54">
        <v>30</v>
      </c>
      <c r="W123" s="54">
        <f>STOCK[[#This Row],[Precio Final]]-STOCK[[#This Row],[Costo total]]</f>
        <v>13.9266666666667</v>
      </c>
      <c r="X123" s="54">
        <f>STOCK[[#This Row],[Ganancia Unitaria]]*STOCK[[#This Row],[Salidas]]</f>
        <v>13.9266666666667</v>
      </c>
      <c r="Y123" s="54" t="s">
        <v>278</v>
      </c>
      <c r="AA123" s="54">
        <f>STOCK[[#This Row],[Costo total]]*STOCK[[#This Row],[Entradas]]</f>
        <v>16.0733333333333</v>
      </c>
      <c r="AB123" s="54">
        <f>STOCK[[#This Row],[Stock Actual]]*STOCK[[#This Row],[Costo total]]</f>
        <v>0</v>
      </c>
    </row>
    <row r="124" s="53" customFormat="1" ht="50" customHeight="1" spans="1:28">
      <c r="A124" s="53" t="s">
        <v>290</v>
      </c>
      <c r="B124" s="66"/>
      <c r="C124" s="53" t="s">
        <v>32</v>
      </c>
      <c r="D124" s="53" t="s">
        <v>288</v>
      </c>
      <c r="E124" s="67" t="s">
        <v>289</v>
      </c>
      <c r="F124" s="53" t="s">
        <v>49</v>
      </c>
      <c r="G124" s="53" t="s">
        <v>36</v>
      </c>
      <c r="H124" s="53">
        <f>STOCK[[#This Row],[Precio Final]]</f>
        <v>30</v>
      </c>
      <c r="I124" s="53">
        <f>STOCK[[#This Row],[Precio Venta Ideal (x1.5)]]</f>
        <v>24.3499999999999</v>
      </c>
      <c r="J124" s="71">
        <v>1</v>
      </c>
      <c r="K124" s="71">
        <f>SUMIFS(VENTAS[Cantidad],VENTAS[Código del producto Vendido],STOCK[[#This Row],[Code]])</f>
        <v>1</v>
      </c>
      <c r="L124" s="71">
        <f>STOCK[[#This Row],[Entradas]]-STOCK[[#This Row],[Salidas]]</f>
        <v>0</v>
      </c>
      <c r="M124" s="53">
        <f>STOCK[[#This Row],[Precio Final]]*10%</f>
        <v>3</v>
      </c>
      <c r="N124" s="53">
        <v>195</v>
      </c>
      <c r="O124" s="53">
        <v>18</v>
      </c>
      <c r="P124" s="53">
        <v>10.8333333333333</v>
      </c>
      <c r="Q124" s="71">
        <v>300</v>
      </c>
      <c r="R124" s="53">
        <v>8</v>
      </c>
      <c r="S124" s="53">
        <f>STOCK[[#This Row],[Peso (g)]]*STOCK[[#This Row],[Precio Envío Kilogramo (USD)]]/1000</f>
        <v>2.4</v>
      </c>
      <c r="T124" s="53">
        <f>STOCK[[#This Row],[Costo Unitario (USD)]]+STOCK[[#This Row],[Costo Envío (USD)]]+STOCK[[#This Row],[Comisión 10%]]</f>
        <v>16.2333333333333</v>
      </c>
      <c r="U124" s="53">
        <f>STOCK[[#This Row],[Costo total]]*1.5</f>
        <v>24.3499999999999</v>
      </c>
      <c r="V124" s="53">
        <v>30</v>
      </c>
      <c r="W124" s="53">
        <f>STOCK[[#This Row],[Precio Final]]-STOCK[[#This Row],[Costo total]]</f>
        <v>13.7666666666667</v>
      </c>
      <c r="X124" s="53">
        <f>STOCK[[#This Row],[Ganancia Unitaria]]*STOCK[[#This Row],[Salidas]]</f>
        <v>13.7666666666667</v>
      </c>
      <c r="Y124" s="53" t="s">
        <v>278</v>
      </c>
      <c r="AA124" s="53">
        <f>STOCK[[#This Row],[Costo total]]*STOCK[[#This Row],[Entradas]]</f>
        <v>16.2333333333333</v>
      </c>
      <c r="AB124" s="53">
        <f>STOCK[[#This Row],[Stock Actual]]*STOCK[[#This Row],[Costo total]]</f>
        <v>0</v>
      </c>
    </row>
    <row r="125" s="54" customFormat="1" ht="50" customHeight="1" spans="1:28">
      <c r="A125" s="54" t="s">
        <v>291</v>
      </c>
      <c r="B125" s="66"/>
      <c r="C125" s="54" t="s">
        <v>32</v>
      </c>
      <c r="D125" s="54" t="s">
        <v>288</v>
      </c>
      <c r="E125" s="68" t="s">
        <v>292</v>
      </c>
      <c r="F125" s="54" t="s">
        <v>62</v>
      </c>
      <c r="G125" s="54" t="s">
        <v>36</v>
      </c>
      <c r="H125" s="54">
        <f>STOCK[[#This Row],[Precio Final]]</f>
        <v>30</v>
      </c>
      <c r="I125" s="54">
        <f>STOCK[[#This Row],[Precio Venta Ideal (x1.5)]]</f>
        <v>26.69</v>
      </c>
      <c r="J125" s="72">
        <v>1</v>
      </c>
      <c r="K125" s="72">
        <f>SUMIFS(VENTAS[Cantidad],VENTAS[Código del producto Vendido],STOCK[[#This Row],[Code]])</f>
        <v>1</v>
      </c>
      <c r="L125" s="72">
        <f>STOCK[[#This Row],[Entradas]]-STOCK[[#This Row],[Salidas]]</f>
        <v>0</v>
      </c>
      <c r="M125" s="54">
        <f>STOCK[[#This Row],[Precio Final]]*10%</f>
        <v>3</v>
      </c>
      <c r="N125" s="54">
        <v>213</v>
      </c>
      <c r="O125" s="54">
        <v>18</v>
      </c>
      <c r="P125" s="54">
        <v>11.8333333333333</v>
      </c>
      <c r="Q125" s="72">
        <v>370</v>
      </c>
      <c r="R125" s="54">
        <v>8</v>
      </c>
      <c r="S125" s="54">
        <f>STOCK[[#This Row],[Peso (g)]]*STOCK[[#This Row],[Precio Envío Kilogramo (USD)]]/1000</f>
        <v>2.96</v>
      </c>
      <c r="T125" s="53">
        <f>STOCK[[#This Row],[Costo Unitario (USD)]]+STOCK[[#This Row],[Costo Envío (USD)]]+STOCK[[#This Row],[Comisión 10%]]</f>
        <v>17.7933333333333</v>
      </c>
      <c r="U125" s="54">
        <f>STOCK[[#This Row],[Costo total]]*1.5</f>
        <v>26.69</v>
      </c>
      <c r="V125" s="54">
        <v>30</v>
      </c>
      <c r="W125" s="54">
        <f>STOCK[[#This Row],[Precio Final]]-STOCK[[#This Row],[Costo total]]</f>
        <v>12.2066666666667</v>
      </c>
      <c r="X125" s="54">
        <f>STOCK[[#This Row],[Ganancia Unitaria]]*STOCK[[#This Row],[Salidas]]</f>
        <v>12.2066666666667</v>
      </c>
      <c r="Y125" s="54" t="s">
        <v>278</v>
      </c>
      <c r="AA125" s="54">
        <f>STOCK[[#This Row],[Costo total]]*STOCK[[#This Row],[Entradas]]</f>
        <v>17.7933333333333</v>
      </c>
      <c r="AB125" s="54">
        <f>STOCK[[#This Row],[Stock Actual]]*STOCK[[#This Row],[Costo total]]</f>
        <v>0</v>
      </c>
    </row>
    <row r="126" s="53" customFormat="1" ht="50" customHeight="1" spans="1:29">
      <c r="A126" s="53" t="s">
        <v>293</v>
      </c>
      <c r="B126" s="66"/>
      <c r="C126" s="53" t="s">
        <v>32</v>
      </c>
      <c r="D126" s="53" t="s">
        <v>294</v>
      </c>
      <c r="E126" s="67" t="s">
        <v>295</v>
      </c>
      <c r="F126" s="53" t="s">
        <v>49</v>
      </c>
      <c r="G126" s="53" t="s">
        <v>36</v>
      </c>
      <c r="H126" s="53">
        <f>STOCK[[#This Row],[Precio Final]]</f>
        <v>20</v>
      </c>
      <c r="I126" s="53">
        <f>STOCK[[#This Row],[Precio Venta Ideal (x1.5)]]</f>
        <v>16.86</v>
      </c>
      <c r="J126" s="71">
        <v>1</v>
      </c>
      <c r="K126" s="71">
        <f>SUMIFS(VENTAS[Cantidad],VENTAS[Código del producto Vendido],STOCK[[#This Row],[Code]])</f>
        <v>0</v>
      </c>
      <c r="L126" s="71">
        <f>STOCK[[#This Row],[Entradas]]-STOCK[[#This Row],[Salidas]]</f>
        <v>1</v>
      </c>
      <c r="M126" s="53">
        <f>STOCK[[#This Row],[Precio Final]]*10%</f>
        <v>2</v>
      </c>
      <c r="N126" s="53">
        <v>287</v>
      </c>
      <c r="O126" s="53">
        <v>18</v>
      </c>
      <c r="P126" s="53">
        <v>5</v>
      </c>
      <c r="Q126" s="71">
        <v>530</v>
      </c>
      <c r="R126" s="53">
        <v>8</v>
      </c>
      <c r="S126" s="53">
        <f>STOCK[[#This Row],[Peso (g)]]*STOCK[[#This Row],[Precio Envío Kilogramo (USD)]]/1000</f>
        <v>4.24</v>
      </c>
      <c r="T126" s="53">
        <f>STOCK[[#This Row],[Costo Unitario (USD)]]+STOCK[[#This Row],[Costo Envío (USD)]]+STOCK[[#This Row],[Comisión 10%]]</f>
        <v>11.24</v>
      </c>
      <c r="U126" s="53">
        <f>STOCK[[#This Row],[Costo total]]*1.5</f>
        <v>16.86</v>
      </c>
      <c r="V126" s="53">
        <v>20</v>
      </c>
      <c r="W126" s="53">
        <f>STOCK[[#This Row],[Precio Final]]-STOCK[[#This Row],[Costo total]]</f>
        <v>8.76</v>
      </c>
      <c r="X126" s="53">
        <f>STOCK[[#This Row],[Ganancia Unitaria]]*STOCK[[#This Row],[Salidas]]</f>
        <v>0</v>
      </c>
      <c r="Y126" s="53" t="s">
        <v>278</v>
      </c>
      <c r="AA126" s="53">
        <f>STOCK[[#This Row],[Costo total]]*STOCK[[#This Row],[Entradas]]</f>
        <v>11.24</v>
      </c>
      <c r="AB126" s="53">
        <f>STOCK[[#This Row],[Stock Actual]]*STOCK[[#This Row],[Costo total]]</f>
        <v>11.24</v>
      </c>
      <c r="AC126" s="53">
        <v>12</v>
      </c>
    </row>
    <row r="127" s="54" customFormat="1" ht="50" customHeight="1" spans="1:28">
      <c r="A127" s="54" t="s">
        <v>296</v>
      </c>
      <c r="B127" s="66"/>
      <c r="C127" s="54" t="s">
        <v>32</v>
      </c>
      <c r="D127" s="54" t="s">
        <v>288</v>
      </c>
      <c r="E127" s="68" t="s">
        <v>297</v>
      </c>
      <c r="F127" s="54" t="s">
        <v>49</v>
      </c>
      <c r="G127" s="54" t="s">
        <v>36</v>
      </c>
      <c r="H127" s="54">
        <f>STOCK[[#This Row],[Precio Final]]</f>
        <v>45</v>
      </c>
      <c r="I127" s="54">
        <f>STOCK[[#This Row],[Precio Venta Ideal (x1.5)]]</f>
        <v>35.4799999999999</v>
      </c>
      <c r="J127" s="72">
        <v>1</v>
      </c>
      <c r="K127" s="72">
        <f>SUMIFS(VENTAS[Cantidad],VENTAS[Código del producto Vendido],STOCK[[#This Row],[Code]])</f>
        <v>1</v>
      </c>
      <c r="L127" s="72">
        <f>STOCK[[#This Row],[Entradas]]-STOCK[[#This Row],[Salidas]]</f>
        <v>0</v>
      </c>
      <c r="M127" s="54">
        <f>STOCK[[#This Row],[Precio Final]]*10%</f>
        <v>4.5</v>
      </c>
      <c r="N127" s="54">
        <v>267</v>
      </c>
      <c r="O127" s="54">
        <v>18</v>
      </c>
      <c r="P127" s="54">
        <v>14.8333333333333</v>
      </c>
      <c r="Q127" s="72">
        <v>540</v>
      </c>
      <c r="R127" s="54">
        <v>8</v>
      </c>
      <c r="S127" s="54">
        <f>STOCK[[#This Row],[Peso (g)]]*STOCK[[#This Row],[Precio Envío Kilogramo (USD)]]/1000</f>
        <v>4.32</v>
      </c>
      <c r="T127" s="53">
        <f>STOCK[[#This Row],[Costo Unitario (USD)]]+STOCK[[#This Row],[Costo Envío (USD)]]+STOCK[[#This Row],[Comisión 10%]]</f>
        <v>23.6533333333333</v>
      </c>
      <c r="U127" s="54">
        <f>STOCK[[#This Row],[Costo total]]*1.5</f>
        <v>35.4799999999999</v>
      </c>
      <c r="V127" s="54">
        <v>45</v>
      </c>
      <c r="W127" s="54">
        <f>STOCK[[#This Row],[Precio Final]]-STOCK[[#This Row],[Costo total]]</f>
        <v>21.3466666666667</v>
      </c>
      <c r="X127" s="54">
        <f>STOCK[[#This Row],[Ganancia Unitaria]]*STOCK[[#This Row],[Salidas]]</f>
        <v>21.3466666666667</v>
      </c>
      <c r="Y127" s="54" t="s">
        <v>278</v>
      </c>
      <c r="AA127" s="54">
        <f>STOCK[[#This Row],[Costo total]]*STOCK[[#This Row],[Entradas]]</f>
        <v>23.6533333333333</v>
      </c>
      <c r="AB127" s="54">
        <f>STOCK[[#This Row],[Stock Actual]]*STOCK[[#This Row],[Costo total]]</f>
        <v>0</v>
      </c>
    </row>
    <row r="128" s="53" customFormat="1" ht="50" customHeight="1" spans="1:29">
      <c r="A128" s="53" t="s">
        <v>298</v>
      </c>
      <c r="B128" s="66"/>
      <c r="C128" s="53" t="s">
        <v>32</v>
      </c>
      <c r="D128" s="53" t="s">
        <v>299</v>
      </c>
      <c r="E128" s="67" t="s">
        <v>300</v>
      </c>
      <c r="F128" s="53" t="s">
        <v>62</v>
      </c>
      <c r="G128" s="53" t="s">
        <v>36</v>
      </c>
      <c r="H128" s="53">
        <f>STOCK[[#This Row],[Precio Final]]</f>
        <v>30</v>
      </c>
      <c r="I128" s="53">
        <f>STOCK[[#This Row],[Precio Venta Ideal (x1.5)]]</f>
        <v>29</v>
      </c>
      <c r="J128" s="71">
        <v>1</v>
      </c>
      <c r="K128" s="71">
        <f>SUMIFS(VENTAS[Cantidad],VENTAS[Código del producto Vendido],STOCK[[#This Row],[Code]])</f>
        <v>0</v>
      </c>
      <c r="L128" s="71">
        <f>STOCK[[#This Row],[Entradas]]-STOCK[[#This Row],[Salidas]]</f>
        <v>1</v>
      </c>
      <c r="M128" s="53">
        <f>STOCK[[#This Row],[Precio Final]]*10%</f>
        <v>3</v>
      </c>
      <c r="N128" s="53">
        <v>258</v>
      </c>
      <c r="O128" s="53">
        <v>18</v>
      </c>
      <c r="P128" s="53">
        <v>14.3333333333333</v>
      </c>
      <c r="Q128" s="71">
        <v>250</v>
      </c>
      <c r="R128" s="53">
        <v>8</v>
      </c>
      <c r="S128" s="53">
        <f>STOCK[[#This Row],[Peso (g)]]*STOCK[[#This Row],[Precio Envío Kilogramo (USD)]]/1000</f>
        <v>2</v>
      </c>
      <c r="T128" s="53">
        <f>STOCK[[#This Row],[Costo Unitario (USD)]]+STOCK[[#This Row],[Costo Envío (USD)]]+STOCK[[#This Row],[Comisión 10%]]</f>
        <v>19.3333333333333</v>
      </c>
      <c r="U128" s="53">
        <f>STOCK[[#This Row],[Costo total]]*1.5</f>
        <v>29</v>
      </c>
      <c r="V128" s="53">
        <v>30</v>
      </c>
      <c r="W128" s="53">
        <f>STOCK[[#This Row],[Precio Final]]-STOCK[[#This Row],[Costo total]]</f>
        <v>10.6666666666667</v>
      </c>
      <c r="X128" s="53">
        <f>STOCK[[#This Row],[Ganancia Unitaria]]*STOCK[[#This Row],[Salidas]]</f>
        <v>0</v>
      </c>
      <c r="Y128" s="53" t="s">
        <v>278</v>
      </c>
      <c r="AA128" s="53">
        <f>STOCK[[#This Row],[Costo total]]*STOCK[[#This Row],[Entradas]]</f>
        <v>19.3333333333333</v>
      </c>
      <c r="AB128" s="53">
        <f>STOCK[[#This Row],[Stock Actual]]*STOCK[[#This Row],[Costo total]]</f>
        <v>19.3333333333333</v>
      </c>
      <c r="AC128" s="53">
        <v>25</v>
      </c>
    </row>
    <row r="129" s="54" customFormat="1" ht="50" customHeight="1" spans="1:28">
      <c r="A129" s="54" t="s">
        <v>301</v>
      </c>
      <c r="B129" s="66"/>
      <c r="C129" s="54" t="s">
        <v>32</v>
      </c>
      <c r="D129" s="54" t="s">
        <v>302</v>
      </c>
      <c r="E129" s="68" t="s">
        <v>303</v>
      </c>
      <c r="F129" s="54" t="s">
        <v>49</v>
      </c>
      <c r="G129" s="54" t="s">
        <v>36</v>
      </c>
      <c r="H129" s="54">
        <f>STOCK[[#This Row],[Precio Final]]</f>
        <v>30</v>
      </c>
      <c r="I129" s="54">
        <f>STOCK[[#This Row],[Precio Venta Ideal (x1.5)]]</f>
        <v>29</v>
      </c>
      <c r="J129" s="72">
        <v>1</v>
      </c>
      <c r="K129" s="72">
        <f>SUMIFS(VENTAS[Cantidad],VENTAS[Código del producto Vendido],STOCK[[#This Row],[Code]])</f>
        <v>1</v>
      </c>
      <c r="L129" s="72">
        <f>STOCK[[#This Row],[Entradas]]-STOCK[[#This Row],[Salidas]]</f>
        <v>0</v>
      </c>
      <c r="M129" s="54">
        <f>STOCK[[#This Row],[Precio Final]]*10%</f>
        <v>3</v>
      </c>
      <c r="N129" s="54">
        <v>258</v>
      </c>
      <c r="O129" s="54">
        <v>18</v>
      </c>
      <c r="P129" s="54">
        <v>14.3333333333333</v>
      </c>
      <c r="Q129" s="72">
        <v>250</v>
      </c>
      <c r="R129" s="54">
        <v>8</v>
      </c>
      <c r="S129" s="54">
        <f>STOCK[[#This Row],[Peso (g)]]*STOCK[[#This Row],[Precio Envío Kilogramo (USD)]]/1000</f>
        <v>2</v>
      </c>
      <c r="T129" s="53">
        <f>STOCK[[#This Row],[Costo Unitario (USD)]]+STOCK[[#This Row],[Costo Envío (USD)]]+STOCK[[#This Row],[Comisión 10%]]</f>
        <v>19.3333333333333</v>
      </c>
      <c r="U129" s="54">
        <f>STOCK[[#This Row],[Costo total]]*1.5</f>
        <v>29</v>
      </c>
      <c r="V129" s="54">
        <v>30</v>
      </c>
      <c r="W129" s="54">
        <f>STOCK[[#This Row],[Precio Final]]-STOCK[[#This Row],[Costo total]]</f>
        <v>10.6666666666667</v>
      </c>
      <c r="X129" s="54">
        <f>STOCK[[#This Row],[Ganancia Unitaria]]*STOCK[[#This Row],[Salidas]]</f>
        <v>10.6666666666667</v>
      </c>
      <c r="Y129" s="54" t="s">
        <v>278</v>
      </c>
      <c r="AA129" s="54">
        <f>STOCK[[#This Row],[Costo total]]*STOCK[[#This Row],[Entradas]]</f>
        <v>19.3333333333333</v>
      </c>
      <c r="AB129" s="54">
        <f>STOCK[[#This Row],[Stock Actual]]*STOCK[[#This Row],[Costo total]]</f>
        <v>0</v>
      </c>
    </row>
    <row r="130" s="53" customFormat="1" ht="50" customHeight="1" spans="1:28">
      <c r="A130" s="53" t="s">
        <v>304</v>
      </c>
      <c r="B130" s="66"/>
      <c r="C130" s="53" t="s">
        <v>32</v>
      </c>
      <c r="D130" s="53" t="s">
        <v>302</v>
      </c>
      <c r="E130" s="67" t="s">
        <v>303</v>
      </c>
      <c r="F130" s="53" t="s">
        <v>46</v>
      </c>
      <c r="G130" s="53" t="s">
        <v>36</v>
      </c>
      <c r="H130" s="53">
        <f>STOCK[[#This Row],[Precio Final]]</f>
        <v>30</v>
      </c>
      <c r="I130" s="53">
        <f>STOCK[[#This Row],[Precio Venta Ideal (x1.5)]]</f>
        <v>29</v>
      </c>
      <c r="J130" s="71">
        <v>1</v>
      </c>
      <c r="K130" s="71">
        <f>SUMIFS(VENTAS[Cantidad],VENTAS[Código del producto Vendido],STOCK[[#This Row],[Code]])</f>
        <v>1</v>
      </c>
      <c r="L130" s="71">
        <f>STOCK[[#This Row],[Entradas]]-STOCK[[#This Row],[Salidas]]</f>
        <v>0</v>
      </c>
      <c r="M130" s="53">
        <f>STOCK[[#This Row],[Precio Final]]*10%</f>
        <v>3</v>
      </c>
      <c r="N130" s="53">
        <v>258</v>
      </c>
      <c r="O130" s="53">
        <v>18</v>
      </c>
      <c r="P130" s="53">
        <v>14.3333333333333</v>
      </c>
      <c r="Q130" s="71">
        <v>250</v>
      </c>
      <c r="R130" s="53">
        <v>8</v>
      </c>
      <c r="S130" s="53">
        <f>STOCK[[#This Row],[Peso (g)]]*STOCK[[#This Row],[Precio Envío Kilogramo (USD)]]/1000</f>
        <v>2</v>
      </c>
      <c r="T130" s="53">
        <f>STOCK[[#This Row],[Costo Unitario (USD)]]+STOCK[[#This Row],[Costo Envío (USD)]]+STOCK[[#This Row],[Comisión 10%]]</f>
        <v>19.3333333333333</v>
      </c>
      <c r="U130" s="53">
        <f>STOCK[[#This Row],[Costo total]]*1.5</f>
        <v>29</v>
      </c>
      <c r="V130" s="53">
        <v>30</v>
      </c>
      <c r="W130" s="53">
        <f>STOCK[[#This Row],[Precio Final]]-STOCK[[#This Row],[Costo total]]</f>
        <v>10.6666666666667</v>
      </c>
      <c r="X130" s="53">
        <f>STOCK[[#This Row],[Ganancia Unitaria]]*STOCK[[#This Row],[Salidas]]</f>
        <v>10.6666666666667</v>
      </c>
      <c r="Y130" s="53" t="s">
        <v>278</v>
      </c>
      <c r="AA130" s="53">
        <f>STOCK[[#This Row],[Costo total]]*STOCK[[#This Row],[Entradas]]</f>
        <v>19.3333333333333</v>
      </c>
      <c r="AB130" s="53">
        <f>STOCK[[#This Row],[Stock Actual]]*STOCK[[#This Row],[Costo total]]</f>
        <v>0</v>
      </c>
    </row>
    <row r="131" s="54" customFormat="1" ht="50" customHeight="1" spans="1:28">
      <c r="A131" s="54" t="s">
        <v>305</v>
      </c>
      <c r="B131" s="66"/>
      <c r="C131" s="54" t="s">
        <v>32</v>
      </c>
      <c r="D131" s="54" t="s">
        <v>288</v>
      </c>
      <c r="E131" s="68" t="s">
        <v>306</v>
      </c>
      <c r="F131" s="54" t="s">
        <v>49</v>
      </c>
      <c r="G131" s="54" t="s">
        <v>36</v>
      </c>
      <c r="H131" s="54">
        <f>STOCK[[#This Row],[Precio Final]]</f>
        <v>28</v>
      </c>
      <c r="I131" s="54">
        <f>STOCK[[#This Row],[Precio Venta Ideal (x1.5)]]</f>
        <v>29.45</v>
      </c>
      <c r="J131" s="72">
        <v>1</v>
      </c>
      <c r="K131" s="72">
        <f>SUMIFS(VENTAS[Cantidad],VENTAS[Código del producto Vendido],STOCK[[#This Row],[Code]])</f>
        <v>1</v>
      </c>
      <c r="L131" s="72">
        <f>STOCK[[#This Row],[Entradas]]-STOCK[[#This Row],[Salidas]]</f>
        <v>0</v>
      </c>
      <c r="M131" s="54">
        <f>STOCK[[#This Row],[Precio Final]]*10%</f>
        <v>2.8</v>
      </c>
      <c r="N131" s="54">
        <v>267</v>
      </c>
      <c r="O131" s="54">
        <v>18</v>
      </c>
      <c r="P131" s="54">
        <v>14.8333333333333</v>
      </c>
      <c r="Q131" s="72">
        <v>250</v>
      </c>
      <c r="R131" s="54">
        <v>8</v>
      </c>
      <c r="S131" s="54">
        <f>STOCK[[#This Row],[Peso (g)]]*STOCK[[#This Row],[Precio Envío Kilogramo (USD)]]/1000</f>
        <v>2</v>
      </c>
      <c r="T131" s="53">
        <f>STOCK[[#This Row],[Costo Unitario (USD)]]+STOCK[[#This Row],[Costo Envío (USD)]]+STOCK[[#This Row],[Comisión 10%]]</f>
        <v>19.6333333333333</v>
      </c>
      <c r="U131" s="54">
        <f>STOCK[[#This Row],[Costo total]]*1.5</f>
        <v>29.45</v>
      </c>
      <c r="V131" s="54">
        <v>28</v>
      </c>
      <c r="W131" s="54">
        <f>STOCK[[#This Row],[Precio Final]]-STOCK[[#This Row],[Costo total]]</f>
        <v>8.3666666666667</v>
      </c>
      <c r="X131" s="54">
        <f>STOCK[[#This Row],[Ganancia Unitaria]]*STOCK[[#This Row],[Salidas]]</f>
        <v>8.3666666666667</v>
      </c>
      <c r="Y131" s="54" t="s">
        <v>278</v>
      </c>
      <c r="AA131" s="54">
        <f>STOCK[[#This Row],[Costo total]]*STOCK[[#This Row],[Entradas]]</f>
        <v>19.6333333333333</v>
      </c>
      <c r="AB131" s="54">
        <f>STOCK[[#This Row],[Stock Actual]]*STOCK[[#This Row],[Costo total]]</f>
        <v>0</v>
      </c>
    </row>
    <row r="132" s="53" customFormat="1" ht="50" customHeight="1" spans="1:28">
      <c r="A132" s="53" t="s">
        <v>307</v>
      </c>
      <c r="B132" s="66"/>
      <c r="C132" s="53" t="s">
        <v>32</v>
      </c>
      <c r="D132" s="53" t="s">
        <v>288</v>
      </c>
      <c r="E132" s="67" t="s">
        <v>306</v>
      </c>
      <c r="F132" s="53" t="s">
        <v>40</v>
      </c>
      <c r="G132" s="53" t="s">
        <v>36</v>
      </c>
      <c r="H132" s="53">
        <f>STOCK[[#This Row],[Precio Final]]</f>
        <v>28</v>
      </c>
      <c r="I132" s="53">
        <f>STOCK[[#This Row],[Precio Venta Ideal (x1.5)]]</f>
        <v>29.45</v>
      </c>
      <c r="J132" s="71">
        <v>1</v>
      </c>
      <c r="K132" s="71">
        <f>SUMIFS(VENTAS[Cantidad],VENTAS[Código del producto Vendido],STOCK[[#This Row],[Code]])</f>
        <v>1</v>
      </c>
      <c r="L132" s="71">
        <f>STOCK[[#This Row],[Entradas]]-STOCK[[#This Row],[Salidas]]</f>
        <v>0</v>
      </c>
      <c r="M132" s="53">
        <f>STOCK[[#This Row],[Precio Final]]*10%</f>
        <v>2.8</v>
      </c>
      <c r="N132" s="53">
        <v>267</v>
      </c>
      <c r="O132" s="53">
        <v>18</v>
      </c>
      <c r="P132" s="53">
        <v>14.8333333333333</v>
      </c>
      <c r="Q132" s="71">
        <v>250</v>
      </c>
      <c r="R132" s="53">
        <v>8</v>
      </c>
      <c r="S132" s="53">
        <f>STOCK[[#This Row],[Peso (g)]]*STOCK[[#This Row],[Precio Envío Kilogramo (USD)]]/1000</f>
        <v>2</v>
      </c>
      <c r="T132" s="53">
        <f>STOCK[[#This Row],[Costo Unitario (USD)]]+STOCK[[#This Row],[Costo Envío (USD)]]+STOCK[[#This Row],[Comisión 10%]]</f>
        <v>19.6333333333333</v>
      </c>
      <c r="U132" s="53">
        <f>STOCK[[#This Row],[Costo total]]*1.5</f>
        <v>29.45</v>
      </c>
      <c r="V132" s="53">
        <v>28</v>
      </c>
      <c r="W132" s="53">
        <f>STOCK[[#This Row],[Precio Final]]-STOCK[[#This Row],[Costo total]]</f>
        <v>8.3666666666667</v>
      </c>
      <c r="X132" s="53">
        <f>STOCK[[#This Row],[Ganancia Unitaria]]*STOCK[[#This Row],[Salidas]]</f>
        <v>8.3666666666667</v>
      </c>
      <c r="Y132" s="53" t="s">
        <v>278</v>
      </c>
      <c r="AA132" s="53">
        <f>STOCK[[#This Row],[Costo total]]*STOCK[[#This Row],[Entradas]]</f>
        <v>19.6333333333333</v>
      </c>
      <c r="AB132" s="53">
        <f>STOCK[[#This Row],[Stock Actual]]*STOCK[[#This Row],[Costo total]]</f>
        <v>0</v>
      </c>
    </row>
    <row r="133" s="54" customFormat="1" ht="50" customHeight="1" spans="1:29">
      <c r="A133" s="54" t="s">
        <v>308</v>
      </c>
      <c r="B133" s="66"/>
      <c r="C133" s="54" t="s">
        <v>32</v>
      </c>
      <c r="D133" s="54" t="s">
        <v>283</v>
      </c>
      <c r="E133" s="68" t="s">
        <v>309</v>
      </c>
      <c r="F133" s="54" t="s">
        <v>49</v>
      </c>
      <c r="G133" s="54" t="s">
        <v>36</v>
      </c>
      <c r="H133" s="54">
        <f>STOCK[[#This Row],[Precio Final]]</f>
        <v>35</v>
      </c>
      <c r="I133" s="54">
        <f>STOCK[[#This Row],[Precio Venta Ideal (x1.5)]]</f>
        <v>31.7</v>
      </c>
      <c r="J133" s="72">
        <v>1</v>
      </c>
      <c r="K133" s="72">
        <f>SUMIFS(VENTAS[Cantidad],VENTAS[Código del producto Vendido],STOCK[[#This Row],[Code]])</f>
        <v>0</v>
      </c>
      <c r="L133" s="72">
        <f>STOCK[[#This Row],[Entradas]]-STOCK[[#This Row],[Salidas]]</f>
        <v>1</v>
      </c>
      <c r="M133" s="54">
        <f>STOCK[[#This Row],[Precio Final]]*10%</f>
        <v>3.5</v>
      </c>
      <c r="N133" s="54">
        <v>267</v>
      </c>
      <c r="O133" s="54">
        <v>18</v>
      </c>
      <c r="P133" s="54">
        <v>14.8333333333333</v>
      </c>
      <c r="Q133" s="72">
        <v>350</v>
      </c>
      <c r="R133" s="54">
        <v>8</v>
      </c>
      <c r="S133" s="54">
        <f>STOCK[[#This Row],[Peso (g)]]*STOCK[[#This Row],[Precio Envío Kilogramo (USD)]]/1000</f>
        <v>2.8</v>
      </c>
      <c r="T133" s="53">
        <f>STOCK[[#This Row],[Costo Unitario (USD)]]+STOCK[[#This Row],[Costo Envío (USD)]]+STOCK[[#This Row],[Comisión 10%]]</f>
        <v>21.1333333333333</v>
      </c>
      <c r="U133" s="54">
        <f>STOCK[[#This Row],[Costo total]]*1.5</f>
        <v>31.7</v>
      </c>
      <c r="V133" s="54">
        <v>35</v>
      </c>
      <c r="W133" s="54">
        <f>STOCK[[#This Row],[Precio Final]]-STOCK[[#This Row],[Costo total]]</f>
        <v>13.8666666666667</v>
      </c>
      <c r="X133" s="54">
        <f>STOCK[[#This Row],[Ganancia Unitaria]]*STOCK[[#This Row],[Salidas]]</f>
        <v>0</v>
      </c>
      <c r="Y133" s="54" t="s">
        <v>278</v>
      </c>
      <c r="AA133" s="54">
        <f>STOCK[[#This Row],[Costo total]]*STOCK[[#This Row],[Entradas]]</f>
        <v>21.1333333333333</v>
      </c>
      <c r="AB133" s="54">
        <f>STOCK[[#This Row],[Stock Actual]]*STOCK[[#This Row],[Costo total]]</f>
        <v>21.1333333333333</v>
      </c>
      <c r="AC133" s="54">
        <v>25</v>
      </c>
    </row>
    <row r="134" s="53" customFormat="1" ht="50" customHeight="1" spans="1:28">
      <c r="A134" s="53" t="s">
        <v>310</v>
      </c>
      <c r="B134" s="66"/>
      <c r="C134" s="53" t="s">
        <v>32</v>
      </c>
      <c r="D134" s="53" t="s">
        <v>44</v>
      </c>
      <c r="E134" s="67" t="s">
        <v>311</v>
      </c>
      <c r="F134" s="53" t="s">
        <v>62</v>
      </c>
      <c r="G134" s="53" t="s">
        <v>36</v>
      </c>
      <c r="H134" s="53">
        <f>STOCK[[#This Row],[Precio Final]]</f>
        <v>25</v>
      </c>
      <c r="I134" s="53">
        <f>STOCK[[#This Row],[Precio Venta Ideal (x1.5)]]</f>
        <v>23.4166666666667</v>
      </c>
      <c r="J134" s="71">
        <v>1</v>
      </c>
      <c r="K134" s="71">
        <f>SUMIFS(VENTAS[Cantidad],VENTAS[Código del producto Vendido],STOCK[[#This Row],[Code]])</f>
        <v>1</v>
      </c>
      <c r="L134" s="71">
        <f>STOCK[[#This Row],[Entradas]]-STOCK[[#This Row],[Salidas]]</f>
        <v>0</v>
      </c>
      <c r="M134" s="53">
        <f>STOCK[[#This Row],[Precio Final]]*10%</f>
        <v>2.5</v>
      </c>
      <c r="N134" s="53">
        <v>200</v>
      </c>
      <c r="O134" s="53">
        <v>18</v>
      </c>
      <c r="P134" s="53">
        <v>11.1111111111111</v>
      </c>
      <c r="Q134" s="71">
        <v>250</v>
      </c>
      <c r="R134" s="53">
        <v>8</v>
      </c>
      <c r="S134" s="53">
        <f>STOCK[[#This Row],[Peso (g)]]*STOCK[[#This Row],[Precio Envío Kilogramo (USD)]]/1000</f>
        <v>2</v>
      </c>
      <c r="T134" s="53">
        <f>STOCK[[#This Row],[Costo Unitario (USD)]]+STOCK[[#This Row],[Costo Envío (USD)]]+STOCK[[#This Row],[Comisión 10%]]</f>
        <v>15.6111111111111</v>
      </c>
      <c r="U134" s="53">
        <f>STOCK[[#This Row],[Costo total]]*1.5</f>
        <v>23.4166666666667</v>
      </c>
      <c r="V134" s="53">
        <v>25</v>
      </c>
      <c r="W134" s="53">
        <f>STOCK[[#This Row],[Precio Final]]-STOCK[[#This Row],[Costo total]]</f>
        <v>9.3888888888889</v>
      </c>
      <c r="X134" s="53">
        <f>STOCK[[#This Row],[Ganancia Unitaria]]*STOCK[[#This Row],[Salidas]]</f>
        <v>9.3888888888889</v>
      </c>
      <c r="Y134" s="53" t="s">
        <v>278</v>
      </c>
      <c r="AA134" s="53">
        <f>STOCK[[#This Row],[Costo total]]*STOCK[[#This Row],[Entradas]]</f>
        <v>15.6111111111111</v>
      </c>
      <c r="AB134" s="53">
        <f>STOCK[[#This Row],[Stock Actual]]*STOCK[[#This Row],[Costo total]]</f>
        <v>0</v>
      </c>
    </row>
    <row r="135" s="54" customFormat="1" ht="50" customHeight="1" spans="1:28">
      <c r="A135" s="54" t="s">
        <v>312</v>
      </c>
      <c r="B135" s="66"/>
      <c r="C135" s="54" t="s">
        <v>32</v>
      </c>
      <c r="D135" s="54" t="s">
        <v>216</v>
      </c>
      <c r="E135" s="68" t="s">
        <v>311</v>
      </c>
      <c r="F135" s="54" t="s">
        <v>187</v>
      </c>
      <c r="G135" s="54" t="s">
        <v>36</v>
      </c>
      <c r="H135" s="54">
        <f>STOCK[[#This Row],[Precio Final]]</f>
        <v>22</v>
      </c>
      <c r="I135" s="54">
        <f>STOCK[[#This Row],[Precio Venta Ideal (x1.5)]]</f>
        <v>22.9666666666666</v>
      </c>
      <c r="J135" s="72">
        <v>1</v>
      </c>
      <c r="K135" s="72">
        <f>SUMIFS(VENTAS[Cantidad],VENTAS[Código del producto Vendido],STOCK[[#This Row],[Code]])</f>
        <v>1</v>
      </c>
      <c r="L135" s="72">
        <f>STOCK[[#This Row],[Entradas]]-STOCK[[#This Row],[Salidas]]</f>
        <v>0</v>
      </c>
      <c r="M135" s="54">
        <f>STOCK[[#This Row],[Precio Final]]*10%</f>
        <v>2.2</v>
      </c>
      <c r="N135" s="54">
        <v>200</v>
      </c>
      <c r="O135" s="54">
        <v>18</v>
      </c>
      <c r="P135" s="54">
        <v>11.1111111111111</v>
      </c>
      <c r="Q135" s="72">
        <v>250</v>
      </c>
      <c r="R135" s="54">
        <v>8</v>
      </c>
      <c r="S135" s="54">
        <f>STOCK[[#This Row],[Peso (g)]]*STOCK[[#This Row],[Precio Envío Kilogramo (USD)]]/1000</f>
        <v>2</v>
      </c>
      <c r="T135" s="53">
        <f>STOCK[[#This Row],[Costo Unitario (USD)]]+STOCK[[#This Row],[Costo Envío (USD)]]+STOCK[[#This Row],[Comisión 10%]]</f>
        <v>15.3111111111111</v>
      </c>
      <c r="U135" s="54">
        <f>STOCK[[#This Row],[Costo total]]*1.5</f>
        <v>22.9666666666666</v>
      </c>
      <c r="V135" s="54">
        <v>22</v>
      </c>
      <c r="W135" s="54">
        <f>STOCK[[#This Row],[Precio Final]]-STOCK[[#This Row],[Costo total]]</f>
        <v>6.6888888888889</v>
      </c>
      <c r="X135" s="54">
        <f>STOCK[[#This Row],[Ganancia Unitaria]]*STOCK[[#This Row],[Salidas]]</f>
        <v>6.6888888888889</v>
      </c>
      <c r="Y135" s="54" t="s">
        <v>278</v>
      </c>
      <c r="AA135" s="54">
        <f>STOCK[[#This Row],[Costo total]]*STOCK[[#This Row],[Entradas]]</f>
        <v>15.3111111111111</v>
      </c>
      <c r="AB135" s="54">
        <f>STOCK[[#This Row],[Stock Actual]]*STOCK[[#This Row],[Costo total]]</f>
        <v>0</v>
      </c>
    </row>
    <row r="136" s="53" customFormat="1" ht="50" customHeight="1" spans="1:29">
      <c r="A136" s="53" t="s">
        <v>313</v>
      </c>
      <c r="B136" s="66"/>
      <c r="C136" s="53" t="s">
        <v>32</v>
      </c>
      <c r="D136" s="53" t="s">
        <v>203</v>
      </c>
      <c r="E136" s="67" t="s">
        <v>314</v>
      </c>
      <c r="F136" s="53" t="s">
        <v>46</v>
      </c>
      <c r="G136" s="53" t="s">
        <v>36</v>
      </c>
      <c r="H136" s="53">
        <f>STOCK[[#This Row],[Precio Final]]</f>
        <v>30</v>
      </c>
      <c r="I136" s="53">
        <f>STOCK[[#This Row],[Precio Venta Ideal (x1.5)]]</f>
        <v>28.9333333333333</v>
      </c>
      <c r="J136" s="71">
        <v>1</v>
      </c>
      <c r="K136" s="71">
        <f>SUMIFS(VENTAS[Cantidad],VENTAS[Código del producto Vendido],STOCK[[#This Row],[Code]])</f>
        <v>0</v>
      </c>
      <c r="L136" s="71">
        <f>STOCK[[#This Row],[Entradas]]-STOCK[[#This Row],[Salidas]]</f>
        <v>1</v>
      </c>
      <c r="M136" s="53">
        <f>STOCK[[#This Row],[Precio Final]]*10%</f>
        <v>3</v>
      </c>
      <c r="N136" s="53">
        <v>250</v>
      </c>
      <c r="O136" s="53">
        <v>18</v>
      </c>
      <c r="P136" s="53">
        <v>13.8888888888889</v>
      </c>
      <c r="Q136" s="71">
        <v>300</v>
      </c>
      <c r="R136" s="53">
        <v>8</v>
      </c>
      <c r="S136" s="53">
        <f>STOCK[[#This Row],[Peso (g)]]*STOCK[[#This Row],[Precio Envío Kilogramo (USD)]]/1000</f>
        <v>2.4</v>
      </c>
      <c r="T136" s="53">
        <f>STOCK[[#This Row],[Costo Unitario (USD)]]+STOCK[[#This Row],[Costo Envío (USD)]]+STOCK[[#This Row],[Comisión 10%]]</f>
        <v>19.2888888888889</v>
      </c>
      <c r="U136" s="53">
        <f>STOCK[[#This Row],[Costo total]]*1.5</f>
        <v>28.9333333333333</v>
      </c>
      <c r="V136" s="53">
        <v>30</v>
      </c>
      <c r="W136" s="53">
        <f>STOCK[[#This Row],[Precio Final]]-STOCK[[#This Row],[Costo total]]</f>
        <v>10.7111111111111</v>
      </c>
      <c r="X136" s="53">
        <f>STOCK[[#This Row],[Ganancia Unitaria]]*STOCK[[#This Row],[Salidas]]</f>
        <v>0</v>
      </c>
      <c r="Y136" s="53" t="s">
        <v>278</v>
      </c>
      <c r="AA136" s="53">
        <f>STOCK[[#This Row],[Costo total]]*STOCK[[#This Row],[Entradas]]</f>
        <v>19.2888888888889</v>
      </c>
      <c r="AB136" s="53">
        <f>STOCK[[#This Row],[Stock Actual]]*STOCK[[#This Row],[Costo total]]</f>
        <v>19.2888888888889</v>
      </c>
      <c r="AC136" s="53">
        <v>25</v>
      </c>
    </row>
    <row r="137" s="54" customFormat="1" ht="50" customHeight="1" spans="1:29">
      <c r="A137" s="54" t="s">
        <v>315</v>
      </c>
      <c r="B137" s="66"/>
      <c r="C137" s="54" t="s">
        <v>32</v>
      </c>
      <c r="D137" s="54" t="s">
        <v>216</v>
      </c>
      <c r="E137" s="68" t="s">
        <v>314</v>
      </c>
      <c r="F137" s="54" t="s">
        <v>49</v>
      </c>
      <c r="G137" s="54" t="s">
        <v>36</v>
      </c>
      <c r="H137" s="54">
        <f>STOCK[[#This Row],[Precio Final]]</f>
        <v>30</v>
      </c>
      <c r="I137" s="54">
        <f>STOCK[[#This Row],[Precio Venta Ideal (x1.5)]]</f>
        <v>28.9333333333333</v>
      </c>
      <c r="J137" s="72">
        <v>1</v>
      </c>
      <c r="K137" s="72">
        <f>SUMIFS(VENTAS[Cantidad],VENTAS[Código del producto Vendido],STOCK[[#This Row],[Code]])</f>
        <v>0</v>
      </c>
      <c r="L137" s="72">
        <f>STOCK[[#This Row],[Entradas]]-STOCK[[#This Row],[Salidas]]</f>
        <v>1</v>
      </c>
      <c r="M137" s="54">
        <f>STOCK[[#This Row],[Precio Final]]*10%</f>
        <v>3</v>
      </c>
      <c r="N137" s="54">
        <v>250</v>
      </c>
      <c r="O137" s="54">
        <v>18</v>
      </c>
      <c r="P137" s="54">
        <v>13.8888888888889</v>
      </c>
      <c r="Q137" s="72">
        <v>300</v>
      </c>
      <c r="R137" s="54">
        <v>8</v>
      </c>
      <c r="S137" s="54">
        <f>STOCK[[#This Row],[Peso (g)]]*STOCK[[#This Row],[Precio Envío Kilogramo (USD)]]/1000</f>
        <v>2.4</v>
      </c>
      <c r="T137" s="53">
        <f>STOCK[[#This Row],[Costo Unitario (USD)]]+STOCK[[#This Row],[Costo Envío (USD)]]+STOCK[[#This Row],[Comisión 10%]]</f>
        <v>19.2888888888889</v>
      </c>
      <c r="U137" s="54">
        <f>STOCK[[#This Row],[Costo total]]*1.5</f>
        <v>28.9333333333333</v>
      </c>
      <c r="V137" s="54">
        <v>30</v>
      </c>
      <c r="W137" s="54">
        <f>STOCK[[#This Row],[Precio Final]]-STOCK[[#This Row],[Costo total]]</f>
        <v>10.7111111111111</v>
      </c>
      <c r="X137" s="54">
        <f>STOCK[[#This Row],[Ganancia Unitaria]]*STOCK[[#This Row],[Salidas]]</f>
        <v>0</v>
      </c>
      <c r="Y137" s="54" t="s">
        <v>278</v>
      </c>
      <c r="AA137" s="54">
        <f>STOCK[[#This Row],[Costo total]]*STOCK[[#This Row],[Entradas]]</f>
        <v>19.2888888888889</v>
      </c>
      <c r="AB137" s="54">
        <f>STOCK[[#This Row],[Stock Actual]]*STOCK[[#This Row],[Costo total]]</f>
        <v>19.2888888888889</v>
      </c>
      <c r="AC137" s="54">
        <v>25</v>
      </c>
    </row>
    <row r="138" s="53" customFormat="1" ht="50" customHeight="1" spans="1:29">
      <c r="A138" s="53" t="s">
        <v>316</v>
      </c>
      <c r="B138" s="66"/>
      <c r="C138" s="53" t="s">
        <v>32</v>
      </c>
      <c r="D138" s="53" t="s">
        <v>283</v>
      </c>
      <c r="E138" s="67" t="s">
        <v>317</v>
      </c>
      <c r="F138" s="53" t="s">
        <v>40</v>
      </c>
      <c r="G138" s="53" t="s">
        <v>36</v>
      </c>
      <c r="H138" s="53">
        <f>STOCK[[#This Row],[Precio Final]]</f>
        <v>35</v>
      </c>
      <c r="I138" s="53">
        <f>STOCK[[#This Row],[Precio Venta Ideal (x1.5)]]</f>
        <v>31.4966666666667</v>
      </c>
      <c r="J138" s="71">
        <v>1</v>
      </c>
      <c r="K138" s="71">
        <f>SUMIFS(VENTAS[Cantidad],VENTAS[Código del producto Vendido],STOCK[[#This Row],[Code]])</f>
        <v>0</v>
      </c>
      <c r="L138" s="71">
        <f>STOCK[[#This Row],[Entradas]]-STOCK[[#This Row],[Salidas]]</f>
        <v>1</v>
      </c>
      <c r="M138" s="53">
        <f>STOCK[[#This Row],[Precio Final]]*10%</f>
        <v>3.5</v>
      </c>
      <c r="N138" s="53">
        <v>266</v>
      </c>
      <c r="O138" s="53">
        <v>18</v>
      </c>
      <c r="P138" s="53">
        <v>14.7777777777778</v>
      </c>
      <c r="Q138" s="71">
        <v>340</v>
      </c>
      <c r="R138" s="53">
        <v>8</v>
      </c>
      <c r="S138" s="53">
        <f>STOCK[[#This Row],[Peso (g)]]*STOCK[[#This Row],[Precio Envío Kilogramo (USD)]]/1000</f>
        <v>2.72</v>
      </c>
      <c r="T138" s="53">
        <f>STOCK[[#This Row],[Costo Unitario (USD)]]+STOCK[[#This Row],[Costo Envío (USD)]]+STOCK[[#This Row],[Comisión 10%]]</f>
        <v>20.9977777777778</v>
      </c>
      <c r="U138" s="53">
        <f>STOCK[[#This Row],[Costo total]]*1.5</f>
        <v>31.4966666666667</v>
      </c>
      <c r="V138" s="53">
        <v>35</v>
      </c>
      <c r="W138" s="53">
        <f>STOCK[[#This Row],[Precio Final]]-STOCK[[#This Row],[Costo total]]</f>
        <v>14.0022222222222</v>
      </c>
      <c r="X138" s="53">
        <f>STOCK[[#This Row],[Ganancia Unitaria]]*STOCK[[#This Row],[Salidas]]</f>
        <v>0</v>
      </c>
      <c r="Y138" s="53" t="s">
        <v>278</v>
      </c>
      <c r="AA138" s="53">
        <f>STOCK[[#This Row],[Costo total]]*STOCK[[#This Row],[Entradas]]</f>
        <v>20.9977777777778</v>
      </c>
      <c r="AB138" s="53">
        <f>STOCK[[#This Row],[Stock Actual]]*STOCK[[#This Row],[Costo total]]</f>
        <v>20.9977777777778</v>
      </c>
      <c r="AC138" s="53">
        <v>25</v>
      </c>
    </row>
    <row r="139" s="54" customFormat="1" ht="50" customHeight="1" spans="1:28">
      <c r="A139" s="54" t="s">
        <v>318</v>
      </c>
      <c r="B139" s="66"/>
      <c r="C139" s="54" t="s">
        <v>32</v>
      </c>
      <c r="D139" s="54" t="s">
        <v>288</v>
      </c>
      <c r="E139" s="68" t="s">
        <v>319</v>
      </c>
      <c r="F139" s="54" t="s">
        <v>62</v>
      </c>
      <c r="G139" s="54" t="s">
        <v>36</v>
      </c>
      <c r="H139" s="54">
        <f>STOCK[[#This Row],[Precio Final]]</f>
        <v>35</v>
      </c>
      <c r="I139" s="54">
        <f>STOCK[[#This Row],[Precio Venta Ideal (x1.5)]]</f>
        <v>32.8033333333333</v>
      </c>
      <c r="J139" s="72">
        <v>1</v>
      </c>
      <c r="K139" s="72">
        <f>SUMIFS(VENTAS[Cantidad],VENTAS[Código del producto Vendido],STOCK[[#This Row],[Code]])</f>
        <v>1</v>
      </c>
      <c r="L139" s="72">
        <f>STOCK[[#This Row],[Entradas]]-STOCK[[#This Row],[Salidas]]</f>
        <v>0</v>
      </c>
      <c r="M139" s="54">
        <f>STOCK[[#This Row],[Precio Final]]*10%</f>
        <v>3.5</v>
      </c>
      <c r="N139" s="54">
        <v>286</v>
      </c>
      <c r="O139" s="54">
        <v>18</v>
      </c>
      <c r="P139" s="54">
        <v>15.8888888888889</v>
      </c>
      <c r="Q139" s="72">
        <v>310</v>
      </c>
      <c r="R139" s="54">
        <v>8</v>
      </c>
      <c r="S139" s="54">
        <f>STOCK[[#This Row],[Peso (g)]]*STOCK[[#This Row],[Precio Envío Kilogramo (USD)]]/1000</f>
        <v>2.48</v>
      </c>
      <c r="T139" s="53">
        <f>STOCK[[#This Row],[Costo Unitario (USD)]]+STOCK[[#This Row],[Costo Envío (USD)]]+STOCK[[#This Row],[Comisión 10%]]</f>
        <v>21.8688888888889</v>
      </c>
      <c r="U139" s="54">
        <f>STOCK[[#This Row],[Costo total]]*1.5</f>
        <v>32.8033333333333</v>
      </c>
      <c r="V139" s="54">
        <v>35</v>
      </c>
      <c r="W139" s="54">
        <f>STOCK[[#This Row],[Precio Final]]-STOCK[[#This Row],[Costo total]]</f>
        <v>13.1311111111111</v>
      </c>
      <c r="X139" s="54">
        <f>STOCK[[#This Row],[Ganancia Unitaria]]*STOCK[[#This Row],[Salidas]]</f>
        <v>13.1311111111111</v>
      </c>
      <c r="Y139" s="54" t="s">
        <v>278</v>
      </c>
      <c r="AA139" s="54">
        <f>STOCK[[#This Row],[Costo total]]*STOCK[[#This Row],[Entradas]]</f>
        <v>21.8688888888889</v>
      </c>
      <c r="AB139" s="54">
        <f>STOCK[[#This Row],[Stock Actual]]*STOCK[[#This Row],[Costo total]]</f>
        <v>0</v>
      </c>
    </row>
    <row r="140" s="53" customFormat="1" ht="50" customHeight="1" spans="1:28">
      <c r="A140" s="53" t="s">
        <v>320</v>
      </c>
      <c r="B140" s="66"/>
      <c r="C140" s="53" t="s">
        <v>32</v>
      </c>
      <c r="D140" s="53" t="s">
        <v>152</v>
      </c>
      <c r="E140" s="67" t="s">
        <v>321</v>
      </c>
      <c r="F140" s="53" t="s">
        <v>40</v>
      </c>
      <c r="G140" s="53" t="s">
        <v>36</v>
      </c>
      <c r="H140" s="53">
        <f>STOCK[[#This Row],[Precio Final]]</f>
        <v>35</v>
      </c>
      <c r="I140" s="53">
        <f>STOCK[[#This Row],[Precio Venta Ideal (x1.5)]]</f>
        <v>33.75</v>
      </c>
      <c r="J140" s="71">
        <v>1</v>
      </c>
      <c r="K140" s="71">
        <f>SUMIFS(VENTAS[Cantidad],VENTAS[Código del producto Vendido],STOCK[[#This Row],[Code]])</f>
        <v>1</v>
      </c>
      <c r="L140" s="71">
        <f>STOCK[[#This Row],[Entradas]]-STOCK[[#This Row],[Salidas]]</f>
        <v>0</v>
      </c>
      <c r="M140" s="53">
        <f>STOCK[[#This Row],[Precio Final]]*10%</f>
        <v>3.5</v>
      </c>
      <c r="N140" s="53">
        <v>270</v>
      </c>
      <c r="O140" s="53">
        <v>18</v>
      </c>
      <c r="P140" s="53">
        <v>15</v>
      </c>
      <c r="Q140" s="71">
        <v>500</v>
      </c>
      <c r="R140" s="53">
        <v>8</v>
      </c>
      <c r="S140" s="53">
        <f>STOCK[[#This Row],[Peso (g)]]*STOCK[[#This Row],[Precio Envío Kilogramo (USD)]]/1000</f>
        <v>4</v>
      </c>
      <c r="T140" s="53">
        <f>STOCK[[#This Row],[Costo Unitario (USD)]]+STOCK[[#This Row],[Costo Envío (USD)]]+STOCK[[#This Row],[Comisión 10%]]</f>
        <v>22.5</v>
      </c>
      <c r="U140" s="53">
        <f>STOCK[[#This Row],[Costo total]]*1.5</f>
        <v>33.75</v>
      </c>
      <c r="V140" s="53">
        <v>35</v>
      </c>
      <c r="W140" s="53">
        <f>STOCK[[#This Row],[Precio Final]]-STOCK[[#This Row],[Costo total]]</f>
        <v>12.5</v>
      </c>
      <c r="X140" s="53">
        <f>STOCK[[#This Row],[Ganancia Unitaria]]*STOCK[[#This Row],[Salidas]]</f>
        <v>12.5</v>
      </c>
      <c r="Y140" s="53" t="s">
        <v>278</v>
      </c>
      <c r="AA140" s="53">
        <f>STOCK[[#This Row],[Costo total]]*STOCK[[#This Row],[Entradas]]</f>
        <v>22.5</v>
      </c>
      <c r="AB140" s="53">
        <f>STOCK[[#This Row],[Stock Actual]]*STOCK[[#This Row],[Costo total]]</f>
        <v>0</v>
      </c>
    </row>
    <row r="141" s="54" customFormat="1" ht="50" customHeight="1" spans="1:28">
      <c r="A141" s="54" t="s">
        <v>322</v>
      </c>
      <c r="B141" s="66"/>
      <c r="C141" s="54" t="s">
        <v>32</v>
      </c>
      <c r="D141" s="54" t="s">
        <v>283</v>
      </c>
      <c r="E141" s="68" t="s">
        <v>323</v>
      </c>
      <c r="F141" s="54" t="s">
        <v>211</v>
      </c>
      <c r="G141" s="54" t="s">
        <v>36</v>
      </c>
      <c r="H141" s="54">
        <f>STOCK[[#This Row],[Precio Final]]</f>
        <v>28</v>
      </c>
      <c r="I141" s="54">
        <f>STOCK[[#This Row],[Precio Venta Ideal (x1.5)]]</f>
        <v>31.2</v>
      </c>
      <c r="J141" s="72">
        <v>1</v>
      </c>
      <c r="K141" s="72">
        <f>SUMIFS(VENTAS[Cantidad],VENTAS[Código del producto Vendido],STOCK[[#This Row],[Code]])</f>
        <v>1</v>
      </c>
      <c r="L141" s="72">
        <f>STOCK[[#This Row],[Entradas]]-STOCK[[#This Row],[Salidas]]</f>
        <v>0</v>
      </c>
      <c r="M141" s="54">
        <f>STOCK[[#This Row],[Precio Final]]*10%</f>
        <v>2.8</v>
      </c>
      <c r="N141" s="54">
        <v>270</v>
      </c>
      <c r="O141" s="54">
        <v>18</v>
      </c>
      <c r="P141" s="54">
        <v>15</v>
      </c>
      <c r="Q141" s="72">
        <v>375</v>
      </c>
      <c r="R141" s="54">
        <v>8</v>
      </c>
      <c r="S141" s="54">
        <f>STOCK[[#This Row],[Peso (g)]]*STOCK[[#This Row],[Precio Envío Kilogramo (USD)]]/1000</f>
        <v>3</v>
      </c>
      <c r="T141" s="53">
        <f>STOCK[[#This Row],[Costo Unitario (USD)]]+STOCK[[#This Row],[Costo Envío (USD)]]+STOCK[[#This Row],[Comisión 10%]]</f>
        <v>20.8</v>
      </c>
      <c r="U141" s="54">
        <f>STOCK[[#This Row],[Costo total]]*1.5</f>
        <v>31.2</v>
      </c>
      <c r="V141" s="54">
        <v>28</v>
      </c>
      <c r="W141" s="54">
        <f>STOCK[[#This Row],[Precio Final]]-STOCK[[#This Row],[Costo total]]</f>
        <v>7.2</v>
      </c>
      <c r="X141" s="54">
        <f>STOCK[[#This Row],[Ganancia Unitaria]]*STOCK[[#This Row],[Salidas]]</f>
        <v>7.2</v>
      </c>
      <c r="Y141" s="54" t="s">
        <v>278</v>
      </c>
      <c r="AA141" s="54">
        <f>STOCK[[#This Row],[Costo total]]*STOCK[[#This Row],[Entradas]]</f>
        <v>20.8</v>
      </c>
      <c r="AB141" s="54">
        <f>STOCK[[#This Row],[Stock Actual]]*STOCK[[#This Row],[Costo total]]</f>
        <v>0</v>
      </c>
    </row>
    <row r="142" s="53" customFormat="1" ht="50" customHeight="1" spans="1:28">
      <c r="A142" s="53" t="s">
        <v>324</v>
      </c>
      <c r="B142" s="66"/>
      <c r="C142" s="53" t="s">
        <v>32</v>
      </c>
      <c r="D142" s="53" t="s">
        <v>44</v>
      </c>
      <c r="E142" s="67" t="s">
        <v>325</v>
      </c>
      <c r="F142" s="53" t="s">
        <v>46</v>
      </c>
      <c r="G142" s="53" t="s">
        <v>36</v>
      </c>
      <c r="H142" s="53">
        <f>STOCK[[#This Row],[Precio Final]]</f>
        <v>12</v>
      </c>
      <c r="I142" s="53">
        <f>STOCK[[#This Row],[Precio Venta Ideal (x1.5)]]</f>
        <v>12.6683333333333</v>
      </c>
      <c r="J142" s="71">
        <v>1</v>
      </c>
      <c r="K142" s="71">
        <f>SUMIFS(VENTAS[Cantidad],VENTAS[Código del producto Vendido],STOCK[[#This Row],[Code]])</f>
        <v>1</v>
      </c>
      <c r="L142" s="71">
        <f>STOCK[[#This Row],[Entradas]]-STOCK[[#This Row],[Salidas]]</f>
        <v>0</v>
      </c>
      <c r="M142" s="53">
        <f>STOCK[[#This Row],[Precio Final]]*10%</f>
        <v>1.2</v>
      </c>
      <c r="N142" s="53">
        <v>99.82</v>
      </c>
      <c r="O142" s="53">
        <v>18</v>
      </c>
      <c r="P142" s="53">
        <v>5.54555555555556</v>
      </c>
      <c r="Q142" s="71">
        <v>100</v>
      </c>
      <c r="R142" s="53">
        <v>17</v>
      </c>
      <c r="S142" s="53">
        <f>STOCK[[#This Row],[Peso (g)]]*STOCK[[#This Row],[Precio Envío Kilogramo (USD)]]/1000</f>
        <v>1.7</v>
      </c>
      <c r="T142" s="53">
        <f>STOCK[[#This Row],[Costo Unitario (USD)]]+STOCK[[#This Row],[Costo Envío (USD)]]+STOCK[[#This Row],[Comisión 10%]]</f>
        <v>8.44555555555556</v>
      </c>
      <c r="U142" s="53">
        <f>STOCK[[#This Row],[Costo total]]*1.5</f>
        <v>12.6683333333333</v>
      </c>
      <c r="V142" s="53">
        <v>12</v>
      </c>
      <c r="W142" s="53">
        <f>STOCK[[#This Row],[Precio Final]]-STOCK[[#This Row],[Costo total]]</f>
        <v>3.55444444444444</v>
      </c>
      <c r="X142" s="53">
        <f>STOCK[[#This Row],[Ganancia Unitaria]]*STOCK[[#This Row],[Salidas]]</f>
        <v>3.55444444444444</v>
      </c>
      <c r="AA142" s="53">
        <f>STOCK[[#This Row],[Costo total]]*STOCK[[#This Row],[Entradas]]</f>
        <v>8.44555555555556</v>
      </c>
      <c r="AB142" s="53">
        <f>STOCK[[#This Row],[Stock Actual]]*STOCK[[#This Row],[Costo total]]</f>
        <v>0</v>
      </c>
    </row>
    <row r="143" s="54" customFormat="1" ht="50" customHeight="1" spans="1:28">
      <c r="A143" s="54" t="s">
        <v>326</v>
      </c>
      <c r="B143" s="66"/>
      <c r="C143" s="54" t="s">
        <v>32</v>
      </c>
      <c r="D143" s="54" t="s">
        <v>44</v>
      </c>
      <c r="E143" s="68" t="s">
        <v>327</v>
      </c>
      <c r="F143" s="54" t="s">
        <v>88</v>
      </c>
      <c r="G143" s="54" t="s">
        <v>36</v>
      </c>
      <c r="H143" s="54">
        <f>STOCK[[#This Row],[Precio Final]]</f>
        <v>20</v>
      </c>
      <c r="I143" s="54">
        <f>STOCK[[#This Row],[Precio Venta Ideal (x1.5)]]</f>
        <v>22.525</v>
      </c>
      <c r="J143" s="72">
        <v>0</v>
      </c>
      <c r="K143" s="72">
        <f>SUMIFS(VENTAS[Cantidad],VENTAS[Código del producto Vendido],STOCK[[#This Row],[Code]])</f>
        <v>0</v>
      </c>
      <c r="L143" s="72">
        <f>STOCK[[#This Row],[Entradas]]-STOCK[[#This Row],[Salidas]]</f>
        <v>0</v>
      </c>
      <c r="M143" s="54">
        <f>STOCK[[#This Row],[Precio Final]]*10%</f>
        <v>2</v>
      </c>
      <c r="N143" s="54">
        <v>180.75</v>
      </c>
      <c r="O143" s="54">
        <v>18</v>
      </c>
      <c r="P143" s="54">
        <v>10.0416666666667</v>
      </c>
      <c r="Q143" s="72">
        <v>175</v>
      </c>
      <c r="R143" s="54">
        <v>17</v>
      </c>
      <c r="S143" s="54">
        <f>STOCK[[#This Row],[Peso (g)]]*STOCK[[#This Row],[Precio Envío Kilogramo (USD)]]/1000</f>
        <v>2.975</v>
      </c>
      <c r="T143" s="53">
        <f>STOCK[[#This Row],[Costo Unitario (USD)]]+STOCK[[#This Row],[Costo Envío (USD)]]+STOCK[[#This Row],[Comisión 10%]]</f>
        <v>15.0166666666667</v>
      </c>
      <c r="U143" s="54">
        <f>STOCK[[#This Row],[Costo total]]*1.5</f>
        <v>22.525</v>
      </c>
      <c r="V143" s="54">
        <v>20</v>
      </c>
      <c r="W143" s="54">
        <f>STOCK[[#This Row],[Precio Final]]-STOCK[[#This Row],[Costo total]]</f>
        <v>4.9833333333333</v>
      </c>
      <c r="X143" s="54">
        <f>STOCK[[#This Row],[Ganancia Unitaria]]*STOCK[[#This Row],[Salidas]]</f>
        <v>0</v>
      </c>
      <c r="AA143" s="54">
        <f>STOCK[[#This Row],[Costo total]]*STOCK[[#This Row],[Entradas]]</f>
        <v>0</v>
      </c>
      <c r="AB143" s="54">
        <f>STOCK[[#This Row],[Stock Actual]]*STOCK[[#This Row],[Costo total]]</f>
        <v>0</v>
      </c>
    </row>
    <row r="144" s="53" customFormat="1" ht="50" customHeight="1" spans="1:28">
      <c r="A144" s="53" t="s">
        <v>328</v>
      </c>
      <c r="B144" s="66"/>
      <c r="C144" s="53" t="s">
        <v>32</v>
      </c>
      <c r="D144" s="53" t="s">
        <v>44</v>
      </c>
      <c r="E144" s="67" t="s">
        <v>329</v>
      </c>
      <c r="F144" s="53" t="s">
        <v>46</v>
      </c>
      <c r="G144" s="53" t="s">
        <v>36</v>
      </c>
      <c r="H144" s="53">
        <f>STOCK[[#This Row],[Precio Final]]</f>
        <v>16</v>
      </c>
      <c r="I144" s="53">
        <f>STOCK[[#This Row],[Precio Venta Ideal (x1.5)]]</f>
        <v>20.61</v>
      </c>
      <c r="J144" s="71">
        <v>1</v>
      </c>
      <c r="K144" s="71">
        <f>SUMIFS(VENTAS[Cantidad],VENTAS[Código del producto Vendido],STOCK[[#This Row],[Code]])</f>
        <v>1</v>
      </c>
      <c r="L144" s="71">
        <f>STOCK[[#This Row],[Entradas]]-STOCK[[#This Row],[Salidas]]</f>
        <v>0</v>
      </c>
      <c r="M144" s="53">
        <f>STOCK[[#This Row],[Precio Final]]*10%</f>
        <v>1.6</v>
      </c>
      <c r="N144" s="53">
        <v>142.02</v>
      </c>
      <c r="O144" s="53">
        <v>18</v>
      </c>
      <c r="P144" s="53">
        <v>7.89</v>
      </c>
      <c r="Q144" s="71">
        <v>250</v>
      </c>
      <c r="R144" s="53">
        <v>17</v>
      </c>
      <c r="S144" s="53">
        <f>STOCK[[#This Row],[Peso (g)]]*STOCK[[#This Row],[Precio Envío Kilogramo (USD)]]/1000</f>
        <v>4.25</v>
      </c>
      <c r="T144" s="53">
        <f>STOCK[[#This Row],[Costo Unitario (USD)]]+STOCK[[#This Row],[Costo Envío (USD)]]+STOCK[[#This Row],[Comisión 10%]]</f>
        <v>13.74</v>
      </c>
      <c r="U144" s="53">
        <f>STOCK[[#This Row],[Costo total]]*1.5</f>
        <v>20.61</v>
      </c>
      <c r="V144" s="53">
        <v>16</v>
      </c>
      <c r="W144" s="53">
        <f>STOCK[[#This Row],[Precio Final]]-STOCK[[#This Row],[Costo total]]</f>
        <v>2.26</v>
      </c>
      <c r="X144" s="53">
        <f>STOCK[[#This Row],[Ganancia Unitaria]]*STOCK[[#This Row],[Salidas]]</f>
        <v>2.26</v>
      </c>
      <c r="AA144" s="53">
        <f>STOCK[[#This Row],[Costo total]]*STOCK[[#This Row],[Entradas]]</f>
        <v>13.74</v>
      </c>
      <c r="AB144" s="53">
        <f>STOCK[[#This Row],[Stock Actual]]*STOCK[[#This Row],[Costo total]]</f>
        <v>0</v>
      </c>
    </row>
    <row r="145" s="54" customFormat="1" ht="50" customHeight="1" spans="1:28">
      <c r="A145" s="54" t="s">
        <v>330</v>
      </c>
      <c r="B145" s="66"/>
      <c r="C145" s="54" t="s">
        <v>32</v>
      </c>
      <c r="D145" s="54" t="s">
        <v>44</v>
      </c>
      <c r="E145" s="68" t="s">
        <v>331</v>
      </c>
      <c r="F145" s="54" t="s">
        <v>211</v>
      </c>
      <c r="G145" s="54" t="s">
        <v>36</v>
      </c>
      <c r="H145" s="54">
        <f>STOCK[[#This Row],[Precio Final]]</f>
        <v>20</v>
      </c>
      <c r="I145" s="54">
        <f>STOCK[[#This Row],[Precio Venta Ideal (x1.5)]]</f>
        <v>21.21</v>
      </c>
      <c r="J145" s="72">
        <v>1</v>
      </c>
      <c r="K145" s="72">
        <f>SUMIFS(VENTAS[Cantidad],VENTAS[Código del producto Vendido],STOCK[[#This Row],[Code]])</f>
        <v>1</v>
      </c>
      <c r="L145" s="72">
        <f>STOCK[[#This Row],[Entradas]]-STOCK[[#This Row],[Salidas]]</f>
        <v>0</v>
      </c>
      <c r="M145" s="54">
        <f>STOCK[[#This Row],[Precio Final]]*10%</f>
        <v>2</v>
      </c>
      <c r="N145" s="54">
        <v>142.02</v>
      </c>
      <c r="O145" s="54">
        <v>18</v>
      </c>
      <c r="P145" s="54">
        <v>7.89</v>
      </c>
      <c r="Q145" s="72">
        <v>250</v>
      </c>
      <c r="R145" s="54">
        <v>17</v>
      </c>
      <c r="S145" s="54">
        <f>STOCK[[#This Row],[Peso (g)]]*STOCK[[#This Row],[Precio Envío Kilogramo (USD)]]/1000</f>
        <v>4.25</v>
      </c>
      <c r="T145" s="53">
        <f>STOCK[[#This Row],[Costo Unitario (USD)]]+STOCK[[#This Row],[Costo Envío (USD)]]+STOCK[[#This Row],[Comisión 10%]]</f>
        <v>14.14</v>
      </c>
      <c r="U145" s="54">
        <f>STOCK[[#This Row],[Costo total]]*1.5</f>
        <v>21.21</v>
      </c>
      <c r="V145" s="54">
        <v>20</v>
      </c>
      <c r="W145" s="54">
        <f>STOCK[[#This Row],[Precio Final]]-STOCK[[#This Row],[Costo total]]</f>
        <v>5.86</v>
      </c>
      <c r="X145" s="54">
        <f>STOCK[[#This Row],[Ganancia Unitaria]]*STOCK[[#This Row],[Salidas]]</f>
        <v>5.86</v>
      </c>
      <c r="AA145" s="54">
        <f>STOCK[[#This Row],[Costo total]]*STOCK[[#This Row],[Entradas]]</f>
        <v>14.14</v>
      </c>
      <c r="AB145" s="54">
        <f>STOCK[[#This Row],[Stock Actual]]*STOCK[[#This Row],[Costo total]]</f>
        <v>0</v>
      </c>
    </row>
    <row r="146" s="53" customFormat="1" ht="50" customHeight="1" spans="1:28">
      <c r="A146" s="53" t="s">
        <v>332</v>
      </c>
      <c r="B146" s="66"/>
      <c r="C146" s="53" t="s">
        <v>32</v>
      </c>
      <c r="D146" s="53" t="s">
        <v>44</v>
      </c>
      <c r="E146" s="67" t="s">
        <v>333</v>
      </c>
      <c r="F146" s="53" t="s">
        <v>281</v>
      </c>
      <c r="G146" s="53" t="s">
        <v>36</v>
      </c>
      <c r="H146" s="53">
        <f>STOCK[[#This Row],[Precio Final]]</f>
        <v>16</v>
      </c>
      <c r="I146" s="53">
        <f>STOCK[[#This Row],[Precio Venta Ideal (x1.5)]]</f>
        <v>16.7425</v>
      </c>
      <c r="J146" s="71">
        <v>1</v>
      </c>
      <c r="K146" s="71">
        <f>SUMIFS(VENTAS[Cantidad],VENTAS[Código del producto Vendido],STOCK[[#This Row],[Code]])</f>
        <v>1</v>
      </c>
      <c r="L146" s="71">
        <f>STOCK[[#This Row],[Entradas]]-STOCK[[#This Row],[Salidas]]</f>
        <v>0</v>
      </c>
      <c r="M146" s="53">
        <f>STOCK[[#This Row],[Precio Final]]*10%</f>
        <v>1.6</v>
      </c>
      <c r="N146" s="53">
        <v>110.91</v>
      </c>
      <c r="O146" s="53">
        <v>18</v>
      </c>
      <c r="P146" s="53">
        <v>6.16166666666667</v>
      </c>
      <c r="Q146" s="71">
        <v>200</v>
      </c>
      <c r="R146" s="53">
        <v>17</v>
      </c>
      <c r="S146" s="53">
        <f>STOCK[[#This Row],[Peso (g)]]*STOCK[[#This Row],[Precio Envío Kilogramo (USD)]]/1000</f>
        <v>3.4</v>
      </c>
      <c r="T146" s="53">
        <f>STOCK[[#This Row],[Costo Unitario (USD)]]+STOCK[[#This Row],[Costo Envío (USD)]]+STOCK[[#This Row],[Comisión 10%]]</f>
        <v>11.1616666666667</v>
      </c>
      <c r="U146" s="53">
        <f>STOCK[[#This Row],[Costo total]]*1.5</f>
        <v>16.7425</v>
      </c>
      <c r="V146" s="53">
        <v>16</v>
      </c>
      <c r="W146" s="53">
        <f>STOCK[[#This Row],[Precio Final]]-STOCK[[#This Row],[Costo total]]</f>
        <v>4.83833333333333</v>
      </c>
      <c r="X146" s="53">
        <f>STOCK[[#This Row],[Ganancia Unitaria]]*STOCK[[#This Row],[Salidas]]</f>
        <v>4.83833333333333</v>
      </c>
      <c r="AA146" s="53">
        <f>STOCK[[#This Row],[Costo total]]*STOCK[[#This Row],[Entradas]]</f>
        <v>11.1616666666667</v>
      </c>
      <c r="AB146" s="53">
        <f>STOCK[[#This Row],[Stock Actual]]*STOCK[[#This Row],[Costo total]]</f>
        <v>0</v>
      </c>
    </row>
    <row r="147" s="54" customFormat="1" ht="50" customHeight="1" spans="1:28">
      <c r="A147" s="54" t="s">
        <v>334</v>
      </c>
      <c r="B147" s="66"/>
      <c r="C147" s="54" t="s">
        <v>32</v>
      </c>
      <c r="D147" s="54" t="s">
        <v>44</v>
      </c>
      <c r="E147" s="68" t="s">
        <v>335</v>
      </c>
      <c r="F147" s="54" t="s">
        <v>40</v>
      </c>
      <c r="G147" s="54" t="s">
        <v>36</v>
      </c>
      <c r="H147" s="54">
        <f>STOCK[[#This Row],[Precio Final]]</f>
        <v>15</v>
      </c>
      <c r="I147" s="54">
        <f>STOCK[[#This Row],[Precio Venta Ideal (x1.5)]]</f>
        <v>21.3325</v>
      </c>
      <c r="J147" s="72">
        <v>1</v>
      </c>
      <c r="K147" s="72">
        <f>SUMIFS(VENTAS[Cantidad],VENTAS[Código del producto Vendido],STOCK[[#This Row],[Code]])</f>
        <v>1</v>
      </c>
      <c r="L147" s="72">
        <f>STOCK[[#This Row],[Entradas]]-STOCK[[#This Row],[Salidas]]</f>
        <v>0</v>
      </c>
      <c r="M147" s="54">
        <f>STOCK[[#This Row],[Precio Final]]*10%</f>
        <v>1.5</v>
      </c>
      <c r="N147" s="54">
        <v>152.49</v>
      </c>
      <c r="O147" s="54">
        <v>18</v>
      </c>
      <c r="P147" s="54">
        <v>8.47166666666667</v>
      </c>
      <c r="Q147" s="72">
        <v>250</v>
      </c>
      <c r="R147" s="54">
        <v>17</v>
      </c>
      <c r="S147" s="54">
        <f>STOCK[[#This Row],[Peso (g)]]*STOCK[[#This Row],[Precio Envío Kilogramo (USD)]]/1000</f>
        <v>4.25</v>
      </c>
      <c r="T147" s="53">
        <f>STOCK[[#This Row],[Costo Unitario (USD)]]+STOCK[[#This Row],[Costo Envío (USD)]]+STOCK[[#This Row],[Comisión 10%]]</f>
        <v>14.2216666666667</v>
      </c>
      <c r="U147" s="54">
        <f>STOCK[[#This Row],[Costo total]]*1.5</f>
        <v>21.3325</v>
      </c>
      <c r="V147" s="54">
        <v>15</v>
      </c>
      <c r="W147" s="54">
        <f>STOCK[[#This Row],[Precio Final]]-STOCK[[#This Row],[Costo total]]</f>
        <v>0.778333333333331</v>
      </c>
      <c r="X147" s="54">
        <f>STOCK[[#This Row],[Ganancia Unitaria]]*STOCK[[#This Row],[Salidas]]</f>
        <v>0.778333333333331</v>
      </c>
      <c r="AA147" s="54">
        <f>STOCK[[#This Row],[Costo total]]*STOCK[[#This Row],[Entradas]]</f>
        <v>14.2216666666667</v>
      </c>
      <c r="AB147" s="54">
        <f>STOCK[[#This Row],[Stock Actual]]*STOCK[[#This Row],[Costo total]]</f>
        <v>0</v>
      </c>
    </row>
    <row r="148" s="53" customFormat="1" ht="50" customHeight="1" spans="1:28">
      <c r="A148" s="53" t="s">
        <v>336</v>
      </c>
      <c r="B148" s="66"/>
      <c r="C148" s="53" t="s">
        <v>32</v>
      </c>
      <c r="D148" s="53" t="s">
        <v>44</v>
      </c>
      <c r="E148" s="67" t="s">
        <v>335</v>
      </c>
      <c r="F148" s="53" t="s">
        <v>62</v>
      </c>
      <c r="G148" s="53" t="s">
        <v>36</v>
      </c>
      <c r="H148" s="53">
        <f>STOCK[[#This Row],[Precio Final]]</f>
        <v>25</v>
      </c>
      <c r="I148" s="53">
        <f>STOCK[[#This Row],[Precio Venta Ideal (x1.5)]]</f>
        <v>22.8325</v>
      </c>
      <c r="J148" s="71">
        <v>1</v>
      </c>
      <c r="K148" s="71">
        <f>SUMIFS(VENTAS[Cantidad],VENTAS[Código del producto Vendido],STOCK[[#This Row],[Code]])</f>
        <v>1</v>
      </c>
      <c r="L148" s="71">
        <f>STOCK[[#This Row],[Entradas]]-STOCK[[#This Row],[Salidas]]</f>
        <v>0</v>
      </c>
      <c r="M148" s="53">
        <f>STOCK[[#This Row],[Precio Final]]*10%</f>
        <v>2.5</v>
      </c>
      <c r="N148" s="53">
        <v>152.49</v>
      </c>
      <c r="O148" s="53">
        <v>18</v>
      </c>
      <c r="P148" s="53">
        <v>8.47166666666667</v>
      </c>
      <c r="Q148" s="71">
        <v>250</v>
      </c>
      <c r="R148" s="53">
        <v>17</v>
      </c>
      <c r="S148" s="53">
        <f>STOCK[[#This Row],[Peso (g)]]*STOCK[[#This Row],[Precio Envío Kilogramo (USD)]]/1000</f>
        <v>4.25</v>
      </c>
      <c r="T148" s="53">
        <f>STOCK[[#This Row],[Costo Unitario (USD)]]+STOCK[[#This Row],[Costo Envío (USD)]]+STOCK[[#This Row],[Comisión 10%]]</f>
        <v>15.2216666666667</v>
      </c>
      <c r="U148" s="53">
        <f>STOCK[[#This Row],[Costo total]]*1.5</f>
        <v>22.8325</v>
      </c>
      <c r="V148" s="53">
        <v>25</v>
      </c>
      <c r="W148" s="53">
        <f>STOCK[[#This Row],[Precio Final]]-STOCK[[#This Row],[Costo total]]</f>
        <v>9.77833333333333</v>
      </c>
      <c r="X148" s="53">
        <f>STOCK[[#This Row],[Ganancia Unitaria]]*STOCK[[#This Row],[Salidas]]</f>
        <v>9.77833333333333</v>
      </c>
      <c r="AA148" s="53">
        <f>STOCK[[#This Row],[Costo total]]*STOCK[[#This Row],[Entradas]]</f>
        <v>15.2216666666667</v>
      </c>
      <c r="AB148" s="53">
        <f>STOCK[[#This Row],[Stock Actual]]*STOCK[[#This Row],[Costo total]]</f>
        <v>0</v>
      </c>
    </row>
    <row r="149" s="54" customFormat="1" ht="50" customHeight="1" spans="1:29">
      <c r="A149" s="54" t="s">
        <v>337</v>
      </c>
      <c r="B149" s="66"/>
      <c r="C149" s="54" t="s">
        <v>32</v>
      </c>
      <c r="D149" s="54" t="s">
        <v>216</v>
      </c>
      <c r="E149" s="68" t="s">
        <v>338</v>
      </c>
      <c r="F149" s="54" t="s">
        <v>339</v>
      </c>
      <c r="G149" s="54" t="s">
        <v>36</v>
      </c>
      <c r="H149" s="54">
        <f>STOCK[[#This Row],[Precio Final]]</f>
        <v>30</v>
      </c>
      <c r="I149" s="54">
        <f>STOCK[[#This Row],[Precio Venta Ideal (x1.5)]]</f>
        <v>26.2108333333334</v>
      </c>
      <c r="J149" s="72">
        <v>1</v>
      </c>
      <c r="K149" s="72">
        <f>SUMIFS(VENTAS[Cantidad],VENTAS[Código del producto Vendido],STOCK[[#This Row],[Code]])</f>
        <v>0</v>
      </c>
      <c r="L149" s="72">
        <f>STOCK[[#This Row],[Entradas]]-STOCK[[#This Row],[Salidas]]</f>
        <v>1</v>
      </c>
      <c r="M149" s="54">
        <f>STOCK[[#This Row],[Precio Final]]*10%</f>
        <v>3</v>
      </c>
      <c r="N149" s="54">
        <v>191.68</v>
      </c>
      <c r="O149" s="54">
        <v>18</v>
      </c>
      <c r="P149" s="54">
        <v>10.6488888888889</v>
      </c>
      <c r="Q149" s="72">
        <v>225</v>
      </c>
      <c r="R149" s="54">
        <v>17</v>
      </c>
      <c r="S149" s="54">
        <f>STOCK[[#This Row],[Peso (g)]]*STOCK[[#This Row],[Precio Envío Kilogramo (USD)]]/1000</f>
        <v>3.825</v>
      </c>
      <c r="T149" s="53">
        <f>STOCK[[#This Row],[Costo Unitario (USD)]]+STOCK[[#This Row],[Costo Envío (USD)]]+STOCK[[#This Row],[Comisión 10%]]</f>
        <v>17.4738888888889</v>
      </c>
      <c r="U149" s="54">
        <f>STOCK[[#This Row],[Costo total]]*1.5</f>
        <v>26.2108333333334</v>
      </c>
      <c r="V149" s="54">
        <v>30</v>
      </c>
      <c r="W149" s="54">
        <f>STOCK[[#This Row],[Precio Final]]-STOCK[[#This Row],[Costo total]]</f>
        <v>12.5261111111111</v>
      </c>
      <c r="X149" s="54">
        <f>STOCK[[#This Row],[Ganancia Unitaria]]*STOCK[[#This Row],[Salidas]]</f>
        <v>0</v>
      </c>
      <c r="AA149" s="54">
        <f>STOCK[[#This Row],[Costo total]]*STOCK[[#This Row],[Entradas]]</f>
        <v>17.4738888888889</v>
      </c>
      <c r="AB149" s="54">
        <f>STOCK[[#This Row],[Stock Actual]]*STOCK[[#This Row],[Costo total]]</f>
        <v>17.4738888888889</v>
      </c>
      <c r="AC149" s="54">
        <v>25</v>
      </c>
    </row>
    <row r="150" s="53" customFormat="1" ht="50" customHeight="1" spans="1:29">
      <c r="A150" s="53" t="s">
        <v>340</v>
      </c>
      <c r="B150" s="66"/>
      <c r="C150" s="53" t="s">
        <v>32</v>
      </c>
      <c r="D150" s="54" t="s">
        <v>216</v>
      </c>
      <c r="E150" s="67" t="s">
        <v>338</v>
      </c>
      <c r="F150" s="53" t="s">
        <v>62</v>
      </c>
      <c r="G150" s="53" t="s">
        <v>36</v>
      </c>
      <c r="H150" s="53">
        <f>STOCK[[#This Row],[Precio Final]]</f>
        <v>30</v>
      </c>
      <c r="I150" s="53">
        <f>STOCK[[#This Row],[Precio Venta Ideal (x1.5)]]</f>
        <v>26.2108333333334</v>
      </c>
      <c r="J150" s="71">
        <v>1</v>
      </c>
      <c r="K150" s="71">
        <f>SUMIFS(VENTAS[Cantidad],VENTAS[Código del producto Vendido],STOCK[[#This Row],[Code]])</f>
        <v>0</v>
      </c>
      <c r="L150" s="71">
        <f>STOCK[[#This Row],[Entradas]]-STOCK[[#This Row],[Salidas]]</f>
        <v>1</v>
      </c>
      <c r="M150" s="53">
        <f>STOCK[[#This Row],[Precio Final]]*10%</f>
        <v>3</v>
      </c>
      <c r="N150" s="53">
        <v>191.68</v>
      </c>
      <c r="O150" s="53">
        <v>18</v>
      </c>
      <c r="P150" s="53">
        <v>10.6488888888889</v>
      </c>
      <c r="Q150" s="71">
        <v>225</v>
      </c>
      <c r="R150" s="53">
        <v>17</v>
      </c>
      <c r="S150" s="53">
        <f>STOCK[[#This Row],[Peso (g)]]*STOCK[[#This Row],[Precio Envío Kilogramo (USD)]]/1000</f>
        <v>3.825</v>
      </c>
      <c r="T150" s="53">
        <f>STOCK[[#This Row],[Costo Unitario (USD)]]+STOCK[[#This Row],[Costo Envío (USD)]]+STOCK[[#This Row],[Comisión 10%]]</f>
        <v>17.4738888888889</v>
      </c>
      <c r="U150" s="53">
        <f>STOCK[[#This Row],[Costo total]]*1.5</f>
        <v>26.2108333333334</v>
      </c>
      <c r="V150" s="53">
        <v>30</v>
      </c>
      <c r="W150" s="53">
        <f>STOCK[[#This Row],[Precio Final]]-STOCK[[#This Row],[Costo total]]</f>
        <v>12.5261111111111</v>
      </c>
      <c r="X150" s="53">
        <f>STOCK[[#This Row],[Ganancia Unitaria]]*STOCK[[#This Row],[Salidas]]</f>
        <v>0</v>
      </c>
      <c r="AA150" s="53">
        <f>STOCK[[#This Row],[Costo total]]*STOCK[[#This Row],[Entradas]]</f>
        <v>17.4738888888889</v>
      </c>
      <c r="AB150" s="53">
        <f>STOCK[[#This Row],[Stock Actual]]*STOCK[[#This Row],[Costo total]]</f>
        <v>17.4738888888889</v>
      </c>
      <c r="AC150" s="53">
        <v>25</v>
      </c>
    </row>
    <row r="151" s="54" customFormat="1" ht="50" customHeight="1" spans="1:29">
      <c r="A151" s="54" t="s">
        <v>341</v>
      </c>
      <c r="B151" s="66"/>
      <c r="C151" s="54" t="s">
        <v>32</v>
      </c>
      <c r="D151" s="54" t="s">
        <v>216</v>
      </c>
      <c r="E151" s="68" t="s">
        <v>338</v>
      </c>
      <c r="F151" s="54" t="s">
        <v>49</v>
      </c>
      <c r="G151" s="54" t="s">
        <v>36</v>
      </c>
      <c r="H151" s="54">
        <f>STOCK[[#This Row],[Precio Final]]</f>
        <v>30</v>
      </c>
      <c r="I151" s="54">
        <f>STOCK[[#This Row],[Precio Venta Ideal (x1.5)]]</f>
        <v>26.2108333333334</v>
      </c>
      <c r="J151" s="72">
        <v>1</v>
      </c>
      <c r="K151" s="72">
        <f>SUMIFS(VENTAS[Cantidad],VENTAS[Código del producto Vendido],STOCK[[#This Row],[Code]])</f>
        <v>0</v>
      </c>
      <c r="L151" s="72">
        <f>STOCK[[#This Row],[Entradas]]-STOCK[[#This Row],[Salidas]]</f>
        <v>1</v>
      </c>
      <c r="M151" s="54">
        <f>STOCK[[#This Row],[Precio Final]]*10%</f>
        <v>3</v>
      </c>
      <c r="N151" s="54">
        <v>191.68</v>
      </c>
      <c r="O151" s="54">
        <v>18</v>
      </c>
      <c r="P151" s="54">
        <v>10.6488888888889</v>
      </c>
      <c r="Q151" s="72">
        <v>225</v>
      </c>
      <c r="R151" s="54">
        <v>17</v>
      </c>
      <c r="S151" s="54">
        <f>STOCK[[#This Row],[Peso (g)]]*STOCK[[#This Row],[Precio Envío Kilogramo (USD)]]/1000</f>
        <v>3.825</v>
      </c>
      <c r="T151" s="53">
        <f>STOCK[[#This Row],[Costo Unitario (USD)]]+STOCK[[#This Row],[Costo Envío (USD)]]+STOCK[[#This Row],[Comisión 10%]]</f>
        <v>17.4738888888889</v>
      </c>
      <c r="U151" s="54">
        <f>STOCK[[#This Row],[Costo total]]*1.5</f>
        <v>26.2108333333334</v>
      </c>
      <c r="V151" s="54">
        <v>30</v>
      </c>
      <c r="W151" s="54">
        <f>STOCK[[#This Row],[Precio Final]]-STOCK[[#This Row],[Costo total]]</f>
        <v>12.5261111111111</v>
      </c>
      <c r="X151" s="54">
        <f>STOCK[[#This Row],[Ganancia Unitaria]]*STOCK[[#This Row],[Salidas]]</f>
        <v>0</v>
      </c>
      <c r="AA151" s="54">
        <f>STOCK[[#This Row],[Costo total]]*STOCK[[#This Row],[Entradas]]</f>
        <v>17.4738888888889</v>
      </c>
      <c r="AB151" s="54">
        <f>STOCK[[#This Row],[Stock Actual]]*STOCK[[#This Row],[Costo total]]</f>
        <v>17.4738888888889</v>
      </c>
      <c r="AC151" s="54">
        <v>25</v>
      </c>
    </row>
    <row r="152" s="53" customFormat="1" ht="50" customHeight="1" spans="1:29">
      <c r="A152" s="53" t="s">
        <v>342</v>
      </c>
      <c r="B152" s="66"/>
      <c r="C152" s="53" t="s">
        <v>32</v>
      </c>
      <c r="D152" s="54" t="s">
        <v>294</v>
      </c>
      <c r="E152" s="67" t="s">
        <v>343</v>
      </c>
      <c r="F152" s="53" t="s">
        <v>40</v>
      </c>
      <c r="G152" s="53" t="s">
        <v>36</v>
      </c>
      <c r="H152" s="53">
        <f>STOCK[[#This Row],[Precio Final]]</f>
        <v>12</v>
      </c>
      <c r="I152" s="53">
        <f>STOCK[[#This Row],[Precio Venta Ideal (x1.5)]]</f>
        <v>8.95000000000001</v>
      </c>
      <c r="J152" s="71">
        <v>2</v>
      </c>
      <c r="K152" s="71">
        <f>SUMIFS(VENTAS[Cantidad],VENTAS[Código del producto Vendido],STOCK[[#This Row],[Code]])</f>
        <v>1</v>
      </c>
      <c r="L152" s="71">
        <f>STOCK[[#This Row],[Entradas]]-STOCK[[#This Row],[Salidas]]</f>
        <v>1</v>
      </c>
      <c r="M152" s="53">
        <f>STOCK[[#This Row],[Precio Final]]*10%</f>
        <v>1.2</v>
      </c>
      <c r="N152" s="53">
        <v>71.4</v>
      </c>
      <c r="O152" s="53">
        <v>18</v>
      </c>
      <c r="P152" s="53">
        <v>3.96666666666667</v>
      </c>
      <c r="Q152" s="71">
        <v>100</v>
      </c>
      <c r="R152" s="53">
        <v>8</v>
      </c>
      <c r="S152" s="53">
        <f>STOCK[[#This Row],[Peso (g)]]*STOCK[[#This Row],[Precio Envío Kilogramo (USD)]]/1000</f>
        <v>0.8</v>
      </c>
      <c r="T152" s="53">
        <f>STOCK[[#This Row],[Costo Unitario (USD)]]+STOCK[[#This Row],[Costo Envío (USD)]]+STOCK[[#This Row],[Comisión 10%]]</f>
        <v>5.96666666666667</v>
      </c>
      <c r="U152" s="53">
        <f>STOCK[[#This Row],[Costo total]]*1.5</f>
        <v>8.95000000000001</v>
      </c>
      <c r="V152" s="53">
        <v>12</v>
      </c>
      <c r="W152" s="53">
        <f>STOCK[[#This Row],[Precio Final]]-STOCK[[#This Row],[Costo total]]</f>
        <v>6.03333333333333</v>
      </c>
      <c r="X152" s="53">
        <f>STOCK[[#This Row],[Ganancia Unitaria]]*STOCK[[#This Row],[Salidas]]</f>
        <v>6.03333333333333</v>
      </c>
      <c r="AA152" s="53">
        <f>STOCK[[#This Row],[Costo total]]*STOCK[[#This Row],[Entradas]]</f>
        <v>11.9333333333333</v>
      </c>
      <c r="AB152" s="53">
        <f>STOCK[[#This Row],[Stock Actual]]*STOCK[[#This Row],[Costo total]]</f>
        <v>5.96666666666667</v>
      </c>
      <c r="AC152" s="53">
        <v>8</v>
      </c>
    </row>
    <row r="153" s="54" customFormat="1" ht="50" customHeight="1" spans="1:28">
      <c r="A153" s="54" t="s">
        <v>344</v>
      </c>
      <c r="B153" s="66"/>
      <c r="C153" s="54" t="s">
        <v>32</v>
      </c>
      <c r="D153" s="54" t="s">
        <v>44</v>
      </c>
      <c r="E153" s="68" t="s">
        <v>345</v>
      </c>
      <c r="F153" s="54" t="s">
        <v>187</v>
      </c>
      <c r="G153" s="54" t="s">
        <v>36</v>
      </c>
      <c r="H153" s="54">
        <f>STOCK[[#This Row],[Precio Final]]</f>
        <v>20</v>
      </c>
      <c r="I153" s="54">
        <f>STOCK[[#This Row],[Precio Venta Ideal (x1.5)]]</f>
        <v>23.1966666666667</v>
      </c>
      <c r="J153" s="72">
        <v>0</v>
      </c>
      <c r="K153" s="72">
        <f>SUMIFS(VENTAS[Cantidad],VENTAS[Código del producto Vendido],STOCK[[#This Row],[Code]])</f>
        <v>0</v>
      </c>
      <c r="L153" s="72">
        <f>STOCK[[#This Row],[Entradas]]-STOCK[[#This Row],[Salidas]]</f>
        <v>0</v>
      </c>
      <c r="M153" s="54">
        <f>STOCK[[#This Row],[Precio Final]]*10%</f>
        <v>2</v>
      </c>
      <c r="N153" s="54">
        <v>165.86</v>
      </c>
      <c r="O153" s="54">
        <v>18</v>
      </c>
      <c r="P153" s="54">
        <v>9.21444444444445</v>
      </c>
      <c r="Q153" s="72">
        <v>250</v>
      </c>
      <c r="R153" s="54">
        <v>17</v>
      </c>
      <c r="S153" s="54">
        <f>STOCK[[#This Row],[Peso (g)]]*STOCK[[#This Row],[Precio Envío Kilogramo (USD)]]/1000</f>
        <v>4.25</v>
      </c>
      <c r="T153" s="53">
        <f>STOCK[[#This Row],[Costo Unitario (USD)]]+STOCK[[#This Row],[Costo Envío (USD)]]+STOCK[[#This Row],[Comisión 10%]]</f>
        <v>15.4644444444444</v>
      </c>
      <c r="U153" s="54">
        <f>STOCK[[#This Row],[Costo total]]*1.5</f>
        <v>23.1966666666667</v>
      </c>
      <c r="V153" s="54">
        <v>20</v>
      </c>
      <c r="W153" s="54">
        <f>STOCK[[#This Row],[Precio Final]]-STOCK[[#This Row],[Costo total]]</f>
        <v>4.53555555555555</v>
      </c>
      <c r="X153" s="54">
        <f>STOCK[[#This Row],[Ganancia Unitaria]]*STOCK[[#This Row],[Salidas]]</f>
        <v>0</v>
      </c>
      <c r="AA153" s="54">
        <f>STOCK[[#This Row],[Costo total]]*STOCK[[#This Row],[Entradas]]</f>
        <v>0</v>
      </c>
      <c r="AB153" s="54">
        <f>STOCK[[#This Row],[Stock Actual]]*STOCK[[#This Row],[Costo total]]</f>
        <v>0</v>
      </c>
    </row>
    <row r="154" s="53" customFormat="1" ht="50" customHeight="1" spans="1:28">
      <c r="A154" s="53" t="s">
        <v>346</v>
      </c>
      <c r="B154" s="66"/>
      <c r="C154" s="53" t="s">
        <v>32</v>
      </c>
      <c r="D154" s="53" t="s">
        <v>44</v>
      </c>
      <c r="E154" s="67" t="s">
        <v>347</v>
      </c>
      <c r="F154" s="53" t="s">
        <v>40</v>
      </c>
      <c r="G154" s="53" t="s">
        <v>36</v>
      </c>
      <c r="H154" s="53">
        <f>STOCK[[#This Row],[Precio Final]]</f>
        <v>30</v>
      </c>
      <c r="I154" s="53">
        <f>STOCK[[#This Row],[Precio Venta Ideal (x1.5)]]</f>
        <v>34.0333333333333</v>
      </c>
      <c r="J154" s="71">
        <v>1</v>
      </c>
      <c r="K154" s="71">
        <f>SUMIFS(VENTAS[Cantidad],VENTAS[Código del producto Vendido],STOCK[[#This Row],[Code]])</f>
        <v>1</v>
      </c>
      <c r="L154" s="71">
        <f>STOCK[[#This Row],[Entradas]]-STOCK[[#This Row],[Salidas]]</f>
        <v>0</v>
      </c>
      <c r="M154" s="53">
        <f>STOCK[[#This Row],[Precio Final]]*10%</f>
        <v>3</v>
      </c>
      <c r="N154" s="53">
        <v>293.2</v>
      </c>
      <c r="O154" s="53">
        <v>18</v>
      </c>
      <c r="P154" s="53">
        <v>16.2888888888889</v>
      </c>
      <c r="Q154" s="71">
        <v>200</v>
      </c>
      <c r="R154" s="53">
        <v>17</v>
      </c>
      <c r="S154" s="53">
        <f>STOCK[[#This Row],[Peso (g)]]*STOCK[[#This Row],[Precio Envío Kilogramo (USD)]]/1000</f>
        <v>3.4</v>
      </c>
      <c r="T154" s="53">
        <f>STOCK[[#This Row],[Costo Unitario (USD)]]+STOCK[[#This Row],[Costo Envío (USD)]]+STOCK[[#This Row],[Comisión 10%]]</f>
        <v>22.6888888888889</v>
      </c>
      <c r="U154" s="53">
        <f>STOCK[[#This Row],[Costo total]]*1.5</f>
        <v>34.0333333333333</v>
      </c>
      <c r="V154" s="53">
        <v>30</v>
      </c>
      <c r="W154" s="53">
        <f>STOCK[[#This Row],[Precio Final]]-STOCK[[#This Row],[Costo total]]</f>
        <v>7.3111111111111</v>
      </c>
      <c r="X154" s="53">
        <f>STOCK[[#This Row],[Ganancia Unitaria]]*STOCK[[#This Row],[Salidas]]</f>
        <v>7.3111111111111</v>
      </c>
      <c r="AA154" s="53">
        <f>STOCK[[#This Row],[Costo total]]*STOCK[[#This Row],[Entradas]]</f>
        <v>22.6888888888889</v>
      </c>
      <c r="AB154" s="53">
        <f>STOCK[[#This Row],[Stock Actual]]*STOCK[[#This Row],[Costo total]]</f>
        <v>0</v>
      </c>
    </row>
    <row r="155" s="54" customFormat="1" ht="50" customHeight="1" spans="1:28">
      <c r="A155" s="54" t="s">
        <v>348</v>
      </c>
      <c r="B155" s="66"/>
      <c r="C155" s="54" t="s">
        <v>32</v>
      </c>
      <c r="D155" s="54" t="s">
        <v>44</v>
      </c>
      <c r="E155" s="68" t="s">
        <v>349</v>
      </c>
      <c r="F155" s="54" t="s">
        <v>62</v>
      </c>
      <c r="G155" s="54" t="s">
        <v>36</v>
      </c>
      <c r="H155" s="54">
        <f>STOCK[[#This Row],[Precio Final]]</f>
        <v>16</v>
      </c>
      <c r="I155" s="54">
        <f>STOCK[[#This Row],[Precio Venta Ideal (x1.5)]]</f>
        <v>18.7058333333333</v>
      </c>
      <c r="J155" s="72">
        <v>1</v>
      </c>
      <c r="K155" s="72">
        <f>SUMIFS(VENTAS[Cantidad],VENTAS[Código del producto Vendido],STOCK[[#This Row],[Code]])</f>
        <v>1</v>
      </c>
      <c r="L155" s="72">
        <f>STOCK[[#This Row],[Entradas]]-STOCK[[#This Row],[Salidas]]</f>
        <v>0</v>
      </c>
      <c r="M155" s="54">
        <f>STOCK[[#This Row],[Precio Final]]*10%</f>
        <v>1.6</v>
      </c>
      <c r="N155" s="54">
        <v>134.47</v>
      </c>
      <c r="O155" s="54">
        <v>18</v>
      </c>
      <c r="P155" s="54">
        <v>7.47055555555556</v>
      </c>
      <c r="Q155" s="72">
        <v>200</v>
      </c>
      <c r="R155" s="54">
        <v>17</v>
      </c>
      <c r="S155" s="54">
        <f>STOCK[[#This Row],[Peso (g)]]*STOCK[[#This Row],[Precio Envío Kilogramo (USD)]]/1000</f>
        <v>3.4</v>
      </c>
      <c r="T155" s="53">
        <f>STOCK[[#This Row],[Costo Unitario (USD)]]+STOCK[[#This Row],[Costo Envío (USD)]]+STOCK[[#This Row],[Comisión 10%]]</f>
        <v>12.4705555555556</v>
      </c>
      <c r="U155" s="54">
        <f>STOCK[[#This Row],[Costo total]]*1.5</f>
        <v>18.7058333333333</v>
      </c>
      <c r="V155" s="54">
        <v>16</v>
      </c>
      <c r="W155" s="54">
        <f>STOCK[[#This Row],[Precio Final]]-STOCK[[#This Row],[Costo total]]</f>
        <v>3.52944444444444</v>
      </c>
      <c r="X155" s="54">
        <f>STOCK[[#This Row],[Ganancia Unitaria]]*STOCK[[#This Row],[Salidas]]</f>
        <v>3.52944444444444</v>
      </c>
      <c r="AA155" s="54">
        <f>STOCK[[#This Row],[Costo total]]*STOCK[[#This Row],[Entradas]]</f>
        <v>12.4705555555556</v>
      </c>
      <c r="AB155" s="54">
        <f>STOCK[[#This Row],[Stock Actual]]*STOCK[[#This Row],[Costo total]]</f>
        <v>0</v>
      </c>
    </row>
    <row r="156" s="53" customFormat="1" ht="50" customHeight="1" spans="1:28">
      <c r="A156" s="53" t="s">
        <v>350</v>
      </c>
      <c r="B156" s="66"/>
      <c r="C156" s="53" t="s">
        <v>32</v>
      </c>
      <c r="D156" s="53" t="s">
        <v>351</v>
      </c>
      <c r="E156" s="67" t="s">
        <v>352</v>
      </c>
      <c r="F156" s="53" t="s">
        <v>353</v>
      </c>
      <c r="G156" s="53" t="s">
        <v>36</v>
      </c>
      <c r="H156" s="53">
        <f>STOCK[[#This Row],[Precio Final]]</f>
        <v>3</v>
      </c>
      <c r="I156" s="53">
        <f>STOCK[[#This Row],[Precio Venta Ideal (x1.5)]]</f>
        <v>2.25416666666667</v>
      </c>
      <c r="J156" s="71">
        <v>1</v>
      </c>
      <c r="K156" s="71">
        <f>SUMIFS(VENTAS[Cantidad],VENTAS[Código del producto Vendido],STOCK[[#This Row],[Code]])</f>
        <v>1</v>
      </c>
      <c r="L156" s="71">
        <f>STOCK[[#This Row],[Entradas]]-STOCK[[#This Row],[Salidas]]</f>
        <v>0</v>
      </c>
      <c r="M156" s="53">
        <f>STOCK[[#This Row],[Precio Final]]*10%</f>
        <v>0.3</v>
      </c>
      <c r="N156" s="53">
        <v>17.33</v>
      </c>
      <c r="O156" s="53">
        <v>18</v>
      </c>
      <c r="P156" s="53">
        <v>0.962777777777778</v>
      </c>
      <c r="Q156" s="71">
        <v>30</v>
      </c>
      <c r="R156" s="53">
        <v>8</v>
      </c>
      <c r="S156" s="53">
        <f>STOCK[[#This Row],[Peso (g)]]*STOCK[[#This Row],[Precio Envío Kilogramo (USD)]]/1000</f>
        <v>0.24</v>
      </c>
      <c r="T156" s="53">
        <f>STOCK[[#This Row],[Costo Unitario (USD)]]+STOCK[[#This Row],[Costo Envío (USD)]]+STOCK[[#This Row],[Comisión 10%]]</f>
        <v>1.50277777777778</v>
      </c>
      <c r="U156" s="53">
        <f>STOCK[[#This Row],[Costo total]]*1.5</f>
        <v>2.25416666666667</v>
      </c>
      <c r="V156" s="53">
        <v>3</v>
      </c>
      <c r="W156" s="53">
        <f>STOCK[[#This Row],[Precio Final]]-STOCK[[#This Row],[Costo total]]</f>
        <v>1.49722222222222</v>
      </c>
      <c r="X156" s="53">
        <f>STOCK[[#This Row],[Ganancia Unitaria]]*STOCK[[#This Row],[Salidas]]</f>
        <v>1.49722222222222</v>
      </c>
      <c r="AA156" s="53">
        <f>STOCK[[#This Row],[Costo total]]*STOCK[[#This Row],[Entradas]]</f>
        <v>1.50277777777778</v>
      </c>
      <c r="AB156" s="53">
        <f>STOCK[[#This Row],[Stock Actual]]*STOCK[[#This Row],[Costo total]]</f>
        <v>0</v>
      </c>
    </row>
    <row r="157" s="54" customFormat="1" ht="50" customHeight="1" spans="1:28">
      <c r="A157" s="54" t="s">
        <v>354</v>
      </c>
      <c r="B157" s="66"/>
      <c r="C157" s="54" t="s">
        <v>32</v>
      </c>
      <c r="D157" s="54" t="s">
        <v>44</v>
      </c>
      <c r="E157" s="68" t="s">
        <v>355</v>
      </c>
      <c r="F157" s="54" t="s">
        <v>40</v>
      </c>
      <c r="G157" s="54" t="s">
        <v>36</v>
      </c>
      <c r="H157" s="54">
        <f>STOCK[[#This Row],[Precio Final]]</f>
        <v>25</v>
      </c>
      <c r="I157" s="54">
        <f>STOCK[[#This Row],[Precio Venta Ideal (x1.5)]]</f>
        <v>25.7491666666667</v>
      </c>
      <c r="J157" s="72">
        <v>1</v>
      </c>
      <c r="K157" s="72">
        <f>SUMIFS(VENTAS[Cantidad],VENTAS[Código del producto Vendido],STOCK[[#This Row],[Code]])</f>
        <v>1</v>
      </c>
      <c r="L157" s="72">
        <f>STOCK[[#This Row],[Entradas]]-STOCK[[#This Row],[Salidas]]</f>
        <v>0</v>
      </c>
      <c r="M157" s="54">
        <f>STOCK[[#This Row],[Precio Final]]*10%</f>
        <v>2.5</v>
      </c>
      <c r="N157" s="54">
        <v>176.78</v>
      </c>
      <c r="O157" s="54">
        <v>18</v>
      </c>
      <c r="P157" s="54">
        <v>9.82111111111111</v>
      </c>
      <c r="Q157" s="72">
        <v>285</v>
      </c>
      <c r="R157" s="54">
        <v>17</v>
      </c>
      <c r="S157" s="54">
        <f>STOCK[[#This Row],[Peso (g)]]*STOCK[[#This Row],[Precio Envío Kilogramo (USD)]]/1000</f>
        <v>4.845</v>
      </c>
      <c r="T157" s="53">
        <f>STOCK[[#This Row],[Costo Unitario (USD)]]+STOCK[[#This Row],[Costo Envío (USD)]]+STOCK[[#This Row],[Comisión 10%]]</f>
        <v>17.1661111111111</v>
      </c>
      <c r="U157" s="54">
        <f>STOCK[[#This Row],[Costo total]]*1.5</f>
        <v>25.7491666666667</v>
      </c>
      <c r="V157" s="54">
        <v>25</v>
      </c>
      <c r="W157" s="54">
        <f>STOCK[[#This Row],[Precio Final]]-STOCK[[#This Row],[Costo total]]</f>
        <v>7.83388888888889</v>
      </c>
      <c r="X157" s="54">
        <f>STOCK[[#This Row],[Ganancia Unitaria]]*STOCK[[#This Row],[Salidas]]</f>
        <v>7.83388888888889</v>
      </c>
      <c r="AA157" s="54">
        <f>STOCK[[#This Row],[Costo total]]*STOCK[[#This Row],[Entradas]]</f>
        <v>17.1661111111111</v>
      </c>
      <c r="AB157" s="54">
        <f>STOCK[[#This Row],[Stock Actual]]*STOCK[[#This Row],[Costo total]]</f>
        <v>0</v>
      </c>
    </row>
    <row r="158" s="53" customFormat="1" ht="50" customHeight="1" spans="1:28">
      <c r="A158" s="53" t="s">
        <v>356</v>
      </c>
      <c r="B158" s="66"/>
      <c r="C158" s="53" t="s">
        <v>32</v>
      </c>
      <c r="D158" s="53" t="s">
        <v>44</v>
      </c>
      <c r="E158" s="67" t="s">
        <v>357</v>
      </c>
      <c r="F158" s="53" t="s">
        <v>46</v>
      </c>
      <c r="G158" s="53" t="s">
        <v>36</v>
      </c>
      <c r="H158" s="53">
        <f>STOCK[[#This Row],[Precio Final]]</f>
        <v>35</v>
      </c>
      <c r="I158" s="53">
        <f>STOCK[[#This Row],[Precio Venta Ideal (x1.5)]]</f>
        <v>34.8491666666667</v>
      </c>
      <c r="J158" s="71">
        <v>1</v>
      </c>
      <c r="K158" s="71">
        <f>SUMIFS(VENTAS[Cantidad],VENTAS[Código del producto Vendido],STOCK[[#This Row],[Code]])</f>
        <v>1</v>
      </c>
      <c r="L158" s="71">
        <f>STOCK[[#This Row],[Entradas]]-STOCK[[#This Row],[Salidas]]</f>
        <v>0</v>
      </c>
      <c r="M158" s="53">
        <f>STOCK[[#This Row],[Precio Final]]*10%</f>
        <v>3.5</v>
      </c>
      <c r="N158" s="53">
        <v>263.39</v>
      </c>
      <c r="O158" s="53">
        <v>18</v>
      </c>
      <c r="P158" s="53">
        <v>14.6327777777778</v>
      </c>
      <c r="Q158" s="71">
        <v>300</v>
      </c>
      <c r="R158" s="53">
        <v>17</v>
      </c>
      <c r="S158" s="53">
        <f>STOCK[[#This Row],[Peso (g)]]*STOCK[[#This Row],[Precio Envío Kilogramo (USD)]]/1000</f>
        <v>5.1</v>
      </c>
      <c r="T158" s="53">
        <f>STOCK[[#This Row],[Costo Unitario (USD)]]+STOCK[[#This Row],[Costo Envío (USD)]]+STOCK[[#This Row],[Comisión 10%]]</f>
        <v>23.2327777777778</v>
      </c>
      <c r="U158" s="53">
        <f>STOCK[[#This Row],[Costo total]]*1.5</f>
        <v>34.8491666666667</v>
      </c>
      <c r="V158" s="53">
        <v>35</v>
      </c>
      <c r="W158" s="53">
        <f>STOCK[[#This Row],[Precio Final]]-STOCK[[#This Row],[Costo total]]</f>
        <v>11.7672222222222</v>
      </c>
      <c r="X158" s="53">
        <f>STOCK[[#This Row],[Ganancia Unitaria]]*STOCK[[#This Row],[Salidas]]</f>
        <v>11.7672222222222</v>
      </c>
      <c r="AA158" s="53">
        <f>STOCK[[#This Row],[Costo total]]*STOCK[[#This Row],[Entradas]]</f>
        <v>23.2327777777778</v>
      </c>
      <c r="AB158" s="53">
        <f>STOCK[[#This Row],[Stock Actual]]*STOCK[[#This Row],[Costo total]]</f>
        <v>0</v>
      </c>
    </row>
    <row r="159" s="54" customFormat="1" ht="50" customHeight="1" spans="1:29">
      <c r="A159" s="54" t="s">
        <v>358</v>
      </c>
      <c r="B159" s="66"/>
      <c r="C159" s="54" t="s">
        <v>32</v>
      </c>
      <c r="D159" s="54" t="s">
        <v>216</v>
      </c>
      <c r="E159" s="68" t="s">
        <v>359</v>
      </c>
      <c r="F159" s="54" t="s">
        <v>40</v>
      </c>
      <c r="G159" s="54" t="s">
        <v>36</v>
      </c>
      <c r="H159" s="54">
        <f>STOCK[[#This Row],[Precio Final]]</f>
        <v>35</v>
      </c>
      <c r="I159" s="54">
        <f>STOCK[[#This Row],[Precio Venta Ideal (x1.5)]]</f>
        <v>26.5066666666667</v>
      </c>
      <c r="J159" s="72">
        <v>1</v>
      </c>
      <c r="K159" s="72">
        <f>SUMIFS(VENTAS[Cantidad],VENTAS[Código del producto Vendido],STOCK[[#This Row],[Code]])</f>
        <v>1</v>
      </c>
      <c r="L159" s="72">
        <f>STOCK[[#This Row],[Entradas]]-STOCK[[#This Row],[Salidas]]</f>
        <v>0</v>
      </c>
      <c r="M159" s="54">
        <f>STOCK[[#This Row],[Precio Final]]*10%</f>
        <v>3.5</v>
      </c>
      <c r="N159" s="54">
        <v>147.98</v>
      </c>
      <c r="O159" s="54">
        <v>18</v>
      </c>
      <c r="P159" s="54">
        <v>8.22111111111111</v>
      </c>
      <c r="Q159" s="72">
        <v>350</v>
      </c>
      <c r="R159" s="54">
        <v>17</v>
      </c>
      <c r="S159" s="54">
        <f>STOCK[[#This Row],[Peso (g)]]*STOCK[[#This Row],[Precio Envío Kilogramo (USD)]]/1000</f>
        <v>5.95</v>
      </c>
      <c r="T159" s="53">
        <f>STOCK[[#This Row],[Costo Unitario (USD)]]+STOCK[[#This Row],[Costo Envío (USD)]]+STOCK[[#This Row],[Comisión 10%]]</f>
        <v>17.6711111111111</v>
      </c>
      <c r="U159" s="54">
        <f>STOCK[[#This Row],[Costo total]]*1.5</f>
        <v>26.5066666666667</v>
      </c>
      <c r="V159" s="54">
        <v>35</v>
      </c>
      <c r="W159" s="54">
        <f>STOCK[[#This Row],[Precio Final]]-STOCK[[#This Row],[Costo total]]</f>
        <v>17.3288888888889</v>
      </c>
      <c r="X159" s="54">
        <f>STOCK[[#This Row],[Ganancia Unitaria]]*STOCK[[#This Row],[Salidas]]</f>
        <v>17.3288888888889</v>
      </c>
      <c r="AA159" s="54">
        <f>STOCK[[#This Row],[Costo total]]*STOCK[[#This Row],[Entradas]]</f>
        <v>17.6711111111111</v>
      </c>
      <c r="AB159" s="54">
        <f>STOCK[[#This Row],[Stock Actual]]*STOCK[[#This Row],[Costo total]]</f>
        <v>0</v>
      </c>
      <c r="AC159" s="54">
        <v>25</v>
      </c>
    </row>
    <row r="160" s="53" customFormat="1" ht="50" customHeight="1" spans="1:28">
      <c r="A160" s="53" t="s">
        <v>360</v>
      </c>
      <c r="B160" s="66"/>
      <c r="C160" s="53" t="s">
        <v>32</v>
      </c>
      <c r="D160" s="53" t="s">
        <v>152</v>
      </c>
      <c r="E160" s="67" t="s">
        <v>361</v>
      </c>
      <c r="F160" s="53" t="s">
        <v>40</v>
      </c>
      <c r="G160" s="53" t="s">
        <v>36</v>
      </c>
      <c r="H160" s="53">
        <f>STOCK[[#This Row],[Precio Final]]</f>
        <v>20</v>
      </c>
      <c r="I160" s="53">
        <f>STOCK[[#This Row],[Precio Venta Ideal (x1.5)]]</f>
        <v>22.325</v>
      </c>
      <c r="J160" s="71">
        <v>1</v>
      </c>
      <c r="K160" s="71">
        <f>SUMIFS(VENTAS[Cantidad],VENTAS[Código del producto Vendido],STOCK[[#This Row],[Code]])</f>
        <v>1</v>
      </c>
      <c r="L160" s="71">
        <f>STOCK[[#This Row],[Entradas]]-STOCK[[#This Row],[Salidas]]</f>
        <v>0</v>
      </c>
      <c r="M160" s="53">
        <f>STOCK[[#This Row],[Precio Final]]*10%</f>
        <v>2</v>
      </c>
      <c r="N160" s="53">
        <v>188.7</v>
      </c>
      <c r="O160" s="53">
        <v>18</v>
      </c>
      <c r="P160" s="53">
        <v>10.4833333333333</v>
      </c>
      <c r="Q160" s="71">
        <v>300</v>
      </c>
      <c r="R160" s="53">
        <v>8</v>
      </c>
      <c r="S160" s="53">
        <f>STOCK[[#This Row],[Peso (g)]]*STOCK[[#This Row],[Precio Envío Kilogramo (USD)]]/1000</f>
        <v>2.4</v>
      </c>
      <c r="T160" s="53">
        <f>STOCK[[#This Row],[Costo Unitario (USD)]]+STOCK[[#This Row],[Costo Envío (USD)]]+STOCK[[#This Row],[Comisión 10%]]</f>
        <v>14.8833333333333</v>
      </c>
      <c r="U160" s="53">
        <f>STOCK[[#This Row],[Costo total]]*1.5</f>
        <v>22.325</v>
      </c>
      <c r="V160" s="53">
        <v>20</v>
      </c>
      <c r="W160" s="53">
        <f>STOCK[[#This Row],[Precio Final]]-STOCK[[#This Row],[Costo total]]</f>
        <v>5.1166666666667</v>
      </c>
      <c r="X160" s="53">
        <f>STOCK[[#This Row],[Ganancia Unitaria]]*STOCK[[#This Row],[Salidas]]</f>
        <v>5.1166666666667</v>
      </c>
      <c r="AA160" s="53">
        <f>STOCK[[#This Row],[Costo total]]*STOCK[[#This Row],[Entradas]]</f>
        <v>14.8833333333333</v>
      </c>
      <c r="AB160" s="53">
        <f>STOCK[[#This Row],[Stock Actual]]*STOCK[[#This Row],[Costo total]]</f>
        <v>0</v>
      </c>
    </row>
    <row r="161" s="54" customFormat="1" ht="50" customHeight="1" spans="1:28">
      <c r="A161" s="54" t="s">
        <v>362</v>
      </c>
      <c r="B161" s="66"/>
      <c r="C161" s="54" t="s">
        <v>32</v>
      </c>
      <c r="D161" s="54" t="s">
        <v>152</v>
      </c>
      <c r="E161" s="68" t="s">
        <v>363</v>
      </c>
      <c r="F161" s="54" t="s">
        <v>49</v>
      </c>
      <c r="G161" s="54" t="s">
        <v>36</v>
      </c>
      <c r="H161" s="54">
        <f>STOCK[[#This Row],[Precio Final]]</f>
        <v>20</v>
      </c>
      <c r="I161" s="54">
        <f>STOCK[[#This Row],[Precio Venta Ideal (x1.5)]]</f>
        <v>22.325</v>
      </c>
      <c r="J161" s="72">
        <v>1</v>
      </c>
      <c r="K161" s="72">
        <f>SUMIFS(VENTAS[Cantidad],VENTAS[Código del producto Vendido],STOCK[[#This Row],[Code]])</f>
        <v>1</v>
      </c>
      <c r="L161" s="72">
        <f>STOCK[[#This Row],[Entradas]]-STOCK[[#This Row],[Salidas]]</f>
        <v>0</v>
      </c>
      <c r="M161" s="54">
        <f>STOCK[[#This Row],[Precio Final]]*10%</f>
        <v>2</v>
      </c>
      <c r="N161" s="54">
        <v>188.7</v>
      </c>
      <c r="O161" s="54">
        <v>18</v>
      </c>
      <c r="P161" s="54">
        <v>10.4833333333333</v>
      </c>
      <c r="Q161" s="72">
        <v>300</v>
      </c>
      <c r="R161" s="54">
        <v>8</v>
      </c>
      <c r="S161" s="54">
        <f>STOCK[[#This Row],[Peso (g)]]*STOCK[[#This Row],[Precio Envío Kilogramo (USD)]]/1000</f>
        <v>2.4</v>
      </c>
      <c r="T161" s="53">
        <f>STOCK[[#This Row],[Costo Unitario (USD)]]+STOCK[[#This Row],[Costo Envío (USD)]]+STOCK[[#This Row],[Comisión 10%]]</f>
        <v>14.8833333333333</v>
      </c>
      <c r="U161" s="54">
        <f>STOCK[[#This Row],[Costo total]]*1.5</f>
        <v>22.325</v>
      </c>
      <c r="V161" s="54">
        <v>20</v>
      </c>
      <c r="W161" s="54">
        <f>STOCK[[#This Row],[Precio Final]]-STOCK[[#This Row],[Costo total]]</f>
        <v>5.1166666666667</v>
      </c>
      <c r="X161" s="54">
        <f>STOCK[[#This Row],[Ganancia Unitaria]]*STOCK[[#This Row],[Salidas]]</f>
        <v>5.1166666666667</v>
      </c>
      <c r="AA161" s="54">
        <f>STOCK[[#This Row],[Costo total]]*STOCK[[#This Row],[Entradas]]</f>
        <v>14.8833333333333</v>
      </c>
      <c r="AB161" s="54">
        <f>STOCK[[#This Row],[Stock Actual]]*STOCK[[#This Row],[Costo total]]</f>
        <v>0</v>
      </c>
    </row>
    <row r="162" s="53" customFormat="1" ht="50" customHeight="1" spans="1:29">
      <c r="A162" s="53" t="s">
        <v>364</v>
      </c>
      <c r="B162" s="66"/>
      <c r="C162" s="53" t="s">
        <v>32</v>
      </c>
      <c r="D162" s="53" t="s">
        <v>216</v>
      </c>
      <c r="E162" s="67" t="s">
        <v>365</v>
      </c>
      <c r="F162" s="53" t="s">
        <v>339</v>
      </c>
      <c r="G162" s="53" t="s">
        <v>36</v>
      </c>
      <c r="H162" s="53">
        <f>STOCK[[#This Row],[Precio Final]]</f>
        <v>30</v>
      </c>
      <c r="I162" s="53">
        <f>STOCK[[#This Row],[Precio Venta Ideal (x1.5)]]</f>
        <v>22.8425</v>
      </c>
      <c r="J162" s="71">
        <v>1</v>
      </c>
      <c r="K162" s="71">
        <f>SUMIFS(VENTAS[Cantidad],VENTAS[Código del producto Vendido],STOCK[[#This Row],[Code]])</f>
        <v>0</v>
      </c>
      <c r="L162" s="71">
        <f>STOCK[[#This Row],[Entradas]]-STOCK[[#This Row],[Salidas]]</f>
        <v>1</v>
      </c>
      <c r="M162" s="53">
        <f>STOCK[[#This Row],[Precio Final]]*10%</f>
        <v>3</v>
      </c>
      <c r="N162" s="53">
        <v>158.91</v>
      </c>
      <c r="O162" s="53">
        <v>18</v>
      </c>
      <c r="P162" s="53">
        <v>8.82833333333333</v>
      </c>
      <c r="Q162" s="71">
        <v>200</v>
      </c>
      <c r="R162" s="53">
        <v>17</v>
      </c>
      <c r="S162" s="53">
        <f>STOCK[[#This Row],[Peso (g)]]*STOCK[[#This Row],[Precio Envío Kilogramo (USD)]]/1000</f>
        <v>3.4</v>
      </c>
      <c r="T162" s="53">
        <f>STOCK[[#This Row],[Costo Unitario (USD)]]+STOCK[[#This Row],[Costo Envío (USD)]]+STOCK[[#This Row],[Comisión 10%]]</f>
        <v>15.2283333333333</v>
      </c>
      <c r="U162" s="53">
        <f>STOCK[[#This Row],[Costo total]]*1.5</f>
        <v>22.8425</v>
      </c>
      <c r="V162" s="53">
        <v>30</v>
      </c>
      <c r="W162" s="53">
        <f>STOCK[[#This Row],[Precio Final]]-STOCK[[#This Row],[Costo total]]</f>
        <v>14.7716666666667</v>
      </c>
      <c r="X162" s="53">
        <f>STOCK[[#This Row],[Ganancia Unitaria]]*STOCK[[#This Row],[Salidas]]</f>
        <v>0</v>
      </c>
      <c r="AA162" s="53">
        <f>STOCK[[#This Row],[Costo total]]*STOCK[[#This Row],[Entradas]]</f>
        <v>15.2283333333333</v>
      </c>
      <c r="AB162" s="53">
        <f>STOCK[[#This Row],[Stock Actual]]*STOCK[[#This Row],[Costo total]]</f>
        <v>15.2283333333333</v>
      </c>
      <c r="AC162" s="53">
        <v>18</v>
      </c>
    </row>
    <row r="163" s="54" customFormat="1" ht="50" customHeight="1" spans="1:28">
      <c r="A163" s="54" t="s">
        <v>366</v>
      </c>
      <c r="B163" s="66"/>
      <c r="C163" s="54" t="s">
        <v>32</v>
      </c>
      <c r="D163" s="54" t="s">
        <v>44</v>
      </c>
      <c r="E163" s="68" t="s">
        <v>367</v>
      </c>
      <c r="F163" s="54" t="s">
        <v>40</v>
      </c>
      <c r="G163" s="54" t="s">
        <v>36</v>
      </c>
      <c r="H163" s="54">
        <f>STOCK[[#This Row],[Precio Final]]</f>
        <v>16</v>
      </c>
      <c r="I163" s="54">
        <f>STOCK[[#This Row],[Precio Venta Ideal (x1.5)]]</f>
        <v>21.1558333333333</v>
      </c>
      <c r="J163" s="72">
        <v>1</v>
      </c>
      <c r="K163" s="72">
        <f>SUMIFS(VENTAS[Cantidad],VENTAS[Código del producto Vendido],STOCK[[#This Row],[Code]])</f>
        <v>1</v>
      </c>
      <c r="L163" s="72">
        <f>STOCK[[#This Row],[Entradas]]-STOCK[[#This Row],[Salidas]]</f>
        <v>0</v>
      </c>
      <c r="M163" s="54">
        <f>STOCK[[#This Row],[Precio Final]]*10%</f>
        <v>1.6</v>
      </c>
      <c r="N163" s="54">
        <v>163.87</v>
      </c>
      <c r="O163" s="54">
        <v>18</v>
      </c>
      <c r="P163" s="54">
        <v>9.10388888888889</v>
      </c>
      <c r="Q163" s="72">
        <v>200</v>
      </c>
      <c r="R163" s="54">
        <v>17</v>
      </c>
      <c r="S163" s="54">
        <f>STOCK[[#This Row],[Peso (g)]]*STOCK[[#This Row],[Precio Envío Kilogramo (USD)]]/1000</f>
        <v>3.4</v>
      </c>
      <c r="T163" s="53">
        <f>STOCK[[#This Row],[Costo Unitario (USD)]]+STOCK[[#This Row],[Costo Envío (USD)]]+STOCK[[#This Row],[Comisión 10%]]</f>
        <v>14.1038888888889</v>
      </c>
      <c r="U163" s="54">
        <f>STOCK[[#This Row],[Costo total]]*1.5</f>
        <v>21.1558333333333</v>
      </c>
      <c r="V163" s="54">
        <v>16</v>
      </c>
      <c r="W163" s="54">
        <f>STOCK[[#This Row],[Precio Final]]-STOCK[[#This Row],[Costo total]]</f>
        <v>1.89611111111111</v>
      </c>
      <c r="X163" s="54">
        <f>STOCK[[#This Row],[Ganancia Unitaria]]*STOCK[[#This Row],[Salidas]]</f>
        <v>1.89611111111111</v>
      </c>
      <c r="AA163" s="54">
        <f>STOCK[[#This Row],[Costo total]]*STOCK[[#This Row],[Entradas]]</f>
        <v>14.1038888888889</v>
      </c>
      <c r="AB163" s="54">
        <f>STOCK[[#This Row],[Stock Actual]]*STOCK[[#This Row],[Costo total]]</f>
        <v>0</v>
      </c>
    </row>
    <row r="164" s="53" customFormat="1" ht="50" customHeight="1" spans="1:28">
      <c r="A164" s="53" t="s">
        <v>368</v>
      </c>
      <c r="B164" s="66"/>
      <c r="C164" s="53" t="s">
        <v>32</v>
      </c>
      <c r="D164" s="53" t="s">
        <v>44</v>
      </c>
      <c r="E164" s="67" t="s">
        <v>369</v>
      </c>
      <c r="F164" s="53" t="s">
        <v>40</v>
      </c>
      <c r="G164" s="53" t="s">
        <v>36</v>
      </c>
      <c r="H164" s="53">
        <f>STOCK[[#This Row],[Precio Final]]</f>
        <v>16</v>
      </c>
      <c r="I164" s="53">
        <f>STOCK[[#This Row],[Precio Venta Ideal (x1.5)]]</f>
        <v>21.6525</v>
      </c>
      <c r="J164" s="71">
        <v>1</v>
      </c>
      <c r="K164" s="71">
        <f>SUMIFS(VENTAS[Cantidad],VENTAS[Código del producto Vendido],STOCK[[#This Row],[Code]])</f>
        <v>1</v>
      </c>
      <c r="L164" s="71">
        <f>STOCK[[#This Row],[Entradas]]-STOCK[[#This Row],[Salidas]]</f>
        <v>0</v>
      </c>
      <c r="M164" s="53">
        <f>STOCK[[#This Row],[Precio Final]]*10%</f>
        <v>1.6</v>
      </c>
      <c r="N164" s="53">
        <v>169.83</v>
      </c>
      <c r="O164" s="53">
        <v>18</v>
      </c>
      <c r="P164" s="53">
        <v>9.435</v>
      </c>
      <c r="Q164" s="71">
        <v>200</v>
      </c>
      <c r="R164" s="53">
        <v>17</v>
      </c>
      <c r="S164" s="53">
        <f>STOCK[[#This Row],[Peso (g)]]*STOCK[[#This Row],[Precio Envío Kilogramo (USD)]]/1000</f>
        <v>3.4</v>
      </c>
      <c r="T164" s="53">
        <f>STOCK[[#This Row],[Costo Unitario (USD)]]+STOCK[[#This Row],[Costo Envío (USD)]]+STOCK[[#This Row],[Comisión 10%]]</f>
        <v>14.435</v>
      </c>
      <c r="U164" s="53">
        <f>STOCK[[#This Row],[Costo total]]*1.5</f>
        <v>21.6525</v>
      </c>
      <c r="V164" s="53">
        <v>16</v>
      </c>
      <c r="W164" s="53">
        <f>STOCK[[#This Row],[Precio Final]]-STOCK[[#This Row],[Costo total]]</f>
        <v>1.565</v>
      </c>
      <c r="X164" s="53">
        <f>STOCK[[#This Row],[Ganancia Unitaria]]*STOCK[[#This Row],[Salidas]]</f>
        <v>1.565</v>
      </c>
      <c r="AA164" s="53">
        <f>STOCK[[#This Row],[Costo total]]*STOCK[[#This Row],[Entradas]]</f>
        <v>14.435</v>
      </c>
      <c r="AB164" s="53">
        <f>STOCK[[#This Row],[Stock Actual]]*STOCK[[#This Row],[Costo total]]</f>
        <v>0</v>
      </c>
    </row>
    <row r="165" s="54" customFormat="1" ht="50" customHeight="1" spans="1:28">
      <c r="A165" s="54" t="s">
        <v>370</v>
      </c>
      <c r="B165" s="66"/>
      <c r="C165" s="54" t="s">
        <v>32</v>
      </c>
      <c r="D165" s="54" t="s">
        <v>371</v>
      </c>
      <c r="E165" s="68" t="s">
        <v>372</v>
      </c>
      <c r="F165" s="54" t="s">
        <v>46</v>
      </c>
      <c r="G165" s="54" t="s">
        <v>36</v>
      </c>
      <c r="H165" s="54">
        <f>STOCK[[#This Row],[Precio Final]]</f>
        <v>30</v>
      </c>
      <c r="I165" s="54">
        <f>STOCK[[#This Row],[Precio Venta Ideal (x1.5)]]</f>
        <v>23.1833333333334</v>
      </c>
      <c r="J165" s="72">
        <v>1</v>
      </c>
      <c r="K165" s="72">
        <f>SUMIFS(VENTAS[Cantidad],VENTAS[Código del producto Vendido],STOCK[[#This Row],[Code]])</f>
        <v>1</v>
      </c>
      <c r="L165" s="72">
        <f>STOCK[[#This Row],[Entradas]]-STOCK[[#This Row],[Salidas]]</f>
        <v>0</v>
      </c>
      <c r="M165" s="54">
        <f>STOCK[[#This Row],[Precio Final]]*10%</f>
        <v>3</v>
      </c>
      <c r="N165" s="54">
        <v>202.6</v>
      </c>
      <c r="O165" s="54">
        <v>18</v>
      </c>
      <c r="P165" s="54">
        <v>11.2555555555556</v>
      </c>
      <c r="Q165" s="72">
        <v>150</v>
      </c>
      <c r="R165" s="54">
        <v>8</v>
      </c>
      <c r="S165" s="54">
        <f>STOCK[[#This Row],[Peso (g)]]*STOCK[[#This Row],[Precio Envío Kilogramo (USD)]]/1000</f>
        <v>1.2</v>
      </c>
      <c r="T165" s="53">
        <f>STOCK[[#This Row],[Costo Unitario (USD)]]+STOCK[[#This Row],[Costo Envío (USD)]]+STOCK[[#This Row],[Comisión 10%]]</f>
        <v>15.4555555555556</v>
      </c>
      <c r="U165" s="54">
        <f>STOCK[[#This Row],[Costo total]]*1.5</f>
        <v>23.1833333333334</v>
      </c>
      <c r="V165" s="54">
        <v>30</v>
      </c>
      <c r="W165" s="54">
        <f>STOCK[[#This Row],[Precio Final]]-STOCK[[#This Row],[Costo total]]</f>
        <v>14.5444444444444</v>
      </c>
      <c r="X165" s="54">
        <f>STOCK[[#This Row],[Ganancia Unitaria]]*STOCK[[#This Row],[Salidas]]</f>
        <v>14.5444444444444</v>
      </c>
      <c r="AA165" s="54">
        <f>STOCK[[#This Row],[Costo total]]*STOCK[[#This Row],[Entradas]]</f>
        <v>15.4555555555556</v>
      </c>
      <c r="AB165" s="54">
        <f>STOCK[[#This Row],[Stock Actual]]*STOCK[[#This Row],[Costo total]]</f>
        <v>0</v>
      </c>
    </row>
    <row r="166" s="53" customFormat="1" ht="50" customHeight="1" spans="1:28">
      <c r="A166" s="53" t="s">
        <v>373</v>
      </c>
      <c r="B166" s="66"/>
      <c r="C166" s="53" t="s">
        <v>32</v>
      </c>
      <c r="D166" s="53" t="s">
        <v>44</v>
      </c>
      <c r="E166" s="67" t="s">
        <v>374</v>
      </c>
      <c r="F166" s="53" t="s">
        <v>46</v>
      </c>
      <c r="G166" s="53" t="s">
        <v>36</v>
      </c>
      <c r="H166" s="53">
        <f>STOCK[[#This Row],[Precio Final]]</f>
        <v>12</v>
      </c>
      <c r="I166" s="53">
        <f>STOCK[[#This Row],[Precio Venta Ideal (x1.5)]]</f>
        <v>14.3616666666667</v>
      </c>
      <c r="J166" s="71">
        <v>1</v>
      </c>
      <c r="K166" s="71">
        <f>SUMIFS(VENTAS[Cantidad],VENTAS[Código del producto Vendido],STOCK[[#This Row],[Code]])</f>
        <v>1</v>
      </c>
      <c r="L166" s="71">
        <f>STOCK[[#This Row],[Entradas]]-STOCK[[#This Row],[Salidas]]</f>
        <v>0</v>
      </c>
      <c r="M166" s="53">
        <f>STOCK[[#This Row],[Precio Final]]*10%</f>
        <v>1.2</v>
      </c>
      <c r="N166" s="53">
        <v>95.66</v>
      </c>
      <c r="O166" s="53">
        <v>18</v>
      </c>
      <c r="P166" s="53">
        <v>5.31444444444444</v>
      </c>
      <c r="Q166" s="71">
        <v>180</v>
      </c>
      <c r="R166" s="53">
        <v>17</v>
      </c>
      <c r="S166" s="53">
        <f>STOCK[[#This Row],[Peso (g)]]*STOCK[[#This Row],[Precio Envío Kilogramo (USD)]]/1000</f>
        <v>3.06</v>
      </c>
      <c r="T166" s="53">
        <f>STOCK[[#This Row],[Costo Unitario (USD)]]+STOCK[[#This Row],[Costo Envío (USD)]]+STOCK[[#This Row],[Comisión 10%]]</f>
        <v>9.57444444444444</v>
      </c>
      <c r="U166" s="53">
        <f>STOCK[[#This Row],[Costo total]]*1.5</f>
        <v>14.3616666666667</v>
      </c>
      <c r="V166" s="53">
        <v>12</v>
      </c>
      <c r="W166" s="53">
        <f>STOCK[[#This Row],[Precio Final]]-STOCK[[#This Row],[Costo total]]</f>
        <v>2.42555555555556</v>
      </c>
      <c r="X166" s="53">
        <f>STOCK[[#This Row],[Ganancia Unitaria]]*STOCK[[#This Row],[Salidas]]</f>
        <v>2.42555555555556</v>
      </c>
      <c r="AA166" s="53">
        <f>STOCK[[#This Row],[Costo total]]*STOCK[[#This Row],[Entradas]]</f>
        <v>9.57444444444444</v>
      </c>
      <c r="AB166" s="53">
        <f>STOCK[[#This Row],[Stock Actual]]*STOCK[[#This Row],[Costo total]]</f>
        <v>0</v>
      </c>
    </row>
    <row r="167" s="54" customFormat="1" ht="50" customHeight="1" spans="1:28">
      <c r="A167" s="54" t="s">
        <v>375</v>
      </c>
      <c r="B167" s="66"/>
      <c r="C167" s="54" t="s">
        <v>32</v>
      </c>
      <c r="D167" s="54" t="s">
        <v>44</v>
      </c>
      <c r="E167" s="68" t="s">
        <v>376</v>
      </c>
      <c r="F167" s="54" t="s">
        <v>46</v>
      </c>
      <c r="G167" s="54" t="s">
        <v>36</v>
      </c>
      <c r="H167" s="54">
        <f>STOCK[[#This Row],[Precio Final]]</f>
        <v>30</v>
      </c>
      <c r="I167" s="54">
        <f>STOCK[[#This Row],[Precio Venta Ideal (x1.5)]]</f>
        <v>33.6866666666667</v>
      </c>
      <c r="J167" s="72">
        <v>1</v>
      </c>
      <c r="K167" s="72">
        <f>SUMIFS(VENTAS[Cantidad],VENTAS[Código del producto Vendido],STOCK[[#This Row],[Code]])</f>
        <v>1</v>
      </c>
      <c r="L167" s="72">
        <f>STOCK[[#This Row],[Entradas]]-STOCK[[#This Row],[Salidas]]</f>
        <v>0</v>
      </c>
      <c r="M167" s="54">
        <f>STOCK[[#This Row],[Precio Final]]*10%</f>
        <v>3</v>
      </c>
      <c r="N167" s="54">
        <v>289.04</v>
      </c>
      <c r="O167" s="54">
        <v>18</v>
      </c>
      <c r="P167" s="54">
        <v>16.0577777777778</v>
      </c>
      <c r="Q167" s="72">
        <v>200</v>
      </c>
      <c r="R167" s="54">
        <v>17</v>
      </c>
      <c r="S167" s="54">
        <f>STOCK[[#This Row],[Peso (g)]]*STOCK[[#This Row],[Precio Envío Kilogramo (USD)]]/1000</f>
        <v>3.4</v>
      </c>
      <c r="T167" s="53">
        <f>STOCK[[#This Row],[Costo Unitario (USD)]]+STOCK[[#This Row],[Costo Envío (USD)]]+STOCK[[#This Row],[Comisión 10%]]</f>
        <v>22.4577777777778</v>
      </c>
      <c r="U167" s="54">
        <f>STOCK[[#This Row],[Costo total]]*1.5</f>
        <v>33.6866666666667</v>
      </c>
      <c r="V167" s="54">
        <v>30</v>
      </c>
      <c r="W167" s="54">
        <f>STOCK[[#This Row],[Precio Final]]-STOCK[[#This Row],[Costo total]]</f>
        <v>7.5422222222222</v>
      </c>
      <c r="X167" s="54">
        <f>STOCK[[#This Row],[Ganancia Unitaria]]*STOCK[[#This Row],[Salidas]]</f>
        <v>7.5422222222222</v>
      </c>
      <c r="AA167" s="54">
        <f>STOCK[[#This Row],[Costo total]]*STOCK[[#This Row],[Entradas]]</f>
        <v>22.4577777777778</v>
      </c>
      <c r="AB167" s="54">
        <f>STOCK[[#This Row],[Stock Actual]]*STOCK[[#This Row],[Costo total]]</f>
        <v>0</v>
      </c>
    </row>
    <row r="168" s="53" customFormat="1" ht="50" customHeight="1" spans="1:28">
      <c r="A168" s="53" t="s">
        <v>377</v>
      </c>
      <c r="B168" s="66"/>
      <c r="C168" s="53" t="s">
        <v>32</v>
      </c>
      <c r="D168" s="53" t="s">
        <v>44</v>
      </c>
      <c r="E168" s="67" t="s">
        <v>378</v>
      </c>
      <c r="F168" s="53" t="s">
        <v>46</v>
      </c>
      <c r="G168" s="53" t="s">
        <v>36</v>
      </c>
      <c r="H168" s="53">
        <f>STOCK[[#This Row],[Precio Final]]</f>
        <v>12</v>
      </c>
      <c r="I168" s="53">
        <f>STOCK[[#This Row],[Precio Venta Ideal (x1.5)]]</f>
        <v>12.6725</v>
      </c>
      <c r="J168" s="71">
        <v>1</v>
      </c>
      <c r="K168" s="71">
        <f>SUMIFS(VENTAS[Cantidad],VENTAS[Código del producto Vendido],STOCK[[#This Row],[Code]])</f>
        <v>1</v>
      </c>
      <c r="L168" s="71">
        <f>STOCK[[#This Row],[Entradas]]-STOCK[[#This Row],[Salidas]]</f>
        <v>0</v>
      </c>
      <c r="M168" s="53">
        <f>STOCK[[#This Row],[Precio Final]]*10%</f>
        <v>1.2</v>
      </c>
      <c r="N168" s="53">
        <v>84.57</v>
      </c>
      <c r="O168" s="53">
        <v>18</v>
      </c>
      <c r="P168" s="53">
        <v>4.69833333333333</v>
      </c>
      <c r="Q168" s="71">
        <v>150</v>
      </c>
      <c r="R168" s="53">
        <v>17</v>
      </c>
      <c r="S168" s="53">
        <f>STOCK[[#This Row],[Peso (g)]]*STOCK[[#This Row],[Precio Envío Kilogramo (USD)]]/1000</f>
        <v>2.55</v>
      </c>
      <c r="T168" s="53">
        <f>STOCK[[#This Row],[Costo Unitario (USD)]]+STOCK[[#This Row],[Costo Envío (USD)]]+STOCK[[#This Row],[Comisión 10%]]</f>
        <v>8.44833333333333</v>
      </c>
      <c r="U168" s="53">
        <f>STOCK[[#This Row],[Costo total]]*1.5</f>
        <v>12.6725</v>
      </c>
      <c r="V168" s="53">
        <v>12</v>
      </c>
      <c r="W168" s="53">
        <f>STOCK[[#This Row],[Precio Final]]-STOCK[[#This Row],[Costo total]]</f>
        <v>3.55166666666667</v>
      </c>
      <c r="X168" s="53">
        <f>STOCK[[#This Row],[Ganancia Unitaria]]*STOCK[[#This Row],[Salidas]]</f>
        <v>3.55166666666667</v>
      </c>
      <c r="AA168" s="53">
        <f>STOCK[[#This Row],[Costo total]]*STOCK[[#This Row],[Entradas]]</f>
        <v>8.44833333333333</v>
      </c>
      <c r="AB168" s="53">
        <f>STOCK[[#This Row],[Stock Actual]]*STOCK[[#This Row],[Costo total]]</f>
        <v>0</v>
      </c>
    </row>
    <row r="169" s="54" customFormat="1" ht="50" customHeight="1" spans="1:28">
      <c r="A169" s="54" t="s">
        <v>379</v>
      </c>
      <c r="B169" s="66"/>
      <c r="C169" s="54" t="s">
        <v>32</v>
      </c>
      <c r="D169" s="54" t="s">
        <v>44</v>
      </c>
      <c r="E169" s="68" t="s">
        <v>380</v>
      </c>
      <c r="F169" s="54" t="s">
        <v>40</v>
      </c>
      <c r="G169" s="54" t="s">
        <v>36</v>
      </c>
      <c r="H169" s="54">
        <f>STOCK[[#This Row],[Precio Final]]</f>
        <v>12</v>
      </c>
      <c r="I169" s="54">
        <f>STOCK[[#This Row],[Precio Venta Ideal (x1.5)]]</f>
        <v>12.6725</v>
      </c>
      <c r="J169" s="72">
        <v>1</v>
      </c>
      <c r="K169" s="72">
        <f>SUMIFS(VENTAS[Cantidad],VENTAS[Código del producto Vendido],STOCK[[#This Row],[Code]])</f>
        <v>1</v>
      </c>
      <c r="L169" s="72">
        <f>STOCK[[#This Row],[Entradas]]-STOCK[[#This Row],[Salidas]]</f>
        <v>0</v>
      </c>
      <c r="M169" s="54">
        <f>STOCK[[#This Row],[Precio Final]]*10%</f>
        <v>1.2</v>
      </c>
      <c r="N169" s="54">
        <v>84.57</v>
      </c>
      <c r="O169" s="54">
        <v>18</v>
      </c>
      <c r="P169" s="54">
        <v>4.69833333333333</v>
      </c>
      <c r="Q169" s="72">
        <v>150</v>
      </c>
      <c r="R169" s="54">
        <v>17</v>
      </c>
      <c r="S169" s="54">
        <f>STOCK[[#This Row],[Peso (g)]]*STOCK[[#This Row],[Precio Envío Kilogramo (USD)]]/1000</f>
        <v>2.55</v>
      </c>
      <c r="T169" s="53">
        <f>STOCK[[#This Row],[Costo Unitario (USD)]]+STOCK[[#This Row],[Costo Envío (USD)]]+STOCK[[#This Row],[Comisión 10%]]</f>
        <v>8.44833333333333</v>
      </c>
      <c r="U169" s="54">
        <f>STOCK[[#This Row],[Costo total]]*1.5</f>
        <v>12.6725</v>
      </c>
      <c r="V169" s="54">
        <v>12</v>
      </c>
      <c r="W169" s="54">
        <f>STOCK[[#This Row],[Precio Final]]-STOCK[[#This Row],[Costo total]]</f>
        <v>3.55166666666667</v>
      </c>
      <c r="X169" s="54">
        <f>STOCK[[#This Row],[Ganancia Unitaria]]*STOCK[[#This Row],[Salidas]]</f>
        <v>3.55166666666667</v>
      </c>
      <c r="AA169" s="54">
        <f>STOCK[[#This Row],[Costo total]]*STOCK[[#This Row],[Entradas]]</f>
        <v>8.44833333333333</v>
      </c>
      <c r="AB169" s="54">
        <f>STOCK[[#This Row],[Stock Actual]]*STOCK[[#This Row],[Costo total]]</f>
        <v>0</v>
      </c>
    </row>
    <row r="170" s="53" customFormat="1" ht="50" customHeight="1" spans="1:28">
      <c r="A170" s="53" t="s">
        <v>381</v>
      </c>
      <c r="B170" s="66"/>
      <c r="C170" s="53" t="s">
        <v>32</v>
      </c>
      <c r="D170" s="53" t="s">
        <v>216</v>
      </c>
      <c r="E170" s="67" t="s">
        <v>382</v>
      </c>
      <c r="F170" s="53" t="s">
        <v>62</v>
      </c>
      <c r="G170" s="53" t="s">
        <v>36</v>
      </c>
      <c r="H170" s="53">
        <f>STOCK[[#This Row],[Precio Final]]</f>
        <v>18</v>
      </c>
      <c r="I170" s="53">
        <f>STOCK[[#This Row],[Precio Venta Ideal (x1.5)]]</f>
        <v>14.9008333333333</v>
      </c>
      <c r="J170" s="71">
        <v>1</v>
      </c>
      <c r="K170" s="71">
        <f>SUMIFS(VENTAS[Cantidad],VENTAS[Código del producto Vendido],STOCK[[#This Row],[Code]])</f>
        <v>0</v>
      </c>
      <c r="L170" s="71">
        <f>STOCK[[#This Row],[Entradas]]-STOCK[[#This Row],[Salidas]]</f>
        <v>1</v>
      </c>
      <c r="M170" s="53">
        <f>STOCK[[#This Row],[Precio Final]]*10%</f>
        <v>1.8</v>
      </c>
      <c r="N170" s="53">
        <v>100.51</v>
      </c>
      <c r="O170" s="53">
        <v>18</v>
      </c>
      <c r="P170" s="53">
        <v>5.58388888888889</v>
      </c>
      <c r="Q170" s="71">
        <v>150</v>
      </c>
      <c r="R170" s="53">
        <v>17</v>
      </c>
      <c r="S170" s="53">
        <f>STOCK[[#This Row],[Peso (g)]]*STOCK[[#This Row],[Precio Envío Kilogramo (USD)]]/1000</f>
        <v>2.55</v>
      </c>
      <c r="T170" s="53">
        <f>STOCK[[#This Row],[Costo Unitario (USD)]]+STOCK[[#This Row],[Costo Envío (USD)]]+STOCK[[#This Row],[Comisión 10%]]</f>
        <v>9.93388888888889</v>
      </c>
      <c r="U170" s="53">
        <f>STOCK[[#This Row],[Costo total]]*1.5</f>
        <v>14.9008333333333</v>
      </c>
      <c r="V170" s="53">
        <v>18</v>
      </c>
      <c r="W170" s="53">
        <f>STOCK[[#This Row],[Precio Final]]-STOCK[[#This Row],[Costo total]]</f>
        <v>8.06611111111111</v>
      </c>
      <c r="X170" s="53">
        <f>STOCK[[#This Row],[Ganancia Unitaria]]*STOCK[[#This Row],[Salidas]]</f>
        <v>0</v>
      </c>
      <c r="AA170" s="53">
        <f>STOCK[[#This Row],[Costo total]]*STOCK[[#This Row],[Entradas]]</f>
        <v>9.93388888888889</v>
      </c>
      <c r="AB170" s="53">
        <f>STOCK[[#This Row],[Stock Actual]]*STOCK[[#This Row],[Costo total]]</f>
        <v>9.93388888888889</v>
      </c>
    </row>
    <row r="171" s="54" customFormat="1" ht="50" customHeight="1" spans="1:28">
      <c r="A171" s="54" t="s">
        <v>383</v>
      </c>
      <c r="B171" s="66"/>
      <c r="C171" s="54" t="s">
        <v>32</v>
      </c>
      <c r="D171" s="54" t="s">
        <v>351</v>
      </c>
      <c r="E171" s="68" t="s">
        <v>384</v>
      </c>
      <c r="F171" s="54" t="s">
        <v>385</v>
      </c>
      <c r="G171" s="54" t="s">
        <v>36</v>
      </c>
      <c r="H171" s="54">
        <f>STOCK[[#This Row],[Precio Final]]</f>
        <v>10</v>
      </c>
      <c r="I171" s="54">
        <f>STOCK[[#This Row],[Precio Venta Ideal (x1.5)]]</f>
        <v>10.0941666666667</v>
      </c>
      <c r="J171" s="72">
        <v>1</v>
      </c>
      <c r="K171" s="72">
        <f>SUMIFS(VENTAS[Cantidad],VENTAS[Código del producto Vendido],STOCK[[#This Row],[Code]])</f>
        <v>1</v>
      </c>
      <c r="L171" s="72">
        <f>STOCK[[#This Row],[Entradas]]-STOCK[[#This Row],[Salidas]]</f>
        <v>0</v>
      </c>
      <c r="M171" s="54">
        <f>STOCK[[#This Row],[Precio Final]]*10%</f>
        <v>1</v>
      </c>
      <c r="N171" s="54">
        <v>88.73</v>
      </c>
      <c r="O171" s="54">
        <v>18</v>
      </c>
      <c r="P171" s="54">
        <v>4.92944444444444</v>
      </c>
      <c r="Q171" s="72">
        <v>100</v>
      </c>
      <c r="R171" s="54">
        <v>8</v>
      </c>
      <c r="S171" s="54">
        <f>STOCK[[#This Row],[Peso (g)]]*STOCK[[#This Row],[Precio Envío Kilogramo (USD)]]/1000</f>
        <v>0.8</v>
      </c>
      <c r="T171" s="53">
        <f>STOCK[[#This Row],[Costo Unitario (USD)]]+STOCK[[#This Row],[Costo Envío (USD)]]+STOCK[[#This Row],[Comisión 10%]]</f>
        <v>6.72944444444444</v>
      </c>
      <c r="U171" s="54">
        <f>STOCK[[#This Row],[Costo total]]*1.5</f>
        <v>10.0941666666667</v>
      </c>
      <c r="V171" s="54">
        <v>10</v>
      </c>
      <c r="W171" s="54">
        <f>STOCK[[#This Row],[Precio Final]]-STOCK[[#This Row],[Costo total]]</f>
        <v>3.27055555555556</v>
      </c>
      <c r="X171" s="54">
        <f>STOCK[[#This Row],[Ganancia Unitaria]]*STOCK[[#This Row],[Salidas]]</f>
        <v>3.27055555555556</v>
      </c>
      <c r="AA171" s="54">
        <f>STOCK[[#This Row],[Costo total]]*STOCK[[#This Row],[Entradas]]</f>
        <v>6.72944444444444</v>
      </c>
      <c r="AB171" s="54">
        <f>STOCK[[#This Row],[Stock Actual]]*STOCK[[#This Row],[Costo total]]</f>
        <v>0</v>
      </c>
    </row>
    <row r="172" s="53" customFormat="1" ht="50" customHeight="1" spans="1:28">
      <c r="A172" s="53" t="s">
        <v>386</v>
      </c>
      <c r="B172" s="66"/>
      <c r="C172" s="53" t="s">
        <v>32</v>
      </c>
      <c r="D172" s="53" t="s">
        <v>351</v>
      </c>
      <c r="E172" s="67" t="s">
        <v>387</v>
      </c>
      <c r="F172" s="53" t="s">
        <v>388</v>
      </c>
      <c r="G172" s="53" t="s">
        <v>36</v>
      </c>
      <c r="H172" s="53">
        <f>STOCK[[#This Row],[Precio Final]]</f>
        <v>15</v>
      </c>
      <c r="I172" s="53">
        <f>STOCK[[#This Row],[Precio Venta Ideal (x1.5)]]</f>
        <v>13.95</v>
      </c>
      <c r="J172" s="71">
        <v>2</v>
      </c>
      <c r="K172" s="71">
        <f>SUMIFS(VENTAS[Cantidad],VENTAS[Código del producto Vendido],STOCK[[#This Row],[Code]])</f>
        <v>2</v>
      </c>
      <c r="L172" s="71">
        <f>STOCK[[#This Row],[Entradas]]-STOCK[[#This Row],[Salidas]]</f>
        <v>0</v>
      </c>
      <c r="M172" s="53">
        <f>STOCK[[#This Row],[Precio Final]]*10%</f>
        <v>1.5</v>
      </c>
      <c r="N172" s="53">
        <v>111.6</v>
      </c>
      <c r="O172" s="53">
        <v>18</v>
      </c>
      <c r="P172" s="53">
        <v>6.2</v>
      </c>
      <c r="Q172" s="71">
        <v>200</v>
      </c>
      <c r="R172" s="53">
        <v>8</v>
      </c>
      <c r="S172" s="53">
        <f>STOCK[[#This Row],[Peso (g)]]*STOCK[[#This Row],[Precio Envío Kilogramo (USD)]]/1000</f>
        <v>1.6</v>
      </c>
      <c r="T172" s="53">
        <f>STOCK[[#This Row],[Costo Unitario (USD)]]+STOCK[[#This Row],[Costo Envío (USD)]]+STOCK[[#This Row],[Comisión 10%]]</f>
        <v>9.3</v>
      </c>
      <c r="U172" s="53">
        <f>STOCK[[#This Row],[Costo total]]*1.5</f>
        <v>13.95</v>
      </c>
      <c r="V172" s="53">
        <v>15</v>
      </c>
      <c r="W172" s="53">
        <f>STOCK[[#This Row],[Precio Final]]-STOCK[[#This Row],[Costo total]]</f>
        <v>5.7</v>
      </c>
      <c r="X172" s="53">
        <f>STOCK[[#This Row],[Ganancia Unitaria]]*STOCK[[#This Row],[Salidas]]</f>
        <v>11.4</v>
      </c>
      <c r="AA172" s="53">
        <f>STOCK[[#This Row],[Costo total]]*STOCK[[#This Row],[Entradas]]</f>
        <v>18.6</v>
      </c>
      <c r="AB172" s="53">
        <f>STOCK[[#This Row],[Stock Actual]]*STOCK[[#This Row],[Costo total]]</f>
        <v>0</v>
      </c>
    </row>
    <row r="173" s="54" customFormat="1" ht="50" customHeight="1" spans="1:28">
      <c r="A173" s="54" t="s">
        <v>389</v>
      </c>
      <c r="B173" s="66"/>
      <c r="C173" s="54" t="s">
        <v>32</v>
      </c>
      <c r="D173" s="54" t="s">
        <v>351</v>
      </c>
      <c r="E173" s="68" t="s">
        <v>390</v>
      </c>
      <c r="F173" s="54" t="s">
        <v>388</v>
      </c>
      <c r="G173" s="54" t="s">
        <v>36</v>
      </c>
      <c r="H173" s="54">
        <f>STOCK[[#This Row],[Precio Final]]</f>
        <v>15</v>
      </c>
      <c r="I173" s="54">
        <f>STOCK[[#This Row],[Precio Venta Ideal (x1.5)]]</f>
        <v>14.2966666666667</v>
      </c>
      <c r="J173" s="72">
        <v>2</v>
      </c>
      <c r="K173" s="72">
        <f>SUMIFS(VENTAS[Cantidad],VENTAS[Código del producto Vendido],STOCK[[#This Row],[Code]])</f>
        <v>2</v>
      </c>
      <c r="L173" s="72">
        <f>STOCK[[#This Row],[Entradas]]-STOCK[[#This Row],[Salidas]]</f>
        <v>0</v>
      </c>
      <c r="M173" s="54">
        <f>STOCK[[#This Row],[Precio Final]]*10%</f>
        <v>1.5</v>
      </c>
      <c r="N173" s="54">
        <v>115.76</v>
      </c>
      <c r="O173" s="54">
        <v>18</v>
      </c>
      <c r="P173" s="54">
        <v>6.43111111111111</v>
      </c>
      <c r="Q173" s="72">
        <v>200</v>
      </c>
      <c r="R173" s="54">
        <v>8</v>
      </c>
      <c r="S173" s="54">
        <f>STOCK[[#This Row],[Peso (g)]]*STOCK[[#This Row],[Precio Envío Kilogramo (USD)]]/1000</f>
        <v>1.6</v>
      </c>
      <c r="T173" s="53">
        <f>STOCK[[#This Row],[Costo Unitario (USD)]]+STOCK[[#This Row],[Costo Envío (USD)]]+STOCK[[#This Row],[Comisión 10%]]</f>
        <v>9.53111111111111</v>
      </c>
      <c r="U173" s="54">
        <f>STOCK[[#This Row],[Costo total]]*1.5</f>
        <v>14.2966666666667</v>
      </c>
      <c r="V173" s="54">
        <v>15</v>
      </c>
      <c r="W173" s="54">
        <f>STOCK[[#This Row],[Precio Final]]-STOCK[[#This Row],[Costo total]]</f>
        <v>5.46888888888889</v>
      </c>
      <c r="X173" s="54">
        <f>STOCK[[#This Row],[Ganancia Unitaria]]*STOCK[[#This Row],[Salidas]]</f>
        <v>10.9377777777778</v>
      </c>
      <c r="AA173" s="54">
        <f>STOCK[[#This Row],[Costo total]]*STOCK[[#This Row],[Entradas]]</f>
        <v>19.0622222222222</v>
      </c>
      <c r="AB173" s="54">
        <f>STOCK[[#This Row],[Stock Actual]]*STOCK[[#This Row],[Costo total]]</f>
        <v>0</v>
      </c>
    </row>
    <row r="174" s="53" customFormat="1" ht="50" customHeight="1" spans="1:28">
      <c r="A174" s="53" t="s">
        <v>391</v>
      </c>
      <c r="B174" s="66"/>
      <c r="C174" s="53" t="s">
        <v>32</v>
      </c>
      <c r="D174" s="53" t="s">
        <v>392</v>
      </c>
      <c r="E174" s="67" t="s">
        <v>393</v>
      </c>
      <c r="F174" s="53" t="s">
        <v>394</v>
      </c>
      <c r="G174" s="53" t="s">
        <v>36</v>
      </c>
      <c r="H174" s="53">
        <f>STOCK[[#This Row],[Precio Final]]</f>
        <v>0</v>
      </c>
      <c r="I174" s="53">
        <f>STOCK[[#This Row],[Precio Venta Ideal (x1.5)]]</f>
        <v>2.86000000000001</v>
      </c>
      <c r="J174" s="71">
        <v>0</v>
      </c>
      <c r="K174" s="71">
        <f>SUMIFS(VENTAS[Cantidad],VENTAS[Código del producto Vendido],STOCK[[#This Row],[Code]])</f>
        <v>0</v>
      </c>
      <c r="L174" s="71">
        <f>STOCK[[#This Row],[Entradas]]-STOCK[[#This Row],[Salidas]]</f>
        <v>0</v>
      </c>
      <c r="M174" s="53">
        <f>STOCK[[#This Row],[Precio Final]]*10%</f>
        <v>0</v>
      </c>
      <c r="N174" s="53">
        <v>30</v>
      </c>
      <c r="O174" s="53">
        <v>18</v>
      </c>
      <c r="P174" s="53">
        <v>1.66666666666667</v>
      </c>
      <c r="Q174" s="71">
        <v>30</v>
      </c>
      <c r="R174" s="53">
        <v>8</v>
      </c>
      <c r="S174" s="53">
        <f>STOCK[[#This Row],[Peso (g)]]*STOCK[[#This Row],[Precio Envío Kilogramo (USD)]]/1000</f>
        <v>0.24</v>
      </c>
      <c r="T174" s="53">
        <f>STOCK[[#This Row],[Costo Unitario (USD)]]+STOCK[[#This Row],[Costo Envío (USD)]]+STOCK[[#This Row],[Comisión 10%]]</f>
        <v>1.90666666666667</v>
      </c>
      <c r="U174" s="53">
        <f>STOCK[[#This Row],[Costo total]]*1.5</f>
        <v>2.86000000000001</v>
      </c>
      <c r="V174" s="53">
        <v>0</v>
      </c>
      <c r="W174" s="53">
        <f>STOCK[[#This Row],[Precio Final]]-STOCK[[#This Row],[Costo total]]</f>
        <v>-1.90666666666667</v>
      </c>
      <c r="X174" s="53">
        <f>STOCK[[#This Row],[Ganancia Unitaria]]*STOCK[[#This Row],[Salidas]]</f>
        <v>0</v>
      </c>
      <c r="AA174" s="53">
        <f>STOCK[[#This Row],[Costo total]]*STOCK[[#This Row],[Entradas]]</f>
        <v>0</v>
      </c>
      <c r="AB174" s="53">
        <f>STOCK[[#This Row],[Stock Actual]]*STOCK[[#This Row],[Costo total]]</f>
        <v>0</v>
      </c>
    </row>
    <row r="175" s="54" customFormat="1" ht="50" customHeight="1" spans="1:28">
      <c r="A175" s="54" t="s">
        <v>395</v>
      </c>
      <c r="B175" s="66"/>
      <c r="C175" s="54" t="s">
        <v>32</v>
      </c>
      <c r="D175" s="54" t="s">
        <v>351</v>
      </c>
      <c r="E175" s="68" t="s">
        <v>396</v>
      </c>
      <c r="F175" s="54" t="s">
        <v>388</v>
      </c>
      <c r="G175" s="54" t="s">
        <v>36</v>
      </c>
      <c r="H175" s="54">
        <f>STOCK[[#This Row],[Precio Final]]</f>
        <v>15</v>
      </c>
      <c r="I175" s="54">
        <f>STOCK[[#This Row],[Precio Venta Ideal (x1.5)]]</f>
        <v>16.3183333333333</v>
      </c>
      <c r="J175" s="72">
        <v>2</v>
      </c>
      <c r="K175" s="72">
        <f>SUMIFS(VENTAS[Cantidad],VENTAS[Código del producto Vendido],STOCK[[#This Row],[Code]])</f>
        <v>2</v>
      </c>
      <c r="L175" s="72">
        <f>STOCK[[#This Row],[Entradas]]-STOCK[[#This Row],[Salidas]]</f>
        <v>0</v>
      </c>
      <c r="M175" s="54">
        <f>STOCK[[#This Row],[Precio Final]]*10%</f>
        <v>1.5</v>
      </c>
      <c r="N175" s="54">
        <v>140.02</v>
      </c>
      <c r="O175" s="54">
        <v>18</v>
      </c>
      <c r="P175" s="54">
        <v>7.77888888888889</v>
      </c>
      <c r="Q175" s="72">
        <v>200</v>
      </c>
      <c r="R175" s="54">
        <v>8</v>
      </c>
      <c r="S175" s="54">
        <f>STOCK[[#This Row],[Peso (g)]]*STOCK[[#This Row],[Precio Envío Kilogramo (USD)]]/1000</f>
        <v>1.6</v>
      </c>
      <c r="T175" s="53">
        <f>STOCK[[#This Row],[Costo Unitario (USD)]]+STOCK[[#This Row],[Costo Envío (USD)]]+STOCK[[#This Row],[Comisión 10%]]</f>
        <v>10.8788888888889</v>
      </c>
      <c r="U175" s="54">
        <f>STOCK[[#This Row],[Costo total]]*1.5</f>
        <v>16.3183333333333</v>
      </c>
      <c r="V175" s="54">
        <v>15</v>
      </c>
      <c r="W175" s="54">
        <f>STOCK[[#This Row],[Precio Final]]-STOCK[[#This Row],[Costo total]]</f>
        <v>4.12111111111111</v>
      </c>
      <c r="X175" s="54">
        <f>STOCK[[#This Row],[Ganancia Unitaria]]*STOCK[[#This Row],[Salidas]]</f>
        <v>8.24222222222222</v>
      </c>
      <c r="AA175" s="54">
        <f>STOCK[[#This Row],[Costo total]]*STOCK[[#This Row],[Entradas]]</f>
        <v>21.7577777777778</v>
      </c>
      <c r="AB175" s="54">
        <f>STOCK[[#This Row],[Stock Actual]]*STOCK[[#This Row],[Costo total]]</f>
        <v>0</v>
      </c>
    </row>
    <row r="176" s="53" customFormat="1" ht="50" customHeight="1" spans="1:28">
      <c r="A176" s="53" t="s">
        <v>397</v>
      </c>
      <c r="B176" s="66"/>
      <c r="C176" s="53" t="s">
        <v>32</v>
      </c>
      <c r="D176" s="53" t="s">
        <v>351</v>
      </c>
      <c r="E176" s="67" t="s">
        <v>398</v>
      </c>
      <c r="F176" s="53" t="s">
        <v>394</v>
      </c>
      <c r="G176" s="53" t="s">
        <v>36</v>
      </c>
      <c r="H176" s="53">
        <f>STOCK[[#This Row],[Precio Final]]</f>
        <v>10</v>
      </c>
      <c r="I176" s="53">
        <f>STOCK[[#This Row],[Precio Venta Ideal (x1.5)]]</f>
        <v>8.07250000000001</v>
      </c>
      <c r="J176" s="71">
        <v>1</v>
      </c>
      <c r="K176" s="71">
        <f>SUMIFS(VENTAS[Cantidad],VENTAS[Código del producto Vendido],STOCK[[#This Row],[Code]])</f>
        <v>1</v>
      </c>
      <c r="L176" s="71">
        <f>STOCK[[#This Row],[Entradas]]-STOCK[[#This Row],[Salidas]]</f>
        <v>0</v>
      </c>
      <c r="M176" s="53">
        <f>STOCK[[#This Row],[Precio Final]]*10%</f>
        <v>1</v>
      </c>
      <c r="N176" s="53">
        <v>64.47</v>
      </c>
      <c r="O176" s="53">
        <v>18</v>
      </c>
      <c r="P176" s="53">
        <v>3.58166666666667</v>
      </c>
      <c r="Q176" s="71">
        <v>100</v>
      </c>
      <c r="R176" s="53">
        <v>8</v>
      </c>
      <c r="S176" s="53">
        <f>STOCK[[#This Row],[Peso (g)]]*STOCK[[#This Row],[Precio Envío Kilogramo (USD)]]/1000</f>
        <v>0.8</v>
      </c>
      <c r="T176" s="53">
        <f>STOCK[[#This Row],[Costo Unitario (USD)]]+STOCK[[#This Row],[Costo Envío (USD)]]+STOCK[[#This Row],[Comisión 10%]]</f>
        <v>5.38166666666667</v>
      </c>
      <c r="U176" s="53">
        <f>STOCK[[#This Row],[Costo total]]*1.5</f>
        <v>8.07250000000001</v>
      </c>
      <c r="V176" s="53">
        <v>10</v>
      </c>
      <c r="W176" s="53">
        <f>STOCK[[#This Row],[Precio Final]]-STOCK[[#This Row],[Costo total]]</f>
        <v>4.61833333333333</v>
      </c>
      <c r="X176" s="53">
        <f>STOCK[[#This Row],[Ganancia Unitaria]]*STOCK[[#This Row],[Salidas]]</f>
        <v>4.61833333333333</v>
      </c>
      <c r="AA176" s="53">
        <f>STOCK[[#This Row],[Costo total]]*STOCK[[#This Row],[Entradas]]</f>
        <v>5.38166666666667</v>
      </c>
      <c r="AB176" s="53">
        <f>STOCK[[#This Row],[Stock Actual]]*STOCK[[#This Row],[Costo total]]</f>
        <v>0</v>
      </c>
    </row>
    <row r="177" s="54" customFormat="1" ht="50" customHeight="1" spans="1:28">
      <c r="A177" s="54" t="s">
        <v>399</v>
      </c>
      <c r="B177" s="66"/>
      <c r="C177" s="54" t="s">
        <v>32</v>
      </c>
      <c r="D177" s="54" t="s">
        <v>44</v>
      </c>
      <c r="E177" s="68" t="s">
        <v>400</v>
      </c>
      <c r="F177" s="54" t="s">
        <v>46</v>
      </c>
      <c r="G177" s="54" t="s">
        <v>36</v>
      </c>
      <c r="H177" s="54">
        <f>STOCK[[#This Row],[Precio Final]]</f>
        <v>30</v>
      </c>
      <c r="I177" s="54">
        <f>STOCK[[#This Row],[Precio Venta Ideal (x1.5)]]</f>
        <v>33.315</v>
      </c>
      <c r="J177" s="72">
        <v>1</v>
      </c>
      <c r="K177" s="72">
        <f>SUMIFS(VENTAS[Cantidad],VENTAS[Código del producto Vendido],STOCK[[#This Row],[Code]])</f>
        <v>1</v>
      </c>
      <c r="L177" s="72">
        <f>STOCK[[#This Row],[Entradas]]-STOCK[[#This Row],[Salidas]]</f>
        <v>0</v>
      </c>
      <c r="M177" s="54">
        <f>STOCK[[#This Row],[Precio Final]]*10%</f>
        <v>3</v>
      </c>
      <c r="N177" s="54">
        <v>250.92</v>
      </c>
      <c r="O177" s="54">
        <v>18</v>
      </c>
      <c r="P177" s="54">
        <v>13.94</v>
      </c>
      <c r="Q177" s="72">
        <v>310</v>
      </c>
      <c r="R177" s="54">
        <v>17</v>
      </c>
      <c r="S177" s="54">
        <f>STOCK[[#This Row],[Peso (g)]]*STOCK[[#This Row],[Precio Envío Kilogramo (USD)]]/1000</f>
        <v>5.27</v>
      </c>
      <c r="T177" s="53">
        <f>STOCK[[#This Row],[Costo Unitario (USD)]]+STOCK[[#This Row],[Costo Envío (USD)]]+STOCK[[#This Row],[Comisión 10%]]</f>
        <v>22.21</v>
      </c>
      <c r="U177" s="54">
        <f>STOCK[[#This Row],[Costo total]]*1.5</f>
        <v>33.315</v>
      </c>
      <c r="V177" s="54">
        <v>30</v>
      </c>
      <c r="W177" s="54">
        <f>STOCK[[#This Row],[Precio Final]]-STOCK[[#This Row],[Costo total]]</f>
        <v>7.79</v>
      </c>
      <c r="X177" s="54">
        <f>STOCK[[#This Row],[Ganancia Unitaria]]*STOCK[[#This Row],[Salidas]]</f>
        <v>7.79</v>
      </c>
      <c r="AA177" s="54">
        <f>STOCK[[#This Row],[Costo total]]*STOCK[[#This Row],[Entradas]]</f>
        <v>22.21</v>
      </c>
      <c r="AB177" s="54">
        <f>STOCK[[#This Row],[Stock Actual]]*STOCK[[#This Row],[Costo total]]</f>
        <v>0</v>
      </c>
    </row>
    <row r="178" s="53" customFormat="1" ht="50" customHeight="1" spans="1:28">
      <c r="A178" s="53" t="s">
        <v>401</v>
      </c>
      <c r="B178" s="66"/>
      <c r="C178" s="53" t="s">
        <v>32</v>
      </c>
      <c r="D178" s="53" t="s">
        <v>44</v>
      </c>
      <c r="E178" s="67" t="s">
        <v>402</v>
      </c>
      <c r="F178" s="53" t="s">
        <v>62</v>
      </c>
      <c r="G178" s="53" t="s">
        <v>36</v>
      </c>
      <c r="H178" s="53">
        <f>STOCK[[#This Row],[Precio Final]]</f>
        <v>30</v>
      </c>
      <c r="I178" s="53">
        <f>STOCK[[#This Row],[Precio Venta Ideal (x1.5)]]</f>
        <v>33.315</v>
      </c>
      <c r="J178" s="71">
        <v>2</v>
      </c>
      <c r="K178" s="71">
        <f>SUMIFS(VENTAS[Cantidad],VENTAS[Código del producto Vendido],STOCK[[#This Row],[Code]])</f>
        <v>2</v>
      </c>
      <c r="L178" s="71">
        <f>STOCK[[#This Row],[Entradas]]-STOCK[[#This Row],[Salidas]]</f>
        <v>0</v>
      </c>
      <c r="M178" s="53">
        <f>STOCK[[#This Row],[Precio Final]]*10%</f>
        <v>3</v>
      </c>
      <c r="N178" s="53">
        <v>250.92</v>
      </c>
      <c r="O178" s="53">
        <v>18</v>
      </c>
      <c r="P178" s="53">
        <v>13.94</v>
      </c>
      <c r="Q178" s="71">
        <v>310</v>
      </c>
      <c r="R178" s="53">
        <v>17</v>
      </c>
      <c r="S178" s="53">
        <f>STOCK[[#This Row],[Peso (g)]]*STOCK[[#This Row],[Precio Envío Kilogramo (USD)]]/1000</f>
        <v>5.27</v>
      </c>
      <c r="T178" s="53">
        <f>STOCK[[#This Row],[Costo Unitario (USD)]]+STOCK[[#This Row],[Costo Envío (USD)]]+STOCK[[#This Row],[Comisión 10%]]</f>
        <v>22.21</v>
      </c>
      <c r="U178" s="53">
        <f>STOCK[[#This Row],[Costo total]]*1.5</f>
        <v>33.315</v>
      </c>
      <c r="V178" s="53">
        <v>30</v>
      </c>
      <c r="W178" s="53">
        <f>STOCK[[#This Row],[Precio Final]]-STOCK[[#This Row],[Costo total]]</f>
        <v>7.79</v>
      </c>
      <c r="X178" s="53">
        <f>STOCK[[#This Row],[Ganancia Unitaria]]*STOCK[[#This Row],[Salidas]]</f>
        <v>15.58</v>
      </c>
      <c r="AA178" s="53">
        <f>STOCK[[#This Row],[Costo total]]*STOCK[[#This Row],[Entradas]]</f>
        <v>44.42</v>
      </c>
      <c r="AB178" s="53">
        <f>STOCK[[#This Row],[Stock Actual]]*STOCK[[#This Row],[Costo total]]</f>
        <v>0</v>
      </c>
    </row>
    <row r="179" s="54" customFormat="1" ht="50" customHeight="1" spans="1:28">
      <c r="A179" s="54" t="s">
        <v>403</v>
      </c>
      <c r="B179" s="66"/>
      <c r="C179" s="54" t="s">
        <v>32</v>
      </c>
      <c r="D179" s="54" t="s">
        <v>44</v>
      </c>
      <c r="E179" s="68" t="s">
        <v>404</v>
      </c>
      <c r="F179" s="54" t="s">
        <v>40</v>
      </c>
      <c r="G179" s="54" t="s">
        <v>36</v>
      </c>
      <c r="H179" s="54">
        <f>STOCK[[#This Row],[Precio Final]]</f>
        <v>55</v>
      </c>
      <c r="I179" s="54">
        <f>STOCK[[#This Row],[Precio Venta Ideal (x1.5)]]</f>
        <v>58.6875</v>
      </c>
      <c r="J179" s="72">
        <v>1</v>
      </c>
      <c r="K179" s="72">
        <f>SUMIFS(VENTAS[Cantidad],VENTAS[Código del producto Vendido],STOCK[[#This Row],[Code]])</f>
        <v>0</v>
      </c>
      <c r="L179" s="72">
        <f>STOCK[[#This Row],[Entradas]]-STOCK[[#This Row],[Salidas]]</f>
        <v>1</v>
      </c>
      <c r="M179" s="54">
        <f>STOCK[[#This Row],[Precio Final]]*10%</f>
        <v>5.5</v>
      </c>
      <c r="N179" s="54">
        <v>452.25</v>
      </c>
      <c r="O179" s="54">
        <v>18</v>
      </c>
      <c r="P179" s="54">
        <v>25.125</v>
      </c>
      <c r="Q179" s="72">
        <v>500</v>
      </c>
      <c r="R179" s="54">
        <v>17</v>
      </c>
      <c r="S179" s="54">
        <f>STOCK[[#This Row],[Peso (g)]]*STOCK[[#This Row],[Precio Envío Kilogramo (USD)]]/1000</f>
        <v>8.5</v>
      </c>
      <c r="T179" s="53">
        <f>STOCK[[#This Row],[Costo Unitario (USD)]]+STOCK[[#This Row],[Costo Envío (USD)]]+STOCK[[#This Row],[Comisión 10%]]</f>
        <v>39.125</v>
      </c>
      <c r="U179" s="54">
        <f>STOCK[[#This Row],[Costo total]]*1.5</f>
        <v>58.6875</v>
      </c>
      <c r="V179" s="54">
        <v>55</v>
      </c>
      <c r="W179" s="54">
        <f>STOCK[[#This Row],[Precio Final]]-STOCK[[#This Row],[Costo total]]</f>
        <v>15.875</v>
      </c>
      <c r="X179" s="54">
        <f>STOCK[[#This Row],[Ganancia Unitaria]]*STOCK[[#This Row],[Salidas]]</f>
        <v>0</v>
      </c>
      <c r="AA179" s="54">
        <f>STOCK[[#This Row],[Costo total]]*STOCK[[#This Row],[Entradas]]</f>
        <v>39.125</v>
      </c>
      <c r="AB179" s="54">
        <f>STOCK[[#This Row],[Stock Actual]]*STOCK[[#This Row],[Costo total]]</f>
        <v>39.125</v>
      </c>
    </row>
    <row r="180" s="53" customFormat="1" ht="50" customHeight="1" spans="1:28">
      <c r="A180" s="53" t="s">
        <v>405</v>
      </c>
      <c r="B180" s="66"/>
      <c r="C180" s="53" t="s">
        <v>32</v>
      </c>
      <c r="D180" s="53" t="s">
        <v>213</v>
      </c>
      <c r="E180" s="67" t="s">
        <v>406</v>
      </c>
      <c r="F180" s="53" t="s">
        <v>281</v>
      </c>
      <c r="G180" s="53" t="s">
        <v>36</v>
      </c>
      <c r="H180" s="53">
        <f>STOCK[[#This Row],[Precio Final]]</f>
        <v>20</v>
      </c>
      <c r="I180" s="53">
        <f>STOCK[[#This Row],[Precio Venta Ideal (x1.5)]]</f>
        <v>21.8558333333333</v>
      </c>
      <c r="J180" s="71">
        <v>2</v>
      </c>
      <c r="K180" s="71">
        <f>SUMIFS(VENTAS[Cantidad],VENTAS[Código del producto Vendido],STOCK[[#This Row],[Code]])</f>
        <v>2</v>
      </c>
      <c r="L180" s="71">
        <f>STOCK[[#This Row],[Entradas]]-STOCK[[#This Row],[Salidas]]</f>
        <v>0</v>
      </c>
      <c r="M180" s="53">
        <f>STOCK[[#This Row],[Precio Final]]*10%</f>
        <v>2</v>
      </c>
      <c r="N180" s="53">
        <v>134.47</v>
      </c>
      <c r="O180" s="53">
        <v>18</v>
      </c>
      <c r="P180" s="53">
        <v>7.47055555555556</v>
      </c>
      <c r="Q180" s="71">
        <v>300</v>
      </c>
      <c r="R180" s="53">
        <v>17</v>
      </c>
      <c r="S180" s="53">
        <f>STOCK[[#This Row],[Peso (g)]]*STOCK[[#This Row],[Precio Envío Kilogramo (USD)]]/1000</f>
        <v>5.1</v>
      </c>
      <c r="T180" s="53">
        <f>STOCK[[#This Row],[Costo Unitario (USD)]]+STOCK[[#This Row],[Costo Envío (USD)]]+STOCK[[#This Row],[Comisión 10%]]</f>
        <v>14.5705555555556</v>
      </c>
      <c r="U180" s="53">
        <f>STOCK[[#This Row],[Costo total]]*1.5</f>
        <v>21.8558333333333</v>
      </c>
      <c r="V180" s="53">
        <v>20</v>
      </c>
      <c r="W180" s="53">
        <f>STOCK[[#This Row],[Precio Final]]-STOCK[[#This Row],[Costo total]]</f>
        <v>5.42944444444444</v>
      </c>
      <c r="X180" s="53">
        <f>STOCK[[#This Row],[Ganancia Unitaria]]*STOCK[[#This Row],[Salidas]]</f>
        <v>10.8588888888889</v>
      </c>
      <c r="AA180" s="53">
        <f>STOCK[[#This Row],[Costo total]]*STOCK[[#This Row],[Entradas]]</f>
        <v>29.1411111111111</v>
      </c>
      <c r="AB180" s="53">
        <f>STOCK[[#This Row],[Stock Actual]]*STOCK[[#This Row],[Costo total]]</f>
        <v>0</v>
      </c>
    </row>
    <row r="181" s="54" customFormat="1" ht="50" customHeight="1" spans="1:28">
      <c r="A181" s="54" t="s">
        <v>407</v>
      </c>
      <c r="B181" s="66"/>
      <c r="C181" s="54" t="s">
        <v>32</v>
      </c>
      <c r="D181" s="54" t="s">
        <v>38</v>
      </c>
      <c r="E181" s="68" t="s">
        <v>408</v>
      </c>
      <c r="F181" s="54" t="s">
        <v>62</v>
      </c>
      <c r="G181" s="54" t="s">
        <v>36</v>
      </c>
      <c r="H181" s="54">
        <f>STOCK[[#This Row],[Precio Final]]</f>
        <v>18</v>
      </c>
      <c r="I181" s="54">
        <f>STOCK[[#This Row],[Precio Venta Ideal (x1.5)]]</f>
        <v>17.2</v>
      </c>
      <c r="J181" s="72">
        <v>2</v>
      </c>
      <c r="K181" s="72">
        <f>SUMIFS(VENTAS[Cantidad],VENTAS[Código del producto Vendido],STOCK[[#This Row],[Code]])</f>
        <v>2</v>
      </c>
      <c r="L181" s="72">
        <f>STOCK[[#This Row],[Entradas]]-STOCK[[#This Row],[Salidas]]</f>
        <v>0</v>
      </c>
      <c r="M181" s="54">
        <f>STOCK[[#This Row],[Precio Final]]*10%</f>
        <v>1.8</v>
      </c>
      <c r="N181" s="54">
        <v>138</v>
      </c>
      <c r="O181" s="54">
        <v>18</v>
      </c>
      <c r="P181" s="54">
        <v>7.66666666666667</v>
      </c>
      <c r="Q181" s="72">
        <v>250</v>
      </c>
      <c r="R181" s="54">
        <v>8</v>
      </c>
      <c r="S181" s="54">
        <f>STOCK[[#This Row],[Peso (g)]]*STOCK[[#This Row],[Precio Envío Kilogramo (USD)]]/1000</f>
        <v>2</v>
      </c>
      <c r="T181" s="53">
        <f>STOCK[[#This Row],[Costo Unitario (USD)]]+STOCK[[#This Row],[Costo Envío (USD)]]+STOCK[[#This Row],[Comisión 10%]]</f>
        <v>11.4666666666667</v>
      </c>
      <c r="U181" s="54">
        <f>STOCK[[#This Row],[Costo total]]*1.5</f>
        <v>17.2</v>
      </c>
      <c r="V181" s="54">
        <v>18</v>
      </c>
      <c r="W181" s="54">
        <f>STOCK[[#This Row],[Precio Final]]-STOCK[[#This Row],[Costo total]]</f>
        <v>6.53333333333333</v>
      </c>
      <c r="X181" s="54">
        <f>STOCK[[#This Row],[Ganancia Unitaria]]*STOCK[[#This Row],[Salidas]]</f>
        <v>13.0666666666667</v>
      </c>
      <c r="AA181" s="54">
        <f>STOCK[[#This Row],[Costo total]]*STOCK[[#This Row],[Entradas]]</f>
        <v>22.9333333333333</v>
      </c>
      <c r="AB181" s="54">
        <f>STOCK[[#This Row],[Stock Actual]]*STOCK[[#This Row],[Costo total]]</f>
        <v>0</v>
      </c>
    </row>
    <row r="182" s="53" customFormat="1" ht="50" customHeight="1" spans="1:28">
      <c r="A182" s="53" t="s">
        <v>409</v>
      </c>
      <c r="B182" s="66"/>
      <c r="C182" s="53" t="s">
        <v>32</v>
      </c>
      <c r="D182" s="53" t="s">
        <v>38</v>
      </c>
      <c r="E182" s="67" t="s">
        <v>408</v>
      </c>
      <c r="F182" s="53" t="s">
        <v>46</v>
      </c>
      <c r="G182" s="53" t="s">
        <v>36</v>
      </c>
      <c r="H182" s="53">
        <f>STOCK[[#This Row],[Precio Final]]</f>
        <v>18</v>
      </c>
      <c r="I182" s="53">
        <f>STOCK[[#This Row],[Precio Venta Ideal (x1.5)]]</f>
        <v>17.2</v>
      </c>
      <c r="J182" s="71">
        <v>3</v>
      </c>
      <c r="K182" s="71">
        <f>SUMIFS(VENTAS[Cantidad],VENTAS[Código del producto Vendido],STOCK[[#This Row],[Code]])</f>
        <v>3</v>
      </c>
      <c r="L182" s="71">
        <f>STOCK[[#This Row],[Entradas]]-STOCK[[#This Row],[Salidas]]</f>
        <v>0</v>
      </c>
      <c r="M182" s="53">
        <f>STOCK[[#This Row],[Precio Final]]*10%</f>
        <v>1.8</v>
      </c>
      <c r="N182" s="53">
        <v>138</v>
      </c>
      <c r="O182" s="53">
        <v>18</v>
      </c>
      <c r="P182" s="53">
        <v>7.66666666666667</v>
      </c>
      <c r="Q182" s="71">
        <v>250</v>
      </c>
      <c r="R182" s="53">
        <v>8</v>
      </c>
      <c r="S182" s="53">
        <f>STOCK[[#This Row],[Peso (g)]]*STOCK[[#This Row],[Precio Envío Kilogramo (USD)]]/1000</f>
        <v>2</v>
      </c>
      <c r="T182" s="53">
        <f>STOCK[[#This Row],[Costo Unitario (USD)]]+STOCK[[#This Row],[Costo Envío (USD)]]+STOCK[[#This Row],[Comisión 10%]]</f>
        <v>11.4666666666667</v>
      </c>
      <c r="U182" s="53">
        <f>STOCK[[#This Row],[Costo total]]*1.5</f>
        <v>17.2</v>
      </c>
      <c r="V182" s="53">
        <v>18</v>
      </c>
      <c r="W182" s="53">
        <f>STOCK[[#This Row],[Precio Final]]-STOCK[[#This Row],[Costo total]]</f>
        <v>6.53333333333333</v>
      </c>
      <c r="X182" s="53">
        <f>STOCK[[#This Row],[Ganancia Unitaria]]*STOCK[[#This Row],[Salidas]]</f>
        <v>19.6</v>
      </c>
      <c r="AA182" s="53">
        <f>STOCK[[#This Row],[Costo total]]*STOCK[[#This Row],[Entradas]]</f>
        <v>34.4</v>
      </c>
      <c r="AB182" s="53">
        <f>STOCK[[#This Row],[Stock Actual]]*STOCK[[#This Row],[Costo total]]</f>
        <v>0</v>
      </c>
    </row>
    <row r="183" s="54" customFormat="1" ht="50" customHeight="1" spans="1:28">
      <c r="A183" s="54" t="s">
        <v>410</v>
      </c>
      <c r="B183" s="66"/>
      <c r="C183" s="54" t="s">
        <v>32</v>
      </c>
      <c r="D183" s="54" t="s">
        <v>38</v>
      </c>
      <c r="E183" s="68" t="s">
        <v>408</v>
      </c>
      <c r="F183" s="54" t="s">
        <v>49</v>
      </c>
      <c r="G183" s="54" t="s">
        <v>36</v>
      </c>
      <c r="H183" s="54">
        <f>STOCK[[#This Row],[Precio Final]]</f>
        <v>18</v>
      </c>
      <c r="I183" s="54">
        <f>STOCK[[#This Row],[Precio Venta Ideal (x1.5)]]</f>
        <v>17.2</v>
      </c>
      <c r="J183" s="72">
        <v>2</v>
      </c>
      <c r="K183" s="72">
        <f>SUMIFS(VENTAS[Cantidad],VENTAS[Código del producto Vendido],STOCK[[#This Row],[Code]])</f>
        <v>2</v>
      </c>
      <c r="L183" s="72">
        <f>STOCK[[#This Row],[Entradas]]-STOCK[[#This Row],[Salidas]]</f>
        <v>0</v>
      </c>
      <c r="M183" s="54">
        <f>STOCK[[#This Row],[Precio Final]]*10%</f>
        <v>1.8</v>
      </c>
      <c r="N183" s="54">
        <v>138</v>
      </c>
      <c r="O183" s="54">
        <v>18</v>
      </c>
      <c r="P183" s="54">
        <v>7.66666666666667</v>
      </c>
      <c r="Q183" s="72">
        <v>250</v>
      </c>
      <c r="R183" s="54">
        <v>8</v>
      </c>
      <c r="S183" s="54">
        <f>STOCK[[#This Row],[Peso (g)]]*STOCK[[#This Row],[Precio Envío Kilogramo (USD)]]/1000</f>
        <v>2</v>
      </c>
      <c r="T183" s="53">
        <f>STOCK[[#This Row],[Costo Unitario (USD)]]+STOCK[[#This Row],[Costo Envío (USD)]]+STOCK[[#This Row],[Comisión 10%]]</f>
        <v>11.4666666666667</v>
      </c>
      <c r="U183" s="54">
        <f>STOCK[[#This Row],[Costo total]]*1.5</f>
        <v>17.2</v>
      </c>
      <c r="V183" s="54">
        <v>18</v>
      </c>
      <c r="W183" s="54">
        <f>STOCK[[#This Row],[Precio Final]]-STOCK[[#This Row],[Costo total]]</f>
        <v>6.53333333333333</v>
      </c>
      <c r="X183" s="54">
        <f>STOCK[[#This Row],[Ganancia Unitaria]]*STOCK[[#This Row],[Salidas]]</f>
        <v>13.0666666666667</v>
      </c>
      <c r="AA183" s="54">
        <f>STOCK[[#This Row],[Costo total]]*STOCK[[#This Row],[Entradas]]</f>
        <v>22.9333333333333</v>
      </c>
      <c r="AB183" s="54">
        <f>STOCK[[#This Row],[Stock Actual]]*STOCK[[#This Row],[Costo total]]</f>
        <v>0</v>
      </c>
    </row>
    <row r="184" s="53" customFormat="1" ht="50" customHeight="1" spans="1:28">
      <c r="A184" s="53" t="s">
        <v>411</v>
      </c>
      <c r="B184" s="66"/>
      <c r="C184" s="53" t="s">
        <v>32</v>
      </c>
      <c r="D184" s="54" t="s">
        <v>38</v>
      </c>
      <c r="E184" s="67" t="s">
        <v>39</v>
      </c>
      <c r="F184" s="53" t="s">
        <v>88</v>
      </c>
      <c r="G184" s="53" t="s">
        <v>36</v>
      </c>
      <c r="H184" s="53">
        <f>STOCK[[#This Row],[Precio Final]]</f>
        <v>25</v>
      </c>
      <c r="I184" s="53">
        <f>STOCK[[#This Row],[Precio Venta Ideal (x1.5)]]</f>
        <v>24.6666666666666</v>
      </c>
      <c r="J184" s="71">
        <v>1</v>
      </c>
      <c r="K184" s="71">
        <f>SUMIFS(VENTAS[Cantidad],VENTAS[Código del producto Vendido],STOCK[[#This Row],[Code]])</f>
        <v>1</v>
      </c>
      <c r="L184" s="71">
        <f>STOCK[[#This Row],[Entradas]]-STOCK[[#This Row],[Salidas]]</f>
        <v>0</v>
      </c>
      <c r="M184" s="53">
        <f>STOCK[[#This Row],[Precio Final]]*10%</f>
        <v>2.5</v>
      </c>
      <c r="N184" s="53">
        <v>215</v>
      </c>
      <c r="O184" s="53">
        <v>18</v>
      </c>
      <c r="P184" s="53">
        <v>11.9444444444444</v>
      </c>
      <c r="Q184" s="71">
        <v>250</v>
      </c>
      <c r="R184" s="53">
        <v>8</v>
      </c>
      <c r="S184" s="53">
        <f>STOCK[[#This Row],[Peso (g)]]*STOCK[[#This Row],[Precio Envío Kilogramo (USD)]]/1000</f>
        <v>2</v>
      </c>
      <c r="T184" s="53">
        <f>STOCK[[#This Row],[Costo Unitario (USD)]]+STOCK[[#This Row],[Costo Envío (USD)]]+STOCK[[#This Row],[Comisión 10%]]</f>
        <v>16.4444444444444</v>
      </c>
      <c r="U184" s="53">
        <f>STOCK[[#This Row],[Costo total]]*1.5</f>
        <v>24.6666666666666</v>
      </c>
      <c r="V184" s="53">
        <v>25</v>
      </c>
      <c r="W184" s="53">
        <f>STOCK[[#This Row],[Precio Final]]-STOCK[[#This Row],[Costo total]]</f>
        <v>8.5555555555556</v>
      </c>
      <c r="X184" s="53">
        <f>STOCK[[#This Row],[Ganancia Unitaria]]*STOCK[[#This Row],[Salidas]]</f>
        <v>8.5555555555556</v>
      </c>
      <c r="AA184" s="53">
        <f>STOCK[[#This Row],[Costo total]]*STOCK[[#This Row],[Entradas]]</f>
        <v>16.4444444444444</v>
      </c>
      <c r="AB184" s="53">
        <f>STOCK[[#This Row],[Stock Actual]]*STOCK[[#This Row],[Costo total]]</f>
        <v>0</v>
      </c>
    </row>
    <row r="185" s="54" customFormat="1" ht="50" customHeight="1" spans="1:28">
      <c r="A185" s="54" t="s">
        <v>412</v>
      </c>
      <c r="B185" s="66"/>
      <c r="C185" s="54" t="s">
        <v>32</v>
      </c>
      <c r="D185" s="54" t="s">
        <v>38</v>
      </c>
      <c r="E185" s="68" t="s">
        <v>39</v>
      </c>
      <c r="F185" s="54" t="s">
        <v>49</v>
      </c>
      <c r="G185" s="54" t="s">
        <v>36</v>
      </c>
      <c r="H185" s="54">
        <f>STOCK[[#This Row],[Precio Final]]</f>
        <v>22</v>
      </c>
      <c r="I185" s="54">
        <f>STOCK[[#This Row],[Precio Venta Ideal (x1.5)]]</f>
        <v>24.2166666666666</v>
      </c>
      <c r="J185" s="72">
        <v>2</v>
      </c>
      <c r="K185" s="72">
        <f>SUMIFS(VENTAS[Cantidad],VENTAS[Código del producto Vendido],STOCK[[#This Row],[Code]])</f>
        <v>2</v>
      </c>
      <c r="L185" s="72">
        <f>STOCK[[#This Row],[Entradas]]-STOCK[[#This Row],[Salidas]]</f>
        <v>0</v>
      </c>
      <c r="M185" s="54">
        <f>STOCK[[#This Row],[Precio Final]]*10%</f>
        <v>2.2</v>
      </c>
      <c r="N185" s="54">
        <v>215</v>
      </c>
      <c r="O185" s="54">
        <v>18</v>
      </c>
      <c r="P185" s="54">
        <v>11.9444444444444</v>
      </c>
      <c r="Q185" s="72">
        <v>250</v>
      </c>
      <c r="R185" s="54">
        <v>8</v>
      </c>
      <c r="S185" s="54">
        <f>STOCK[[#This Row],[Peso (g)]]*STOCK[[#This Row],[Precio Envío Kilogramo (USD)]]/1000</f>
        <v>2</v>
      </c>
      <c r="T185" s="53">
        <f>STOCK[[#This Row],[Costo Unitario (USD)]]+STOCK[[#This Row],[Costo Envío (USD)]]+STOCK[[#This Row],[Comisión 10%]]</f>
        <v>16.1444444444444</v>
      </c>
      <c r="U185" s="54">
        <f>STOCK[[#This Row],[Costo total]]*1.5</f>
        <v>24.2166666666666</v>
      </c>
      <c r="V185" s="54">
        <v>22</v>
      </c>
      <c r="W185" s="54">
        <f>STOCK[[#This Row],[Precio Final]]-STOCK[[#This Row],[Costo total]]</f>
        <v>5.8555555555556</v>
      </c>
      <c r="X185" s="54">
        <f>STOCK[[#This Row],[Ganancia Unitaria]]*STOCK[[#This Row],[Salidas]]</f>
        <v>11.7111111111112</v>
      </c>
      <c r="AA185" s="54">
        <f>STOCK[[#This Row],[Costo total]]*STOCK[[#This Row],[Entradas]]</f>
        <v>32.2888888888888</v>
      </c>
      <c r="AB185" s="54">
        <f>STOCK[[#This Row],[Stock Actual]]*STOCK[[#This Row],[Costo total]]</f>
        <v>0</v>
      </c>
    </row>
    <row r="186" s="53" customFormat="1" ht="50" customHeight="1" spans="1:28">
      <c r="A186" s="53" t="s">
        <v>413</v>
      </c>
      <c r="B186" s="66"/>
      <c r="C186" s="53" t="s">
        <v>32</v>
      </c>
      <c r="D186" s="53" t="s">
        <v>38</v>
      </c>
      <c r="E186" s="67" t="s">
        <v>39</v>
      </c>
      <c r="F186" s="53" t="s">
        <v>46</v>
      </c>
      <c r="G186" s="53" t="s">
        <v>36</v>
      </c>
      <c r="H186" s="53">
        <f>STOCK[[#This Row],[Precio Final]]</f>
        <v>25</v>
      </c>
      <c r="I186" s="53">
        <f>STOCK[[#This Row],[Precio Venta Ideal (x1.5)]]</f>
        <v>24.6666666666666</v>
      </c>
      <c r="J186" s="71">
        <v>2</v>
      </c>
      <c r="K186" s="71">
        <f>SUMIFS(VENTAS[Cantidad],VENTAS[Código del producto Vendido],STOCK[[#This Row],[Code]])</f>
        <v>2</v>
      </c>
      <c r="L186" s="71">
        <f>STOCK[[#This Row],[Entradas]]-STOCK[[#This Row],[Salidas]]</f>
        <v>0</v>
      </c>
      <c r="M186" s="53">
        <f>STOCK[[#This Row],[Precio Final]]*10%</f>
        <v>2.5</v>
      </c>
      <c r="N186" s="53">
        <v>215</v>
      </c>
      <c r="O186" s="53">
        <v>18</v>
      </c>
      <c r="P186" s="53">
        <v>11.9444444444444</v>
      </c>
      <c r="Q186" s="71">
        <v>250</v>
      </c>
      <c r="R186" s="53">
        <v>8</v>
      </c>
      <c r="S186" s="53">
        <f>STOCK[[#This Row],[Peso (g)]]*STOCK[[#This Row],[Precio Envío Kilogramo (USD)]]/1000</f>
        <v>2</v>
      </c>
      <c r="T186" s="53">
        <f>STOCK[[#This Row],[Costo Unitario (USD)]]+STOCK[[#This Row],[Costo Envío (USD)]]+STOCK[[#This Row],[Comisión 10%]]</f>
        <v>16.4444444444444</v>
      </c>
      <c r="U186" s="53">
        <f>STOCK[[#This Row],[Costo total]]*1.5</f>
        <v>24.6666666666666</v>
      </c>
      <c r="V186" s="53">
        <v>25</v>
      </c>
      <c r="W186" s="53">
        <f>STOCK[[#This Row],[Precio Final]]-STOCK[[#This Row],[Costo total]]</f>
        <v>8.5555555555556</v>
      </c>
      <c r="X186" s="53">
        <f>STOCK[[#This Row],[Ganancia Unitaria]]*STOCK[[#This Row],[Salidas]]</f>
        <v>17.1111111111112</v>
      </c>
      <c r="AA186" s="53">
        <f>STOCK[[#This Row],[Costo total]]*STOCK[[#This Row],[Entradas]]</f>
        <v>32.8888888888888</v>
      </c>
      <c r="AB186" s="53">
        <f>STOCK[[#This Row],[Stock Actual]]*STOCK[[#This Row],[Costo total]]</f>
        <v>0</v>
      </c>
    </row>
    <row r="187" s="54" customFormat="1" ht="50" customHeight="1" spans="1:28">
      <c r="A187" s="54" t="s">
        <v>414</v>
      </c>
      <c r="B187" s="66"/>
      <c r="C187" s="54" t="s">
        <v>32</v>
      </c>
      <c r="D187" s="54" t="s">
        <v>38</v>
      </c>
      <c r="E187" s="68" t="s">
        <v>415</v>
      </c>
      <c r="F187" s="54" t="s">
        <v>46</v>
      </c>
      <c r="G187" s="54" t="s">
        <v>36</v>
      </c>
      <c r="H187" s="54">
        <f>STOCK[[#This Row],[Precio Final]]</f>
        <v>22</v>
      </c>
      <c r="I187" s="54">
        <f>STOCK[[#This Row],[Precio Venta Ideal (x1.5)]]</f>
        <v>23.3833333333333</v>
      </c>
      <c r="J187" s="72">
        <v>2</v>
      </c>
      <c r="K187" s="72">
        <f>SUMIFS(VENTAS[Cantidad],VENTAS[Código del producto Vendido],STOCK[[#This Row],[Code]])</f>
        <v>2</v>
      </c>
      <c r="L187" s="72">
        <f>STOCK[[#This Row],[Entradas]]-STOCK[[#This Row],[Salidas]]</f>
        <v>0</v>
      </c>
      <c r="M187" s="54">
        <f>STOCK[[#This Row],[Precio Final]]*10%</f>
        <v>2.2</v>
      </c>
      <c r="N187" s="54">
        <v>205</v>
      </c>
      <c r="O187" s="54">
        <v>18</v>
      </c>
      <c r="P187" s="54">
        <v>11.3888888888889</v>
      </c>
      <c r="Q187" s="72">
        <v>250</v>
      </c>
      <c r="R187" s="54">
        <v>8</v>
      </c>
      <c r="S187" s="54">
        <f>STOCK[[#This Row],[Peso (g)]]*STOCK[[#This Row],[Precio Envío Kilogramo (USD)]]/1000</f>
        <v>2</v>
      </c>
      <c r="T187" s="53">
        <f>STOCK[[#This Row],[Costo Unitario (USD)]]+STOCK[[#This Row],[Costo Envío (USD)]]+STOCK[[#This Row],[Comisión 10%]]</f>
        <v>15.5888888888889</v>
      </c>
      <c r="U187" s="54">
        <f>STOCK[[#This Row],[Costo total]]*1.5</f>
        <v>23.3833333333333</v>
      </c>
      <c r="V187" s="54">
        <v>22</v>
      </c>
      <c r="W187" s="54">
        <f>STOCK[[#This Row],[Precio Final]]-STOCK[[#This Row],[Costo total]]</f>
        <v>6.4111111111111</v>
      </c>
      <c r="X187" s="54">
        <f>STOCK[[#This Row],[Ganancia Unitaria]]*STOCK[[#This Row],[Salidas]]</f>
        <v>12.8222222222222</v>
      </c>
      <c r="AA187" s="54">
        <f>STOCK[[#This Row],[Costo total]]*STOCK[[#This Row],[Entradas]]</f>
        <v>31.1777777777778</v>
      </c>
      <c r="AB187" s="54">
        <f>STOCK[[#This Row],[Stock Actual]]*STOCK[[#This Row],[Costo total]]</f>
        <v>0</v>
      </c>
    </row>
    <row r="188" s="53" customFormat="1" ht="50" customHeight="1" spans="1:28">
      <c r="A188" s="53" t="s">
        <v>416</v>
      </c>
      <c r="B188" s="66"/>
      <c r="C188" s="53" t="s">
        <v>32</v>
      </c>
      <c r="D188" s="53" t="s">
        <v>38</v>
      </c>
      <c r="E188" s="67" t="s">
        <v>417</v>
      </c>
      <c r="F188" s="53" t="s">
        <v>46</v>
      </c>
      <c r="G188" s="53" t="s">
        <v>36</v>
      </c>
      <c r="H188" s="53">
        <f>STOCK[[#This Row],[Precio Final]]</f>
        <v>22</v>
      </c>
      <c r="I188" s="53">
        <f>STOCK[[#This Row],[Precio Venta Ideal (x1.5)]]</f>
        <v>23.3833333333333</v>
      </c>
      <c r="J188" s="71">
        <v>2</v>
      </c>
      <c r="K188" s="71">
        <f>SUMIFS(VENTAS[Cantidad],VENTAS[Código del producto Vendido],STOCK[[#This Row],[Code]])</f>
        <v>2</v>
      </c>
      <c r="L188" s="71">
        <f>STOCK[[#This Row],[Entradas]]-STOCK[[#This Row],[Salidas]]</f>
        <v>0</v>
      </c>
      <c r="M188" s="53">
        <f>STOCK[[#This Row],[Precio Final]]*10%</f>
        <v>2.2</v>
      </c>
      <c r="N188" s="53">
        <v>205</v>
      </c>
      <c r="O188" s="53">
        <v>18</v>
      </c>
      <c r="P188" s="53">
        <v>11.3888888888889</v>
      </c>
      <c r="Q188" s="71">
        <v>250</v>
      </c>
      <c r="R188" s="53">
        <v>8</v>
      </c>
      <c r="S188" s="53">
        <f>STOCK[[#This Row],[Peso (g)]]*STOCK[[#This Row],[Precio Envío Kilogramo (USD)]]/1000</f>
        <v>2</v>
      </c>
      <c r="T188" s="53">
        <f>STOCK[[#This Row],[Costo Unitario (USD)]]+STOCK[[#This Row],[Costo Envío (USD)]]+STOCK[[#This Row],[Comisión 10%]]</f>
        <v>15.5888888888889</v>
      </c>
      <c r="U188" s="53">
        <f>STOCK[[#This Row],[Costo total]]*1.5</f>
        <v>23.3833333333333</v>
      </c>
      <c r="V188" s="53">
        <v>22</v>
      </c>
      <c r="W188" s="53">
        <f>STOCK[[#This Row],[Precio Final]]-STOCK[[#This Row],[Costo total]]</f>
        <v>6.4111111111111</v>
      </c>
      <c r="X188" s="53">
        <f>STOCK[[#This Row],[Ganancia Unitaria]]*STOCK[[#This Row],[Salidas]]</f>
        <v>12.8222222222222</v>
      </c>
      <c r="AA188" s="53">
        <f>STOCK[[#This Row],[Costo total]]*STOCK[[#This Row],[Entradas]]</f>
        <v>31.1777777777778</v>
      </c>
      <c r="AB188" s="53">
        <f>STOCK[[#This Row],[Stock Actual]]*STOCK[[#This Row],[Costo total]]</f>
        <v>0</v>
      </c>
    </row>
    <row r="189" s="54" customFormat="1" ht="50" customHeight="1" spans="1:28">
      <c r="A189" s="54" t="s">
        <v>418</v>
      </c>
      <c r="B189" s="66"/>
      <c r="C189" s="54" t="s">
        <v>32</v>
      </c>
      <c r="D189" s="54" t="s">
        <v>38</v>
      </c>
      <c r="E189" s="68" t="s">
        <v>419</v>
      </c>
      <c r="F189" s="54" t="s">
        <v>62</v>
      </c>
      <c r="G189" s="54" t="s">
        <v>36</v>
      </c>
      <c r="H189" s="54">
        <f>STOCK[[#This Row],[Precio Final]]</f>
        <v>22</v>
      </c>
      <c r="I189" s="54">
        <f>STOCK[[#This Row],[Precio Venta Ideal (x1.5)]]</f>
        <v>23.3833333333333</v>
      </c>
      <c r="J189" s="72">
        <v>2</v>
      </c>
      <c r="K189" s="72">
        <f>SUMIFS(VENTAS[Cantidad],VENTAS[Código del producto Vendido],STOCK[[#This Row],[Code]])</f>
        <v>2</v>
      </c>
      <c r="L189" s="72">
        <f>STOCK[[#This Row],[Entradas]]-STOCK[[#This Row],[Salidas]]</f>
        <v>0</v>
      </c>
      <c r="M189" s="54">
        <f>STOCK[[#This Row],[Precio Final]]*10%</f>
        <v>2.2</v>
      </c>
      <c r="N189" s="54">
        <v>205</v>
      </c>
      <c r="O189" s="54">
        <v>18</v>
      </c>
      <c r="P189" s="54">
        <v>11.3888888888889</v>
      </c>
      <c r="Q189" s="72">
        <v>250</v>
      </c>
      <c r="R189" s="54">
        <v>8</v>
      </c>
      <c r="S189" s="54">
        <f>STOCK[[#This Row],[Peso (g)]]*STOCK[[#This Row],[Precio Envío Kilogramo (USD)]]/1000</f>
        <v>2</v>
      </c>
      <c r="T189" s="53">
        <f>STOCK[[#This Row],[Costo Unitario (USD)]]+STOCK[[#This Row],[Costo Envío (USD)]]+STOCK[[#This Row],[Comisión 10%]]</f>
        <v>15.5888888888889</v>
      </c>
      <c r="U189" s="54">
        <f>STOCK[[#This Row],[Costo total]]*1.5</f>
        <v>23.3833333333333</v>
      </c>
      <c r="V189" s="54">
        <v>22</v>
      </c>
      <c r="W189" s="54">
        <f>STOCK[[#This Row],[Precio Final]]-STOCK[[#This Row],[Costo total]]</f>
        <v>6.4111111111111</v>
      </c>
      <c r="X189" s="54">
        <f>STOCK[[#This Row],[Ganancia Unitaria]]*STOCK[[#This Row],[Salidas]]</f>
        <v>12.8222222222222</v>
      </c>
      <c r="AA189" s="54">
        <f>STOCK[[#This Row],[Costo total]]*STOCK[[#This Row],[Entradas]]</f>
        <v>31.1777777777778</v>
      </c>
      <c r="AB189" s="54">
        <f>STOCK[[#This Row],[Stock Actual]]*STOCK[[#This Row],[Costo total]]</f>
        <v>0</v>
      </c>
    </row>
    <row r="190" s="53" customFormat="1" ht="50" customHeight="1" spans="1:28">
      <c r="A190" s="53" t="s">
        <v>420</v>
      </c>
      <c r="B190" s="66"/>
      <c r="C190" s="53" t="s">
        <v>32</v>
      </c>
      <c r="D190" s="53" t="s">
        <v>38</v>
      </c>
      <c r="E190" s="67" t="s">
        <v>421</v>
      </c>
      <c r="F190" s="53" t="s">
        <v>46</v>
      </c>
      <c r="G190" s="53" t="s">
        <v>36</v>
      </c>
      <c r="H190" s="53">
        <f>STOCK[[#This Row],[Precio Final]]</f>
        <v>25</v>
      </c>
      <c r="I190" s="53">
        <f>STOCK[[#This Row],[Precio Venta Ideal (x1.5)]]</f>
        <v>24.5</v>
      </c>
      <c r="J190" s="71">
        <v>2</v>
      </c>
      <c r="K190" s="71">
        <f>SUMIFS(VENTAS[Cantidad],VENTAS[Código del producto Vendido],STOCK[[#This Row],[Code]])</f>
        <v>2</v>
      </c>
      <c r="L190" s="71">
        <f>STOCK[[#This Row],[Entradas]]-STOCK[[#This Row],[Salidas]]</f>
        <v>0</v>
      </c>
      <c r="M190" s="53">
        <f>STOCK[[#This Row],[Precio Final]]*10%</f>
        <v>2.5</v>
      </c>
      <c r="N190" s="53">
        <v>213</v>
      </c>
      <c r="O190" s="53">
        <v>18</v>
      </c>
      <c r="P190" s="53">
        <v>11.8333333333333</v>
      </c>
      <c r="Q190" s="71">
        <v>250</v>
      </c>
      <c r="R190" s="53">
        <v>8</v>
      </c>
      <c r="S190" s="53">
        <f>STOCK[[#This Row],[Peso (g)]]*STOCK[[#This Row],[Precio Envío Kilogramo (USD)]]/1000</f>
        <v>2</v>
      </c>
      <c r="T190" s="53">
        <f>STOCK[[#This Row],[Costo Unitario (USD)]]+STOCK[[#This Row],[Costo Envío (USD)]]+STOCK[[#This Row],[Comisión 10%]]</f>
        <v>16.3333333333333</v>
      </c>
      <c r="U190" s="53">
        <f>STOCK[[#This Row],[Costo total]]*1.5</f>
        <v>24.5</v>
      </c>
      <c r="V190" s="53">
        <v>25</v>
      </c>
      <c r="W190" s="53">
        <f>STOCK[[#This Row],[Precio Final]]-STOCK[[#This Row],[Costo total]]</f>
        <v>8.6666666666667</v>
      </c>
      <c r="X190" s="53">
        <f>STOCK[[#This Row],[Ganancia Unitaria]]*STOCK[[#This Row],[Salidas]]</f>
        <v>17.3333333333334</v>
      </c>
      <c r="AA190" s="53">
        <f>STOCK[[#This Row],[Costo total]]*STOCK[[#This Row],[Entradas]]</f>
        <v>32.6666666666666</v>
      </c>
      <c r="AB190" s="53">
        <f>STOCK[[#This Row],[Stock Actual]]*STOCK[[#This Row],[Costo total]]</f>
        <v>0</v>
      </c>
    </row>
    <row r="191" s="54" customFormat="1" ht="50" customHeight="1" spans="1:28">
      <c r="A191" s="54" t="s">
        <v>422</v>
      </c>
      <c r="B191" s="66"/>
      <c r="C191" s="54" t="s">
        <v>32</v>
      </c>
      <c r="D191" s="54" t="s">
        <v>38</v>
      </c>
      <c r="E191" s="68" t="s">
        <v>423</v>
      </c>
      <c r="F191" s="54" t="s">
        <v>46</v>
      </c>
      <c r="G191" s="54" t="s">
        <v>36</v>
      </c>
      <c r="H191" s="54">
        <f>STOCK[[#This Row],[Precio Final]]</f>
        <v>25</v>
      </c>
      <c r="I191" s="54">
        <f>STOCK[[#This Row],[Precio Venta Ideal (x1.5)]]</f>
        <v>24.5</v>
      </c>
      <c r="J191" s="72">
        <v>3</v>
      </c>
      <c r="K191" s="72">
        <f>SUMIFS(VENTAS[Cantidad],VENTAS[Código del producto Vendido],STOCK[[#This Row],[Code]])</f>
        <v>3</v>
      </c>
      <c r="L191" s="72">
        <f>STOCK[[#This Row],[Entradas]]-STOCK[[#This Row],[Salidas]]</f>
        <v>0</v>
      </c>
      <c r="M191" s="54">
        <f>STOCK[[#This Row],[Precio Final]]*10%</f>
        <v>2.5</v>
      </c>
      <c r="N191" s="54">
        <v>213</v>
      </c>
      <c r="O191" s="54">
        <v>18</v>
      </c>
      <c r="P191" s="54">
        <v>11.8333333333333</v>
      </c>
      <c r="Q191" s="72">
        <v>250</v>
      </c>
      <c r="R191" s="54">
        <v>8</v>
      </c>
      <c r="S191" s="54">
        <f>STOCK[[#This Row],[Peso (g)]]*STOCK[[#This Row],[Precio Envío Kilogramo (USD)]]/1000</f>
        <v>2</v>
      </c>
      <c r="T191" s="53">
        <f>STOCK[[#This Row],[Costo Unitario (USD)]]+STOCK[[#This Row],[Costo Envío (USD)]]+STOCK[[#This Row],[Comisión 10%]]</f>
        <v>16.3333333333333</v>
      </c>
      <c r="U191" s="54">
        <f>STOCK[[#This Row],[Costo total]]*1.5</f>
        <v>24.5</v>
      </c>
      <c r="V191" s="54">
        <v>25</v>
      </c>
      <c r="W191" s="54">
        <f>STOCK[[#This Row],[Precio Final]]-STOCK[[#This Row],[Costo total]]</f>
        <v>8.6666666666667</v>
      </c>
      <c r="X191" s="54">
        <f>STOCK[[#This Row],[Ganancia Unitaria]]*STOCK[[#This Row],[Salidas]]</f>
        <v>26.0000000000001</v>
      </c>
      <c r="AA191" s="54">
        <f>STOCK[[#This Row],[Costo total]]*STOCK[[#This Row],[Entradas]]</f>
        <v>48.9999999999999</v>
      </c>
      <c r="AB191" s="54">
        <f>STOCK[[#This Row],[Stock Actual]]*STOCK[[#This Row],[Costo total]]</f>
        <v>0</v>
      </c>
    </row>
    <row r="192" s="53" customFormat="1" ht="50" customHeight="1" spans="1:28">
      <c r="A192" s="53" t="s">
        <v>424</v>
      </c>
      <c r="B192" s="66"/>
      <c r="C192" s="53" t="s">
        <v>32</v>
      </c>
      <c r="D192" s="53" t="s">
        <v>38</v>
      </c>
      <c r="E192" s="67" t="s">
        <v>425</v>
      </c>
      <c r="F192" s="53" t="s">
        <v>46</v>
      </c>
      <c r="G192" s="53" t="s">
        <v>36</v>
      </c>
      <c r="H192" s="53">
        <f>STOCK[[#This Row],[Precio Final]]</f>
        <v>25</v>
      </c>
      <c r="I192" s="53">
        <f>STOCK[[#This Row],[Precio Venta Ideal (x1.5)]]</f>
        <v>24.5</v>
      </c>
      <c r="J192" s="71">
        <v>3</v>
      </c>
      <c r="K192" s="71">
        <f>SUMIFS(VENTAS[Cantidad],VENTAS[Código del producto Vendido],STOCK[[#This Row],[Code]])</f>
        <v>3</v>
      </c>
      <c r="L192" s="71">
        <f>STOCK[[#This Row],[Entradas]]-STOCK[[#This Row],[Salidas]]</f>
        <v>0</v>
      </c>
      <c r="M192" s="53">
        <f>STOCK[[#This Row],[Precio Final]]*10%</f>
        <v>2.5</v>
      </c>
      <c r="N192" s="53">
        <v>213</v>
      </c>
      <c r="O192" s="53">
        <v>18</v>
      </c>
      <c r="P192" s="53">
        <v>11.8333333333333</v>
      </c>
      <c r="Q192" s="71">
        <v>250</v>
      </c>
      <c r="R192" s="53">
        <v>8</v>
      </c>
      <c r="S192" s="53">
        <f>STOCK[[#This Row],[Peso (g)]]*STOCK[[#This Row],[Precio Envío Kilogramo (USD)]]/1000</f>
        <v>2</v>
      </c>
      <c r="T192" s="53">
        <f>STOCK[[#This Row],[Costo Unitario (USD)]]+STOCK[[#This Row],[Costo Envío (USD)]]+STOCK[[#This Row],[Comisión 10%]]</f>
        <v>16.3333333333333</v>
      </c>
      <c r="U192" s="53">
        <f>STOCK[[#This Row],[Costo total]]*1.5</f>
        <v>24.5</v>
      </c>
      <c r="V192" s="53">
        <v>25</v>
      </c>
      <c r="W192" s="53">
        <f>STOCK[[#This Row],[Precio Final]]-STOCK[[#This Row],[Costo total]]</f>
        <v>8.6666666666667</v>
      </c>
      <c r="X192" s="53">
        <f>STOCK[[#This Row],[Ganancia Unitaria]]*STOCK[[#This Row],[Salidas]]</f>
        <v>26.0000000000001</v>
      </c>
      <c r="AA192" s="53">
        <f>STOCK[[#This Row],[Costo total]]*STOCK[[#This Row],[Entradas]]</f>
        <v>48.9999999999999</v>
      </c>
      <c r="AB192" s="53">
        <f>STOCK[[#This Row],[Stock Actual]]*STOCK[[#This Row],[Costo total]]</f>
        <v>0</v>
      </c>
    </row>
    <row r="193" s="54" customFormat="1" ht="50" customHeight="1" spans="1:28">
      <c r="A193" s="54" t="s">
        <v>426</v>
      </c>
      <c r="B193" s="66"/>
      <c r="C193" s="54" t="s">
        <v>32</v>
      </c>
      <c r="D193" s="54" t="s">
        <v>302</v>
      </c>
      <c r="E193" s="68" t="s">
        <v>427</v>
      </c>
      <c r="F193" s="54" t="s">
        <v>88</v>
      </c>
      <c r="G193" s="54" t="s">
        <v>36</v>
      </c>
      <c r="H193" s="54">
        <f>STOCK[[#This Row],[Precio Final]]</f>
        <v>23</v>
      </c>
      <c r="I193" s="54">
        <f>STOCK[[#This Row],[Precio Venta Ideal (x1.5)]]</f>
        <v>25.5033333333333</v>
      </c>
      <c r="J193" s="72">
        <v>1</v>
      </c>
      <c r="K193" s="72">
        <f>SUMIFS(VENTAS[Cantidad],VENTAS[Código del producto Vendido],STOCK[[#This Row],[Code]])</f>
        <v>1</v>
      </c>
      <c r="L193" s="72">
        <f>STOCK[[#This Row],[Entradas]]-STOCK[[#This Row],[Salidas]]</f>
        <v>0</v>
      </c>
      <c r="M193" s="54">
        <f>STOCK[[#This Row],[Precio Final]]*10%</f>
        <v>2.3</v>
      </c>
      <c r="N193" s="54">
        <v>238</v>
      </c>
      <c r="O193" s="54">
        <v>18</v>
      </c>
      <c r="P193" s="54">
        <v>13.2222222222222</v>
      </c>
      <c r="Q193" s="72">
        <v>185</v>
      </c>
      <c r="R193" s="54">
        <v>8</v>
      </c>
      <c r="S193" s="54">
        <f>STOCK[[#This Row],[Peso (g)]]*STOCK[[#This Row],[Precio Envío Kilogramo (USD)]]/1000</f>
        <v>1.48</v>
      </c>
      <c r="T193" s="53">
        <f>STOCK[[#This Row],[Costo Unitario (USD)]]+STOCK[[#This Row],[Costo Envío (USD)]]+STOCK[[#This Row],[Comisión 10%]]</f>
        <v>17.0022222222222</v>
      </c>
      <c r="U193" s="54">
        <f>STOCK[[#This Row],[Costo total]]*1.5</f>
        <v>25.5033333333333</v>
      </c>
      <c r="V193" s="54">
        <v>23</v>
      </c>
      <c r="W193" s="54">
        <f>STOCK[[#This Row],[Precio Final]]-STOCK[[#This Row],[Costo total]]</f>
        <v>5.9977777777778</v>
      </c>
      <c r="X193" s="54">
        <f>STOCK[[#This Row],[Ganancia Unitaria]]*STOCK[[#This Row],[Salidas]]</f>
        <v>5.9977777777778</v>
      </c>
      <c r="AA193" s="54">
        <f>STOCK[[#This Row],[Costo total]]*STOCK[[#This Row],[Entradas]]</f>
        <v>17.0022222222222</v>
      </c>
      <c r="AB193" s="54">
        <f>STOCK[[#This Row],[Stock Actual]]*STOCK[[#This Row],[Costo total]]</f>
        <v>0</v>
      </c>
    </row>
    <row r="194" s="53" customFormat="1" ht="50" customHeight="1" spans="1:28">
      <c r="A194" s="53" t="s">
        <v>428</v>
      </c>
      <c r="B194" s="66"/>
      <c r="C194" s="53" t="s">
        <v>32</v>
      </c>
      <c r="D194" s="53" t="s">
        <v>302</v>
      </c>
      <c r="E194" s="67" t="s">
        <v>429</v>
      </c>
      <c r="F194" s="53" t="s">
        <v>49</v>
      </c>
      <c r="G194" s="53" t="s">
        <v>36</v>
      </c>
      <c r="H194" s="53">
        <f>STOCK[[#This Row],[Precio Final]]</f>
        <v>23</v>
      </c>
      <c r="I194" s="53">
        <f>STOCK[[#This Row],[Precio Venta Ideal (x1.5)]]</f>
        <v>25.5033333333333</v>
      </c>
      <c r="J194" s="71">
        <v>2</v>
      </c>
      <c r="K194" s="71">
        <f>SUMIFS(VENTAS[Cantidad],VENTAS[Código del producto Vendido],STOCK[[#This Row],[Code]])</f>
        <v>2</v>
      </c>
      <c r="L194" s="71">
        <f>STOCK[[#This Row],[Entradas]]-STOCK[[#This Row],[Salidas]]</f>
        <v>0</v>
      </c>
      <c r="M194" s="53">
        <f>STOCK[[#This Row],[Precio Final]]*10%</f>
        <v>2.3</v>
      </c>
      <c r="N194" s="53">
        <v>238</v>
      </c>
      <c r="O194" s="53">
        <v>18</v>
      </c>
      <c r="P194" s="53">
        <v>13.2222222222222</v>
      </c>
      <c r="Q194" s="71">
        <v>185</v>
      </c>
      <c r="R194" s="53">
        <v>8</v>
      </c>
      <c r="S194" s="53">
        <f>STOCK[[#This Row],[Peso (g)]]*STOCK[[#This Row],[Precio Envío Kilogramo (USD)]]/1000</f>
        <v>1.48</v>
      </c>
      <c r="T194" s="53">
        <f>STOCK[[#This Row],[Costo Unitario (USD)]]+STOCK[[#This Row],[Costo Envío (USD)]]+STOCK[[#This Row],[Comisión 10%]]</f>
        <v>17.0022222222222</v>
      </c>
      <c r="U194" s="53">
        <f>STOCK[[#This Row],[Costo total]]*1.5</f>
        <v>25.5033333333333</v>
      </c>
      <c r="V194" s="53">
        <v>23</v>
      </c>
      <c r="W194" s="53">
        <f>STOCK[[#This Row],[Precio Final]]-STOCK[[#This Row],[Costo total]]</f>
        <v>5.9977777777778</v>
      </c>
      <c r="X194" s="53">
        <f>STOCK[[#This Row],[Ganancia Unitaria]]*STOCK[[#This Row],[Salidas]]</f>
        <v>11.9955555555556</v>
      </c>
      <c r="AA194" s="53">
        <f>STOCK[[#This Row],[Costo total]]*STOCK[[#This Row],[Entradas]]</f>
        <v>34.0044444444444</v>
      </c>
      <c r="AB194" s="53">
        <f>STOCK[[#This Row],[Stock Actual]]*STOCK[[#This Row],[Costo total]]</f>
        <v>0</v>
      </c>
    </row>
    <row r="195" s="54" customFormat="1" ht="50" customHeight="1" spans="1:28">
      <c r="A195" s="54" t="s">
        <v>430</v>
      </c>
      <c r="B195" s="66"/>
      <c r="C195" s="54" t="s">
        <v>32</v>
      </c>
      <c r="D195" s="54" t="s">
        <v>44</v>
      </c>
      <c r="E195" s="68" t="s">
        <v>431</v>
      </c>
      <c r="F195" s="54" t="s">
        <v>49</v>
      </c>
      <c r="G195" s="54" t="s">
        <v>36</v>
      </c>
      <c r="H195" s="54">
        <f>STOCK[[#This Row],[Precio Final]]</f>
        <v>28</v>
      </c>
      <c r="I195" s="54">
        <f>STOCK[[#This Row],[Precio Venta Ideal (x1.5)]]</f>
        <v>28.0616666666667</v>
      </c>
      <c r="J195" s="72">
        <v>1</v>
      </c>
      <c r="K195" s="72">
        <f>SUMIFS(VENTAS[Cantidad],VENTAS[Código del producto Vendido],STOCK[[#This Row],[Code]])</f>
        <v>1</v>
      </c>
      <c r="L195" s="72">
        <f>STOCK[[#This Row],[Entradas]]-STOCK[[#This Row],[Salidas]]</f>
        <v>0</v>
      </c>
      <c r="M195" s="54">
        <f>STOCK[[#This Row],[Precio Final]]*10%</f>
        <v>2.8</v>
      </c>
      <c r="N195" s="54">
        <v>259.7</v>
      </c>
      <c r="O195" s="54">
        <v>18</v>
      </c>
      <c r="P195" s="54">
        <v>14.4277777777778</v>
      </c>
      <c r="Q195" s="72">
        <v>185</v>
      </c>
      <c r="R195" s="54">
        <v>8</v>
      </c>
      <c r="S195" s="54">
        <f>STOCK[[#This Row],[Peso (g)]]*STOCK[[#This Row],[Precio Envío Kilogramo (USD)]]/1000</f>
        <v>1.48</v>
      </c>
      <c r="T195" s="53">
        <f>STOCK[[#This Row],[Costo Unitario (USD)]]+STOCK[[#This Row],[Costo Envío (USD)]]+STOCK[[#This Row],[Comisión 10%]]</f>
        <v>18.7077777777778</v>
      </c>
      <c r="U195" s="54">
        <f>STOCK[[#This Row],[Costo total]]*1.5</f>
        <v>28.0616666666667</v>
      </c>
      <c r="V195" s="54">
        <v>28</v>
      </c>
      <c r="W195" s="54">
        <f>STOCK[[#This Row],[Precio Final]]-STOCK[[#This Row],[Costo total]]</f>
        <v>9.2922222222222</v>
      </c>
      <c r="X195" s="54">
        <f>STOCK[[#This Row],[Ganancia Unitaria]]*STOCK[[#This Row],[Salidas]]</f>
        <v>9.2922222222222</v>
      </c>
      <c r="AA195" s="54">
        <f>STOCK[[#This Row],[Costo total]]*STOCK[[#This Row],[Entradas]]</f>
        <v>18.7077777777778</v>
      </c>
      <c r="AB195" s="54">
        <f>STOCK[[#This Row],[Stock Actual]]*STOCK[[#This Row],[Costo total]]</f>
        <v>0</v>
      </c>
    </row>
    <row r="196" s="53" customFormat="1" ht="50" customHeight="1" spans="1:28">
      <c r="A196" s="53" t="s">
        <v>432</v>
      </c>
      <c r="B196" s="66"/>
      <c r="C196" s="53" t="s">
        <v>32</v>
      </c>
      <c r="D196" s="53" t="s">
        <v>44</v>
      </c>
      <c r="E196" s="67" t="s">
        <v>431</v>
      </c>
      <c r="F196" s="53" t="s">
        <v>62</v>
      </c>
      <c r="G196" s="53" t="s">
        <v>36</v>
      </c>
      <c r="H196" s="53">
        <f>STOCK[[#This Row],[Precio Final]]</f>
        <v>28</v>
      </c>
      <c r="I196" s="53">
        <f>STOCK[[#This Row],[Precio Venta Ideal (x1.5)]]</f>
        <v>28.0616666666667</v>
      </c>
      <c r="J196" s="71">
        <v>1</v>
      </c>
      <c r="K196" s="71">
        <f>SUMIFS(VENTAS[Cantidad],VENTAS[Código del producto Vendido],STOCK[[#This Row],[Code]])</f>
        <v>1</v>
      </c>
      <c r="L196" s="71">
        <f>STOCK[[#This Row],[Entradas]]-STOCK[[#This Row],[Salidas]]</f>
        <v>0</v>
      </c>
      <c r="M196" s="53">
        <f>STOCK[[#This Row],[Precio Final]]*10%</f>
        <v>2.8</v>
      </c>
      <c r="N196" s="53">
        <v>259.7</v>
      </c>
      <c r="O196" s="53">
        <v>18</v>
      </c>
      <c r="P196" s="53">
        <v>14.4277777777778</v>
      </c>
      <c r="Q196" s="71">
        <v>185</v>
      </c>
      <c r="R196" s="53">
        <v>8</v>
      </c>
      <c r="S196" s="53">
        <f>STOCK[[#This Row],[Peso (g)]]*STOCK[[#This Row],[Precio Envío Kilogramo (USD)]]/1000</f>
        <v>1.48</v>
      </c>
      <c r="T196" s="53">
        <f>STOCK[[#This Row],[Costo Unitario (USD)]]+STOCK[[#This Row],[Costo Envío (USD)]]+STOCK[[#This Row],[Comisión 10%]]</f>
        <v>18.7077777777778</v>
      </c>
      <c r="U196" s="53">
        <f>STOCK[[#This Row],[Costo total]]*1.5</f>
        <v>28.0616666666667</v>
      </c>
      <c r="V196" s="53">
        <v>28</v>
      </c>
      <c r="W196" s="53">
        <f>STOCK[[#This Row],[Precio Final]]-STOCK[[#This Row],[Costo total]]</f>
        <v>9.2922222222222</v>
      </c>
      <c r="X196" s="53">
        <f>STOCK[[#This Row],[Ganancia Unitaria]]*STOCK[[#This Row],[Salidas]]</f>
        <v>9.2922222222222</v>
      </c>
      <c r="AA196" s="53">
        <f>STOCK[[#This Row],[Costo total]]*STOCK[[#This Row],[Entradas]]</f>
        <v>18.7077777777778</v>
      </c>
      <c r="AB196" s="53">
        <f>STOCK[[#This Row],[Stock Actual]]*STOCK[[#This Row],[Costo total]]</f>
        <v>0</v>
      </c>
    </row>
    <row r="197" s="54" customFormat="1" ht="50" customHeight="1" spans="1:28">
      <c r="A197" s="54" t="s">
        <v>433</v>
      </c>
      <c r="B197" s="66"/>
      <c r="C197" s="54" t="s">
        <v>32</v>
      </c>
      <c r="D197" s="54" t="s">
        <v>44</v>
      </c>
      <c r="E197" s="68" t="s">
        <v>434</v>
      </c>
      <c r="F197" s="54" t="s">
        <v>40</v>
      </c>
      <c r="G197" s="54" t="s">
        <v>36</v>
      </c>
      <c r="H197" s="54">
        <f>STOCK[[#This Row],[Precio Final]]</f>
        <v>28</v>
      </c>
      <c r="I197" s="54">
        <f>STOCK[[#This Row],[Precio Venta Ideal (x1.5)]]</f>
        <v>28.0616666666667</v>
      </c>
      <c r="J197" s="72">
        <v>1</v>
      </c>
      <c r="K197" s="72">
        <f>SUMIFS(VENTAS[Cantidad],VENTAS[Código del producto Vendido],STOCK[[#This Row],[Code]])</f>
        <v>1</v>
      </c>
      <c r="L197" s="72">
        <f>STOCK[[#This Row],[Entradas]]-STOCK[[#This Row],[Salidas]]</f>
        <v>0</v>
      </c>
      <c r="M197" s="54">
        <f>STOCK[[#This Row],[Precio Final]]*10%</f>
        <v>2.8</v>
      </c>
      <c r="N197" s="54">
        <v>259.7</v>
      </c>
      <c r="O197" s="54">
        <v>18</v>
      </c>
      <c r="P197" s="54">
        <v>14.4277777777778</v>
      </c>
      <c r="Q197" s="72">
        <v>185</v>
      </c>
      <c r="R197" s="54">
        <v>8</v>
      </c>
      <c r="S197" s="54">
        <f>STOCK[[#This Row],[Peso (g)]]*STOCK[[#This Row],[Precio Envío Kilogramo (USD)]]/1000</f>
        <v>1.48</v>
      </c>
      <c r="T197" s="53">
        <f>STOCK[[#This Row],[Costo Unitario (USD)]]+STOCK[[#This Row],[Costo Envío (USD)]]+STOCK[[#This Row],[Comisión 10%]]</f>
        <v>18.7077777777778</v>
      </c>
      <c r="U197" s="54">
        <f>STOCK[[#This Row],[Costo total]]*1.5</f>
        <v>28.0616666666667</v>
      </c>
      <c r="V197" s="54">
        <v>28</v>
      </c>
      <c r="W197" s="54">
        <f>STOCK[[#This Row],[Precio Final]]-STOCK[[#This Row],[Costo total]]</f>
        <v>9.2922222222222</v>
      </c>
      <c r="X197" s="54">
        <f>STOCK[[#This Row],[Ganancia Unitaria]]*STOCK[[#This Row],[Salidas]]</f>
        <v>9.2922222222222</v>
      </c>
      <c r="AA197" s="54">
        <f>STOCK[[#This Row],[Costo total]]*STOCK[[#This Row],[Entradas]]</f>
        <v>18.7077777777778</v>
      </c>
      <c r="AB197" s="54">
        <f>STOCK[[#This Row],[Stock Actual]]*STOCK[[#This Row],[Costo total]]</f>
        <v>0</v>
      </c>
    </row>
    <row r="198" s="53" customFormat="1" ht="50" customHeight="1" spans="1:28">
      <c r="A198" s="53" t="s">
        <v>435</v>
      </c>
      <c r="B198" s="66"/>
      <c r="C198" s="53" t="s">
        <v>32</v>
      </c>
      <c r="D198" s="53" t="s">
        <v>174</v>
      </c>
      <c r="E198" s="67" t="s">
        <v>436</v>
      </c>
      <c r="F198" s="53" t="s">
        <v>187</v>
      </c>
      <c r="G198" s="53" t="s">
        <v>36</v>
      </c>
      <c r="H198" s="53">
        <f>STOCK[[#This Row],[Precio Final]]</f>
        <v>25</v>
      </c>
      <c r="I198" s="53">
        <f>STOCK[[#This Row],[Precio Venta Ideal (x1.5)]]</f>
        <v>28.135</v>
      </c>
      <c r="J198" s="71">
        <v>1</v>
      </c>
      <c r="K198" s="71">
        <f>SUMIFS(VENTAS[Cantidad],VENTAS[Código del producto Vendido],STOCK[[#This Row],[Code]])</f>
        <v>1</v>
      </c>
      <c r="L198" s="71">
        <f>STOCK[[#This Row],[Entradas]]-STOCK[[#This Row],[Salidas]]</f>
        <v>0</v>
      </c>
      <c r="M198" s="53">
        <f>STOCK[[#This Row],[Precio Final]]*10%</f>
        <v>2.5</v>
      </c>
      <c r="N198" s="53">
        <v>266.7</v>
      </c>
      <c r="O198" s="53">
        <v>18</v>
      </c>
      <c r="P198" s="53">
        <v>14.8166666666667</v>
      </c>
      <c r="Q198" s="71">
        <v>180</v>
      </c>
      <c r="R198" s="53">
        <v>8</v>
      </c>
      <c r="S198" s="53">
        <f>STOCK[[#This Row],[Peso (g)]]*STOCK[[#This Row],[Precio Envío Kilogramo (USD)]]/1000</f>
        <v>1.44</v>
      </c>
      <c r="T198" s="53">
        <f>STOCK[[#This Row],[Costo Unitario (USD)]]+STOCK[[#This Row],[Costo Envío (USD)]]+STOCK[[#This Row],[Comisión 10%]]</f>
        <v>18.7566666666667</v>
      </c>
      <c r="U198" s="53">
        <f>STOCK[[#This Row],[Costo total]]*1.5</f>
        <v>28.135</v>
      </c>
      <c r="V198" s="53">
        <v>25</v>
      </c>
      <c r="W198" s="53">
        <f>STOCK[[#This Row],[Precio Final]]-STOCK[[#This Row],[Costo total]]</f>
        <v>6.2433333333333</v>
      </c>
      <c r="X198" s="53">
        <f>STOCK[[#This Row],[Ganancia Unitaria]]*STOCK[[#This Row],[Salidas]]</f>
        <v>6.2433333333333</v>
      </c>
      <c r="AA198" s="53">
        <f>STOCK[[#This Row],[Costo total]]*STOCK[[#This Row],[Entradas]]</f>
        <v>18.7566666666667</v>
      </c>
      <c r="AB198" s="53">
        <f>STOCK[[#This Row],[Stock Actual]]*STOCK[[#This Row],[Costo total]]</f>
        <v>0</v>
      </c>
    </row>
    <row r="199" s="54" customFormat="1" ht="50" customHeight="1" spans="1:28">
      <c r="A199" s="54" t="s">
        <v>437</v>
      </c>
      <c r="B199" s="66"/>
      <c r="C199" s="54" t="s">
        <v>32</v>
      </c>
      <c r="D199" s="54" t="s">
        <v>38</v>
      </c>
      <c r="E199" s="68" t="s">
        <v>438</v>
      </c>
      <c r="F199" s="54" t="s">
        <v>42</v>
      </c>
      <c r="G199" s="54" t="s">
        <v>36</v>
      </c>
      <c r="H199" s="54">
        <f>STOCK[[#This Row],[Precio Final]]</f>
        <v>25</v>
      </c>
      <c r="I199" s="54">
        <f>STOCK[[#This Row],[Precio Venta Ideal (x1.5)]]</f>
        <v>28.6566666666666</v>
      </c>
      <c r="J199" s="72">
        <v>2</v>
      </c>
      <c r="K199" s="72">
        <f>SUMIFS(VENTAS[Cantidad],VENTAS[Código del producto Vendido],STOCK[[#This Row],[Code]])</f>
        <v>2</v>
      </c>
      <c r="L199" s="72">
        <f>STOCK[[#This Row],[Entradas]]-STOCK[[#This Row],[Salidas]]</f>
        <v>0</v>
      </c>
      <c r="M199" s="54">
        <f>STOCK[[#This Row],[Precio Final]]*10%</f>
        <v>2.5</v>
      </c>
      <c r="N199" s="54">
        <v>249.2</v>
      </c>
      <c r="O199" s="54">
        <v>18</v>
      </c>
      <c r="P199" s="54">
        <v>13.8444444444444</v>
      </c>
      <c r="Q199" s="72">
        <v>345</v>
      </c>
      <c r="R199" s="54">
        <v>8</v>
      </c>
      <c r="S199" s="54">
        <f>STOCK[[#This Row],[Peso (g)]]*STOCK[[#This Row],[Precio Envío Kilogramo (USD)]]/1000</f>
        <v>2.76</v>
      </c>
      <c r="T199" s="53">
        <f>STOCK[[#This Row],[Costo Unitario (USD)]]+STOCK[[#This Row],[Costo Envío (USD)]]+STOCK[[#This Row],[Comisión 10%]]</f>
        <v>19.1044444444444</v>
      </c>
      <c r="U199" s="54">
        <f>STOCK[[#This Row],[Costo total]]*1.5</f>
        <v>28.6566666666666</v>
      </c>
      <c r="V199" s="54">
        <v>25</v>
      </c>
      <c r="W199" s="54">
        <f>STOCK[[#This Row],[Precio Final]]-STOCK[[#This Row],[Costo total]]</f>
        <v>5.8955555555556</v>
      </c>
      <c r="X199" s="54">
        <f>STOCK[[#This Row],[Ganancia Unitaria]]*STOCK[[#This Row],[Salidas]]</f>
        <v>11.7911111111112</v>
      </c>
      <c r="AA199" s="54">
        <f>STOCK[[#This Row],[Costo total]]*STOCK[[#This Row],[Entradas]]</f>
        <v>38.2088888888888</v>
      </c>
      <c r="AB199" s="54">
        <f>STOCK[[#This Row],[Stock Actual]]*STOCK[[#This Row],[Costo total]]</f>
        <v>0</v>
      </c>
    </row>
    <row r="200" s="53" customFormat="1" ht="50" customHeight="1" spans="1:28">
      <c r="A200" s="53" t="s">
        <v>439</v>
      </c>
      <c r="B200" s="66"/>
      <c r="C200" s="53" t="s">
        <v>32</v>
      </c>
      <c r="D200" s="53" t="s">
        <v>38</v>
      </c>
      <c r="E200" s="67" t="s">
        <v>100</v>
      </c>
      <c r="F200" s="53" t="s">
        <v>42</v>
      </c>
      <c r="G200" s="53" t="s">
        <v>36</v>
      </c>
      <c r="H200" s="53">
        <f>STOCK[[#This Row],[Precio Final]]</f>
        <v>28</v>
      </c>
      <c r="I200" s="53">
        <f>STOCK[[#This Row],[Precio Venta Ideal (x1.5)]]</f>
        <v>27.925</v>
      </c>
      <c r="J200" s="71">
        <v>0</v>
      </c>
      <c r="K200" s="71">
        <f>SUMIFS(VENTAS[Cantidad],VENTAS[Código del producto Vendido],STOCK[[#This Row],[Code]])</f>
        <v>0</v>
      </c>
      <c r="L200" s="71">
        <f>STOCK[[#This Row],[Entradas]]-STOCK[[#This Row],[Salidas]]</f>
        <v>0</v>
      </c>
      <c r="M200" s="53">
        <f>STOCK[[#This Row],[Precio Final]]*10%</f>
        <v>2.8</v>
      </c>
      <c r="N200" s="53">
        <v>241.5</v>
      </c>
      <c r="O200" s="53">
        <v>18</v>
      </c>
      <c r="P200" s="53">
        <v>13.4166666666667</v>
      </c>
      <c r="Q200" s="71">
        <v>300</v>
      </c>
      <c r="R200" s="53">
        <v>8</v>
      </c>
      <c r="S200" s="53">
        <f>STOCK[[#This Row],[Peso (g)]]*STOCK[[#This Row],[Precio Envío Kilogramo (USD)]]/1000</f>
        <v>2.4</v>
      </c>
      <c r="T200" s="53">
        <f>STOCK[[#This Row],[Costo Unitario (USD)]]+STOCK[[#This Row],[Costo Envío (USD)]]+STOCK[[#This Row],[Comisión 10%]]</f>
        <v>18.6166666666667</v>
      </c>
      <c r="U200" s="53">
        <f>STOCK[[#This Row],[Costo total]]*1.5</f>
        <v>27.925</v>
      </c>
      <c r="V200" s="53">
        <v>28</v>
      </c>
      <c r="W200" s="53">
        <f>STOCK[[#This Row],[Precio Final]]-STOCK[[#This Row],[Costo total]]</f>
        <v>9.3833333333333</v>
      </c>
      <c r="X200" s="53">
        <f>STOCK[[#This Row],[Ganancia Unitaria]]*STOCK[[#This Row],[Salidas]]</f>
        <v>0</v>
      </c>
      <c r="AA200" s="53">
        <f>STOCK[[#This Row],[Costo total]]*STOCK[[#This Row],[Entradas]]</f>
        <v>0</v>
      </c>
      <c r="AB200" s="53">
        <f>STOCK[[#This Row],[Stock Actual]]*STOCK[[#This Row],[Costo total]]</f>
        <v>0</v>
      </c>
    </row>
    <row r="201" s="54" customFormat="1" ht="50" customHeight="1" spans="1:29">
      <c r="A201" s="54" t="s">
        <v>440</v>
      </c>
      <c r="B201" s="66"/>
      <c r="C201" s="54" t="s">
        <v>32</v>
      </c>
      <c r="D201" s="54" t="s">
        <v>294</v>
      </c>
      <c r="E201" s="68" t="s">
        <v>441</v>
      </c>
      <c r="F201" s="54" t="s">
        <v>62</v>
      </c>
      <c r="G201" s="54" t="s">
        <v>36</v>
      </c>
      <c r="H201" s="54">
        <f>STOCK[[#This Row],[Precio Final]]</f>
        <v>12</v>
      </c>
      <c r="I201" s="54">
        <f>STOCK[[#This Row],[Precio Venta Ideal (x1.5)]]</f>
        <v>11.785</v>
      </c>
      <c r="J201" s="72">
        <v>1</v>
      </c>
      <c r="K201" s="72">
        <f>SUMIFS(VENTAS[Cantidad],VENTAS[Código del producto Vendido],STOCK[[#This Row],[Code]])</f>
        <v>1</v>
      </c>
      <c r="L201" s="72">
        <f>STOCK[[#This Row],[Entradas]]-STOCK[[#This Row],[Salidas]]</f>
        <v>0</v>
      </c>
      <c r="M201" s="54">
        <f>STOCK[[#This Row],[Precio Final]]*10%</f>
        <v>1.2</v>
      </c>
      <c r="N201" s="54">
        <v>115.5</v>
      </c>
      <c r="O201" s="54">
        <v>18</v>
      </c>
      <c r="P201" s="54">
        <v>6.41666666666667</v>
      </c>
      <c r="Q201" s="72">
        <v>30</v>
      </c>
      <c r="R201" s="54">
        <v>8</v>
      </c>
      <c r="S201" s="54">
        <f>STOCK[[#This Row],[Peso (g)]]*STOCK[[#This Row],[Precio Envío Kilogramo (USD)]]/1000</f>
        <v>0.24</v>
      </c>
      <c r="T201" s="53">
        <f>STOCK[[#This Row],[Costo Unitario (USD)]]+STOCK[[#This Row],[Costo Envío (USD)]]+STOCK[[#This Row],[Comisión 10%]]</f>
        <v>7.85666666666667</v>
      </c>
      <c r="U201" s="54">
        <f>STOCK[[#This Row],[Costo total]]*1.5</f>
        <v>11.785</v>
      </c>
      <c r="V201" s="54">
        <v>12</v>
      </c>
      <c r="W201" s="54">
        <f>STOCK[[#This Row],[Precio Final]]-STOCK[[#This Row],[Costo total]]</f>
        <v>4.14333333333333</v>
      </c>
      <c r="X201" s="54">
        <f>STOCK[[#This Row],[Ganancia Unitaria]]*STOCK[[#This Row],[Salidas]]</f>
        <v>4.14333333333333</v>
      </c>
      <c r="AA201" s="54">
        <f>STOCK[[#This Row],[Costo total]]*STOCK[[#This Row],[Entradas]]</f>
        <v>7.85666666666667</v>
      </c>
      <c r="AB201" s="54">
        <f>STOCK[[#This Row],[Stock Actual]]*STOCK[[#This Row],[Costo total]]</f>
        <v>0</v>
      </c>
      <c r="AC201" s="54">
        <v>10</v>
      </c>
    </row>
    <row r="202" s="53" customFormat="1" ht="50" customHeight="1" spans="1:28">
      <c r="A202" s="53" t="s">
        <v>442</v>
      </c>
      <c r="B202" s="66"/>
      <c r="C202" s="53" t="s">
        <v>32</v>
      </c>
      <c r="D202" s="53" t="s">
        <v>174</v>
      </c>
      <c r="E202" s="67" t="s">
        <v>443</v>
      </c>
      <c r="F202" s="53" t="s">
        <v>444</v>
      </c>
      <c r="G202" s="53" t="s">
        <v>36</v>
      </c>
      <c r="H202" s="53">
        <f>STOCK[[#This Row],[Precio Final]]</f>
        <v>12</v>
      </c>
      <c r="I202" s="53">
        <f>STOCK[[#This Row],[Precio Venta Ideal (x1.5)]]</f>
        <v>12.9516666666667</v>
      </c>
      <c r="J202" s="71">
        <v>1</v>
      </c>
      <c r="K202" s="71">
        <f>SUMIFS(VENTAS[Cantidad],VENTAS[Código del producto Vendido],STOCK[[#This Row],[Code]])</f>
        <v>1</v>
      </c>
      <c r="L202" s="71">
        <f>STOCK[[#This Row],[Entradas]]-STOCK[[#This Row],[Salidas]]</f>
        <v>0</v>
      </c>
      <c r="M202" s="53">
        <f>STOCK[[#This Row],[Precio Final]]*10%</f>
        <v>1.2</v>
      </c>
      <c r="N202" s="53">
        <v>129.5</v>
      </c>
      <c r="O202" s="53">
        <v>18</v>
      </c>
      <c r="P202" s="53">
        <v>7.19444444444444</v>
      </c>
      <c r="Q202" s="71">
        <v>30</v>
      </c>
      <c r="R202" s="53">
        <v>8</v>
      </c>
      <c r="S202" s="53">
        <f>STOCK[[#This Row],[Peso (g)]]*STOCK[[#This Row],[Precio Envío Kilogramo (USD)]]/1000</f>
        <v>0.24</v>
      </c>
      <c r="T202" s="53">
        <f>STOCK[[#This Row],[Costo Unitario (USD)]]+STOCK[[#This Row],[Costo Envío (USD)]]+STOCK[[#This Row],[Comisión 10%]]</f>
        <v>8.63444444444444</v>
      </c>
      <c r="U202" s="53">
        <f>STOCK[[#This Row],[Costo total]]*1.5</f>
        <v>12.9516666666667</v>
      </c>
      <c r="V202" s="53">
        <v>12</v>
      </c>
      <c r="W202" s="53">
        <f>STOCK[[#This Row],[Precio Final]]-STOCK[[#This Row],[Costo total]]</f>
        <v>3.36555555555556</v>
      </c>
      <c r="X202" s="53">
        <f>STOCK[[#This Row],[Ganancia Unitaria]]*STOCK[[#This Row],[Salidas]]</f>
        <v>3.36555555555556</v>
      </c>
      <c r="AA202" s="53">
        <f>STOCK[[#This Row],[Costo total]]*STOCK[[#This Row],[Entradas]]</f>
        <v>8.63444444444444</v>
      </c>
      <c r="AB202" s="53">
        <f>STOCK[[#This Row],[Stock Actual]]*STOCK[[#This Row],[Costo total]]</f>
        <v>0</v>
      </c>
    </row>
    <row r="203" s="54" customFormat="1" ht="50" customHeight="1" spans="1:28">
      <c r="A203" s="54" t="s">
        <v>445</v>
      </c>
      <c r="B203" s="66"/>
      <c r="C203" s="54" t="s">
        <v>32</v>
      </c>
      <c r="D203" s="54" t="s">
        <v>44</v>
      </c>
      <c r="E203" s="68" t="s">
        <v>446</v>
      </c>
      <c r="F203" s="54" t="s">
        <v>40</v>
      </c>
      <c r="G203" s="54" t="s">
        <v>36</v>
      </c>
      <c r="H203" s="54">
        <f>STOCK[[#This Row],[Precio Final]]</f>
        <v>16</v>
      </c>
      <c r="I203" s="54">
        <f>STOCK[[#This Row],[Precio Venta Ideal (x1.5)]]</f>
        <v>25.37</v>
      </c>
      <c r="J203" s="72">
        <v>1</v>
      </c>
      <c r="K203" s="72">
        <f>SUMIFS(VENTAS[Cantidad],VENTAS[Código del producto Vendido],STOCK[[#This Row],[Code]])</f>
        <v>1</v>
      </c>
      <c r="L203" s="72">
        <f>STOCK[[#This Row],[Entradas]]-STOCK[[#This Row],[Salidas]]</f>
        <v>0</v>
      </c>
      <c r="M203" s="54">
        <f>STOCK[[#This Row],[Precio Final]]*10%</f>
        <v>1.6</v>
      </c>
      <c r="N203" s="54">
        <v>256.2</v>
      </c>
      <c r="O203" s="54">
        <v>18</v>
      </c>
      <c r="P203" s="54">
        <v>14.2333333333333</v>
      </c>
      <c r="Q203" s="72">
        <v>135</v>
      </c>
      <c r="R203" s="54">
        <v>8</v>
      </c>
      <c r="S203" s="54">
        <f>STOCK[[#This Row],[Peso (g)]]*STOCK[[#This Row],[Precio Envío Kilogramo (USD)]]/1000</f>
        <v>1.08</v>
      </c>
      <c r="T203" s="53">
        <f>STOCK[[#This Row],[Costo Unitario (USD)]]+STOCK[[#This Row],[Costo Envío (USD)]]+STOCK[[#This Row],[Comisión 10%]]</f>
        <v>16.9133333333333</v>
      </c>
      <c r="U203" s="54">
        <f>STOCK[[#This Row],[Costo total]]*1.5</f>
        <v>25.37</v>
      </c>
      <c r="V203" s="54">
        <v>16</v>
      </c>
      <c r="W203" s="54">
        <f>STOCK[[#This Row],[Precio Final]]-STOCK[[#This Row],[Costo total]]</f>
        <v>-0.913333333333302</v>
      </c>
      <c r="X203" s="54">
        <f>STOCK[[#This Row],[Ganancia Unitaria]]*STOCK[[#This Row],[Salidas]]</f>
        <v>-0.913333333333302</v>
      </c>
      <c r="AA203" s="54">
        <f>STOCK[[#This Row],[Costo total]]*STOCK[[#This Row],[Entradas]]</f>
        <v>16.9133333333333</v>
      </c>
      <c r="AB203" s="54">
        <f>STOCK[[#This Row],[Stock Actual]]*STOCK[[#This Row],[Costo total]]</f>
        <v>0</v>
      </c>
    </row>
    <row r="204" s="53" customFormat="1" ht="50" customHeight="1" spans="1:28">
      <c r="A204" s="53" t="s">
        <v>447</v>
      </c>
      <c r="B204" s="66"/>
      <c r="C204" s="53" t="s">
        <v>32</v>
      </c>
      <c r="D204" s="53" t="s">
        <v>152</v>
      </c>
      <c r="E204" s="67" t="s">
        <v>448</v>
      </c>
      <c r="F204" s="53" t="s">
        <v>62</v>
      </c>
      <c r="G204" s="53" t="s">
        <v>36</v>
      </c>
      <c r="H204" s="53">
        <f>STOCK[[#This Row],[Precio Final]]</f>
        <v>15</v>
      </c>
      <c r="I204" s="53">
        <f>STOCK[[#This Row],[Precio Venta Ideal (x1.5)]]</f>
        <v>15.6416666666667</v>
      </c>
      <c r="J204" s="71">
        <v>1</v>
      </c>
      <c r="K204" s="71">
        <f>SUMIFS(VENTAS[Cantidad],VENTAS[Código del producto Vendido],STOCK[[#This Row],[Code]])</f>
        <v>1</v>
      </c>
      <c r="L204" s="71">
        <f>STOCK[[#This Row],[Entradas]]-STOCK[[#This Row],[Salidas]]</f>
        <v>0</v>
      </c>
      <c r="M204" s="53">
        <f>STOCK[[#This Row],[Precio Final]]*10%</f>
        <v>1.5</v>
      </c>
      <c r="N204" s="53">
        <v>146.3</v>
      </c>
      <c r="O204" s="53">
        <v>18</v>
      </c>
      <c r="P204" s="53">
        <v>8.12777777777778</v>
      </c>
      <c r="Q204" s="71">
        <v>100</v>
      </c>
      <c r="R204" s="53">
        <v>8</v>
      </c>
      <c r="S204" s="53">
        <f>STOCK[[#This Row],[Peso (g)]]*STOCK[[#This Row],[Precio Envío Kilogramo (USD)]]/1000</f>
        <v>0.8</v>
      </c>
      <c r="T204" s="53">
        <f>STOCK[[#This Row],[Costo Unitario (USD)]]+STOCK[[#This Row],[Costo Envío (USD)]]+STOCK[[#This Row],[Comisión 10%]]</f>
        <v>10.4277777777778</v>
      </c>
      <c r="U204" s="53">
        <f>STOCK[[#This Row],[Costo total]]*1.5</f>
        <v>15.6416666666667</v>
      </c>
      <c r="V204" s="53">
        <v>15</v>
      </c>
      <c r="W204" s="53">
        <f>STOCK[[#This Row],[Precio Final]]-STOCK[[#This Row],[Costo total]]</f>
        <v>4.57222222222222</v>
      </c>
      <c r="X204" s="53">
        <f>STOCK[[#This Row],[Ganancia Unitaria]]*STOCK[[#This Row],[Salidas]]</f>
        <v>4.57222222222222</v>
      </c>
      <c r="AA204" s="53">
        <f>STOCK[[#This Row],[Costo total]]*STOCK[[#This Row],[Entradas]]</f>
        <v>10.4277777777778</v>
      </c>
      <c r="AB204" s="53">
        <f>STOCK[[#This Row],[Stock Actual]]*STOCK[[#This Row],[Costo total]]</f>
        <v>0</v>
      </c>
    </row>
    <row r="205" s="54" customFormat="1" ht="50" customHeight="1" spans="1:28">
      <c r="A205" s="54" t="s">
        <v>449</v>
      </c>
      <c r="B205" s="66"/>
      <c r="C205" s="54" t="s">
        <v>32</v>
      </c>
      <c r="D205" s="54" t="s">
        <v>38</v>
      </c>
      <c r="E205" s="68" t="s">
        <v>100</v>
      </c>
      <c r="F205" s="54" t="s">
        <v>62</v>
      </c>
      <c r="G205" s="54" t="s">
        <v>36</v>
      </c>
      <c r="H205" s="54">
        <f>STOCK[[#This Row],[Precio Final]]</f>
        <v>25</v>
      </c>
      <c r="I205" s="54">
        <f>STOCK[[#This Row],[Precio Venta Ideal (x1.5)]]</f>
        <v>23.875</v>
      </c>
      <c r="J205" s="72">
        <v>2</v>
      </c>
      <c r="K205" s="72">
        <f>SUMIFS(VENTAS[Cantidad],VENTAS[Código del producto Vendido],STOCK[[#This Row],[Code]])</f>
        <v>2</v>
      </c>
      <c r="L205" s="72">
        <f>STOCK[[#This Row],[Entradas]]-STOCK[[#This Row],[Salidas]]</f>
        <v>0</v>
      </c>
      <c r="M205" s="54">
        <f>STOCK[[#This Row],[Precio Final]]*10%</f>
        <v>2.5</v>
      </c>
      <c r="N205" s="54">
        <v>241.5</v>
      </c>
      <c r="O205" s="54">
        <v>18</v>
      </c>
      <c r="P205" s="54">
        <v>13.4166666666667</v>
      </c>
      <c r="Q205" s="72"/>
      <c r="R205" s="54">
        <v>8</v>
      </c>
      <c r="S205" s="54">
        <f>STOCK[[#This Row],[Peso (g)]]*STOCK[[#This Row],[Precio Envío Kilogramo (USD)]]/1000</f>
        <v>0</v>
      </c>
      <c r="T205" s="53">
        <f>STOCK[[#This Row],[Costo Unitario (USD)]]+STOCK[[#This Row],[Costo Envío (USD)]]+STOCK[[#This Row],[Comisión 10%]]</f>
        <v>15.9166666666667</v>
      </c>
      <c r="U205" s="54">
        <f>STOCK[[#This Row],[Costo total]]*1.5</f>
        <v>23.875</v>
      </c>
      <c r="V205" s="54">
        <v>25</v>
      </c>
      <c r="W205" s="54">
        <f>STOCK[[#This Row],[Precio Final]]-STOCK[[#This Row],[Costo total]]</f>
        <v>9.0833333333333</v>
      </c>
      <c r="X205" s="54">
        <f>STOCK[[#This Row],[Ganancia Unitaria]]*STOCK[[#This Row],[Salidas]]</f>
        <v>18.1666666666666</v>
      </c>
      <c r="AA205" s="54">
        <f>STOCK[[#This Row],[Costo total]]*STOCK[[#This Row],[Entradas]]</f>
        <v>31.8333333333334</v>
      </c>
      <c r="AB205" s="54">
        <f>STOCK[[#This Row],[Stock Actual]]*STOCK[[#This Row],[Costo total]]</f>
        <v>0</v>
      </c>
    </row>
    <row r="206" s="53" customFormat="1" ht="50" customHeight="1" spans="1:28">
      <c r="A206" s="53" t="s">
        <v>450</v>
      </c>
      <c r="B206" s="66"/>
      <c r="C206" s="53" t="s">
        <v>32</v>
      </c>
      <c r="D206" s="53" t="s">
        <v>38</v>
      </c>
      <c r="E206" s="67" t="s">
        <v>100</v>
      </c>
      <c r="F206" s="53" t="s">
        <v>49</v>
      </c>
      <c r="G206" s="53" t="s">
        <v>36</v>
      </c>
      <c r="H206" s="53">
        <f>STOCK[[#This Row],[Precio Final]]</f>
        <v>25</v>
      </c>
      <c r="I206" s="53">
        <f>STOCK[[#This Row],[Precio Venta Ideal (x1.5)]]</f>
        <v>23.875</v>
      </c>
      <c r="J206" s="71">
        <v>4</v>
      </c>
      <c r="K206" s="71">
        <f>SUMIFS(VENTAS[Cantidad],VENTAS[Código del producto Vendido],STOCK[[#This Row],[Code]])</f>
        <v>4</v>
      </c>
      <c r="L206" s="71">
        <f>STOCK[[#This Row],[Entradas]]-STOCK[[#This Row],[Salidas]]</f>
        <v>0</v>
      </c>
      <c r="M206" s="53">
        <f>STOCK[[#This Row],[Precio Final]]*10%</f>
        <v>2.5</v>
      </c>
      <c r="N206" s="53">
        <v>241.5</v>
      </c>
      <c r="O206" s="53">
        <v>18</v>
      </c>
      <c r="P206" s="53">
        <v>13.4166666666667</v>
      </c>
      <c r="Q206" s="71"/>
      <c r="R206" s="53">
        <v>8</v>
      </c>
      <c r="S206" s="53">
        <f>STOCK[[#This Row],[Peso (g)]]*STOCK[[#This Row],[Precio Envío Kilogramo (USD)]]/1000</f>
        <v>0</v>
      </c>
      <c r="T206" s="53">
        <f>STOCK[[#This Row],[Costo Unitario (USD)]]+STOCK[[#This Row],[Costo Envío (USD)]]+STOCK[[#This Row],[Comisión 10%]]</f>
        <v>15.9166666666667</v>
      </c>
      <c r="U206" s="53">
        <f>STOCK[[#This Row],[Costo total]]*1.5</f>
        <v>23.875</v>
      </c>
      <c r="V206" s="53">
        <v>25</v>
      </c>
      <c r="W206" s="53">
        <f>STOCK[[#This Row],[Precio Final]]-STOCK[[#This Row],[Costo total]]</f>
        <v>9.0833333333333</v>
      </c>
      <c r="X206" s="53">
        <f>STOCK[[#This Row],[Ganancia Unitaria]]*STOCK[[#This Row],[Salidas]]</f>
        <v>36.3333333333332</v>
      </c>
      <c r="AA206" s="53">
        <f>STOCK[[#This Row],[Costo total]]*STOCK[[#This Row],[Entradas]]</f>
        <v>63.6666666666668</v>
      </c>
      <c r="AB206" s="53">
        <f>STOCK[[#This Row],[Stock Actual]]*STOCK[[#This Row],[Costo total]]</f>
        <v>0</v>
      </c>
    </row>
    <row r="207" s="54" customFormat="1" ht="50" customHeight="1" spans="1:28">
      <c r="A207" s="54" t="s">
        <v>451</v>
      </c>
      <c r="B207" s="66"/>
      <c r="C207" s="54" t="s">
        <v>32</v>
      </c>
      <c r="D207" s="54" t="s">
        <v>38</v>
      </c>
      <c r="E207" s="68" t="s">
        <v>100</v>
      </c>
      <c r="F207" s="54" t="s">
        <v>46</v>
      </c>
      <c r="G207" s="54" t="s">
        <v>36</v>
      </c>
      <c r="H207" s="54">
        <f>STOCK[[#This Row],[Precio Final]]</f>
        <v>25</v>
      </c>
      <c r="I207" s="54">
        <f>STOCK[[#This Row],[Precio Venta Ideal (x1.5)]]</f>
        <v>23.875</v>
      </c>
      <c r="J207" s="72">
        <v>2</v>
      </c>
      <c r="K207" s="72">
        <f>SUMIFS(VENTAS[Cantidad],VENTAS[Código del producto Vendido],STOCK[[#This Row],[Code]])</f>
        <v>2</v>
      </c>
      <c r="L207" s="72">
        <f>STOCK[[#This Row],[Entradas]]-STOCK[[#This Row],[Salidas]]</f>
        <v>0</v>
      </c>
      <c r="M207" s="54">
        <f>STOCK[[#This Row],[Precio Final]]*10%</f>
        <v>2.5</v>
      </c>
      <c r="N207" s="54">
        <v>241.5</v>
      </c>
      <c r="O207" s="54">
        <v>18</v>
      </c>
      <c r="P207" s="54">
        <v>13.4166666666667</v>
      </c>
      <c r="Q207" s="72"/>
      <c r="R207" s="54">
        <v>8</v>
      </c>
      <c r="S207" s="54">
        <f>STOCK[[#This Row],[Peso (g)]]*STOCK[[#This Row],[Precio Envío Kilogramo (USD)]]/1000</f>
        <v>0</v>
      </c>
      <c r="T207" s="53">
        <f>STOCK[[#This Row],[Costo Unitario (USD)]]+STOCK[[#This Row],[Costo Envío (USD)]]+STOCK[[#This Row],[Comisión 10%]]</f>
        <v>15.9166666666667</v>
      </c>
      <c r="U207" s="54">
        <f>STOCK[[#This Row],[Costo total]]*1.5</f>
        <v>23.875</v>
      </c>
      <c r="V207" s="54">
        <v>25</v>
      </c>
      <c r="W207" s="54">
        <f>STOCK[[#This Row],[Precio Final]]-STOCK[[#This Row],[Costo total]]</f>
        <v>9.0833333333333</v>
      </c>
      <c r="X207" s="54">
        <f>STOCK[[#This Row],[Ganancia Unitaria]]*STOCK[[#This Row],[Salidas]]</f>
        <v>18.1666666666666</v>
      </c>
      <c r="AA207" s="54">
        <f>STOCK[[#This Row],[Costo total]]*STOCK[[#This Row],[Entradas]]</f>
        <v>31.8333333333334</v>
      </c>
      <c r="AB207" s="54">
        <f>STOCK[[#This Row],[Stock Actual]]*STOCK[[#This Row],[Costo total]]</f>
        <v>0</v>
      </c>
    </row>
    <row r="208" s="53" customFormat="1" ht="50" customHeight="1" spans="1:28">
      <c r="A208" s="53" t="s">
        <v>452</v>
      </c>
      <c r="B208" s="66"/>
      <c r="C208" s="53" t="s">
        <v>32</v>
      </c>
      <c r="D208" s="53" t="s">
        <v>38</v>
      </c>
      <c r="E208" s="67" t="s">
        <v>453</v>
      </c>
      <c r="F208" s="53" t="s">
        <v>46</v>
      </c>
      <c r="G208" s="53" t="s">
        <v>36</v>
      </c>
      <c r="H208" s="53">
        <f>STOCK[[#This Row],[Precio Final]]</f>
        <v>28</v>
      </c>
      <c r="I208" s="53">
        <f>STOCK[[#This Row],[Precio Venta Ideal (x1.5)]]</f>
        <v>33.8916666666666</v>
      </c>
      <c r="J208" s="71">
        <v>4</v>
      </c>
      <c r="K208" s="71">
        <f>SUMIFS(VENTAS[Cantidad],VENTAS[Código del producto Vendido],STOCK[[#This Row],[Code]])</f>
        <v>4</v>
      </c>
      <c r="L208" s="71">
        <f>STOCK[[#This Row],[Entradas]]-STOCK[[#This Row],[Salidas]]</f>
        <v>0</v>
      </c>
      <c r="M208" s="53">
        <f>STOCK[[#This Row],[Precio Final]]*10%</f>
        <v>2.8</v>
      </c>
      <c r="N208" s="53">
        <v>249.2</v>
      </c>
      <c r="O208" s="53">
        <v>18</v>
      </c>
      <c r="P208" s="53">
        <v>13.8444444444444</v>
      </c>
      <c r="Q208" s="71">
        <v>340</v>
      </c>
      <c r="R208" s="53">
        <v>17.5</v>
      </c>
      <c r="S208" s="53">
        <f>STOCK[[#This Row],[Peso (g)]]*STOCK[[#This Row],[Precio Envío Kilogramo (USD)]]/1000</f>
        <v>5.95</v>
      </c>
      <c r="T208" s="53">
        <f>STOCK[[#This Row],[Costo Unitario (USD)]]+STOCK[[#This Row],[Costo Envío (USD)]]+STOCK[[#This Row],[Comisión 10%]]</f>
        <v>22.5944444444444</v>
      </c>
      <c r="U208" s="53">
        <f>STOCK[[#This Row],[Costo total]]*1.5</f>
        <v>33.8916666666666</v>
      </c>
      <c r="V208" s="53">
        <v>28</v>
      </c>
      <c r="W208" s="53">
        <f>STOCK[[#This Row],[Precio Final]]-STOCK[[#This Row],[Costo total]]</f>
        <v>5.4055555555556</v>
      </c>
      <c r="X208" s="53">
        <f>STOCK[[#This Row],[Ganancia Unitaria]]*STOCK[[#This Row],[Salidas]]</f>
        <v>21.6222222222224</v>
      </c>
      <c r="AA208" s="53">
        <f>STOCK[[#This Row],[Costo total]]*STOCK[[#This Row],[Entradas]]</f>
        <v>90.3777777777776</v>
      </c>
      <c r="AB208" s="53">
        <f>STOCK[[#This Row],[Stock Actual]]*STOCK[[#This Row],[Costo total]]</f>
        <v>0</v>
      </c>
    </row>
    <row r="209" s="54" customFormat="1" ht="50" customHeight="1" spans="1:28">
      <c r="A209" s="54" t="s">
        <v>454</v>
      </c>
      <c r="B209" s="66"/>
      <c r="C209" s="54" t="s">
        <v>32</v>
      </c>
      <c r="D209" s="54" t="s">
        <v>38</v>
      </c>
      <c r="E209" s="68" t="s">
        <v>453</v>
      </c>
      <c r="F209" s="54" t="s">
        <v>49</v>
      </c>
      <c r="G209" s="54" t="s">
        <v>36</v>
      </c>
      <c r="H209" s="54">
        <f>STOCK[[#This Row],[Precio Final]]</f>
        <v>25</v>
      </c>
      <c r="I209" s="54">
        <f>STOCK[[#This Row],[Precio Venta Ideal (x1.5)]]</f>
        <v>33.4416666666666</v>
      </c>
      <c r="J209" s="72">
        <v>4</v>
      </c>
      <c r="K209" s="72">
        <f>SUMIFS(VENTAS[Cantidad],VENTAS[Código del producto Vendido],STOCK[[#This Row],[Code]])</f>
        <v>4</v>
      </c>
      <c r="L209" s="72">
        <f>STOCK[[#This Row],[Entradas]]-STOCK[[#This Row],[Salidas]]</f>
        <v>0</v>
      </c>
      <c r="M209" s="54">
        <f>STOCK[[#This Row],[Precio Final]]*10%</f>
        <v>2.5</v>
      </c>
      <c r="N209" s="54">
        <v>249.2</v>
      </c>
      <c r="O209" s="54">
        <v>18</v>
      </c>
      <c r="P209" s="54">
        <v>13.8444444444444</v>
      </c>
      <c r="Q209" s="72">
        <v>340</v>
      </c>
      <c r="R209" s="54">
        <v>17.5</v>
      </c>
      <c r="S209" s="54">
        <f>STOCK[[#This Row],[Peso (g)]]*STOCK[[#This Row],[Precio Envío Kilogramo (USD)]]/1000</f>
        <v>5.95</v>
      </c>
      <c r="T209" s="53">
        <f>STOCK[[#This Row],[Costo Unitario (USD)]]+STOCK[[#This Row],[Costo Envío (USD)]]+STOCK[[#This Row],[Comisión 10%]]</f>
        <v>22.2944444444444</v>
      </c>
      <c r="U209" s="54">
        <f>STOCK[[#This Row],[Costo total]]*1.5</f>
        <v>33.4416666666666</v>
      </c>
      <c r="V209" s="54">
        <v>25</v>
      </c>
      <c r="W209" s="54">
        <f>STOCK[[#This Row],[Precio Final]]-STOCK[[#This Row],[Costo total]]</f>
        <v>2.7055555555556</v>
      </c>
      <c r="X209" s="54">
        <f>STOCK[[#This Row],[Ganancia Unitaria]]*STOCK[[#This Row],[Salidas]]</f>
        <v>10.8222222222224</v>
      </c>
      <c r="AA209" s="54">
        <f>STOCK[[#This Row],[Costo total]]*STOCK[[#This Row],[Entradas]]</f>
        <v>89.1777777777776</v>
      </c>
      <c r="AB209" s="54">
        <f>STOCK[[#This Row],[Stock Actual]]*STOCK[[#This Row],[Costo total]]</f>
        <v>0</v>
      </c>
    </row>
    <row r="210" s="53" customFormat="1" ht="50" customHeight="1" spans="1:28">
      <c r="A210" s="53" t="s">
        <v>455</v>
      </c>
      <c r="B210" s="66"/>
      <c r="C210" s="53" t="s">
        <v>32</v>
      </c>
      <c r="D210" s="53" t="s">
        <v>38</v>
      </c>
      <c r="E210" s="67" t="s">
        <v>456</v>
      </c>
      <c r="F210" s="53" t="s">
        <v>62</v>
      </c>
      <c r="G210" s="53" t="s">
        <v>36</v>
      </c>
      <c r="H210" s="53">
        <f>STOCK[[#This Row],[Precio Final]]</f>
        <v>25</v>
      </c>
      <c r="I210" s="53">
        <f>STOCK[[#This Row],[Precio Venta Ideal (x1.5)]]</f>
        <v>28.7166666666666</v>
      </c>
      <c r="J210" s="71">
        <v>1</v>
      </c>
      <c r="K210" s="71">
        <f>SUMIFS(VENTAS[Cantidad],VENTAS[Código del producto Vendido],STOCK[[#This Row],[Code]])</f>
        <v>1</v>
      </c>
      <c r="L210" s="71">
        <f>STOCK[[#This Row],[Entradas]]-STOCK[[#This Row],[Salidas]]</f>
        <v>0</v>
      </c>
      <c r="M210" s="53">
        <f>STOCK[[#This Row],[Precio Final]]*10%</f>
        <v>2.5</v>
      </c>
      <c r="N210" s="53">
        <v>249.2</v>
      </c>
      <c r="O210" s="53">
        <v>18</v>
      </c>
      <c r="P210" s="53">
        <v>13.8444444444444</v>
      </c>
      <c r="Q210" s="71">
        <v>350</v>
      </c>
      <c r="R210" s="53">
        <v>8</v>
      </c>
      <c r="S210" s="53">
        <f>STOCK[[#This Row],[Peso (g)]]*STOCK[[#This Row],[Precio Envío Kilogramo (USD)]]/1000</f>
        <v>2.8</v>
      </c>
      <c r="T210" s="53">
        <f>STOCK[[#This Row],[Costo Unitario (USD)]]+STOCK[[#This Row],[Costo Envío (USD)]]+STOCK[[#This Row],[Comisión 10%]]</f>
        <v>19.1444444444444</v>
      </c>
      <c r="U210" s="53">
        <f>STOCK[[#This Row],[Costo total]]*1.5</f>
        <v>28.7166666666666</v>
      </c>
      <c r="V210" s="53">
        <v>25</v>
      </c>
      <c r="W210" s="53">
        <f>STOCK[[#This Row],[Precio Final]]-STOCK[[#This Row],[Costo total]]</f>
        <v>5.8555555555556</v>
      </c>
      <c r="X210" s="53">
        <f>STOCK[[#This Row],[Ganancia Unitaria]]*STOCK[[#This Row],[Salidas]]</f>
        <v>5.8555555555556</v>
      </c>
      <c r="AA210" s="53">
        <f>STOCK[[#This Row],[Costo total]]*STOCK[[#This Row],[Entradas]]</f>
        <v>19.1444444444444</v>
      </c>
      <c r="AB210" s="53">
        <f>STOCK[[#This Row],[Stock Actual]]*STOCK[[#This Row],[Costo total]]</f>
        <v>0</v>
      </c>
    </row>
    <row r="211" s="54" customFormat="1" ht="50" customHeight="1" spans="1:28">
      <c r="A211" s="54" t="s">
        <v>457</v>
      </c>
      <c r="B211" s="66"/>
      <c r="C211" s="54" t="s">
        <v>32</v>
      </c>
      <c r="D211" s="54" t="s">
        <v>351</v>
      </c>
      <c r="E211" s="68" t="s">
        <v>458</v>
      </c>
      <c r="F211" s="54" t="s">
        <v>388</v>
      </c>
      <c r="G211" s="54" t="s">
        <v>36</v>
      </c>
      <c r="H211" s="54">
        <f>STOCK[[#This Row],[Precio Final]]</f>
        <v>15</v>
      </c>
      <c r="I211" s="54">
        <f>STOCK[[#This Row],[Precio Venta Ideal (x1.5)]]</f>
        <v>16.575</v>
      </c>
      <c r="J211" s="72">
        <v>2</v>
      </c>
      <c r="K211" s="72">
        <f>SUMIFS(VENTAS[Cantidad],VENTAS[Código del producto Vendido],STOCK[[#This Row],[Code]])</f>
        <v>2</v>
      </c>
      <c r="L211" s="72">
        <f>STOCK[[#This Row],[Entradas]]-STOCK[[#This Row],[Salidas]]</f>
        <v>0</v>
      </c>
      <c r="M211" s="54">
        <f>STOCK[[#This Row],[Precio Final]]*10%</f>
        <v>1.5</v>
      </c>
      <c r="N211" s="54">
        <v>143.1</v>
      </c>
      <c r="O211" s="54">
        <v>18</v>
      </c>
      <c r="P211" s="54">
        <v>7.95</v>
      </c>
      <c r="Q211" s="72">
        <v>200</v>
      </c>
      <c r="R211" s="54">
        <v>8</v>
      </c>
      <c r="S211" s="54">
        <f>STOCK[[#This Row],[Peso (g)]]*STOCK[[#This Row],[Precio Envío Kilogramo (USD)]]/1000</f>
        <v>1.6</v>
      </c>
      <c r="T211" s="53">
        <f>STOCK[[#This Row],[Costo Unitario (USD)]]+STOCK[[#This Row],[Costo Envío (USD)]]+STOCK[[#This Row],[Comisión 10%]]</f>
        <v>11.05</v>
      </c>
      <c r="U211" s="54">
        <f>STOCK[[#This Row],[Costo total]]*1.5</f>
        <v>16.575</v>
      </c>
      <c r="V211" s="54">
        <v>15</v>
      </c>
      <c r="W211" s="54">
        <f>STOCK[[#This Row],[Precio Final]]-STOCK[[#This Row],[Costo total]]</f>
        <v>3.95</v>
      </c>
      <c r="X211" s="54">
        <f>STOCK[[#This Row],[Ganancia Unitaria]]*STOCK[[#This Row],[Salidas]]</f>
        <v>7.9</v>
      </c>
      <c r="AA211" s="54">
        <f>STOCK[[#This Row],[Costo total]]*STOCK[[#This Row],[Entradas]]</f>
        <v>22.1</v>
      </c>
      <c r="AB211" s="54">
        <f>STOCK[[#This Row],[Stock Actual]]*STOCK[[#This Row],[Costo total]]</f>
        <v>0</v>
      </c>
    </row>
    <row r="212" s="53" customFormat="1" ht="50" customHeight="1" spans="1:28">
      <c r="A212" s="53" t="s">
        <v>459</v>
      </c>
      <c r="B212" s="66"/>
      <c r="C212" s="53" t="s">
        <v>32</v>
      </c>
      <c r="D212" s="53" t="s">
        <v>38</v>
      </c>
      <c r="E212" s="67" t="s">
        <v>460</v>
      </c>
      <c r="F212" s="53" t="s">
        <v>49</v>
      </c>
      <c r="G212" s="53" t="s">
        <v>36</v>
      </c>
      <c r="H212" s="53">
        <f>STOCK[[#This Row],[Precio Final]]</f>
        <v>22</v>
      </c>
      <c r="I212" s="53">
        <f>STOCK[[#This Row],[Precio Venta Ideal (x1.5)]]</f>
        <v>20.1033333333333</v>
      </c>
      <c r="J212" s="71">
        <v>1</v>
      </c>
      <c r="K212" s="71">
        <f>SUMIFS(VENTAS[Cantidad],VENTAS[Código del producto Vendido],STOCK[[#This Row],[Code]])</f>
        <v>1</v>
      </c>
      <c r="L212" s="71">
        <f>STOCK[[#This Row],[Entradas]]-STOCK[[#This Row],[Salidas]]</f>
        <v>0</v>
      </c>
      <c r="M212" s="53">
        <f>STOCK[[#This Row],[Precio Final]]*10%</f>
        <v>2.2</v>
      </c>
      <c r="N212" s="53">
        <v>201.64</v>
      </c>
      <c r="O212" s="53">
        <v>18</v>
      </c>
      <c r="P212" s="53">
        <v>11.2022222222222</v>
      </c>
      <c r="Q212" s="71"/>
      <c r="S212" s="53">
        <f>STOCK[[#This Row],[Peso (g)]]*STOCK[[#This Row],[Precio Envío Kilogramo (USD)]]/1000</f>
        <v>0</v>
      </c>
      <c r="T212" s="53">
        <f>STOCK[[#This Row],[Costo Unitario (USD)]]+STOCK[[#This Row],[Costo Envío (USD)]]+STOCK[[#This Row],[Comisión 10%]]</f>
        <v>13.4022222222222</v>
      </c>
      <c r="U212" s="53">
        <f>STOCK[[#This Row],[Costo total]]*1.5</f>
        <v>20.1033333333333</v>
      </c>
      <c r="V212" s="53">
        <v>22</v>
      </c>
      <c r="W212" s="53">
        <f>STOCK[[#This Row],[Precio Final]]-STOCK[[#This Row],[Costo total]]</f>
        <v>8.5977777777778</v>
      </c>
      <c r="X212" s="53">
        <f>STOCK[[#This Row],[Ganancia Unitaria]]*STOCK[[#This Row],[Salidas]]</f>
        <v>8.5977777777778</v>
      </c>
      <c r="AA212" s="53">
        <f>STOCK[[#This Row],[Costo total]]*STOCK[[#This Row],[Entradas]]</f>
        <v>13.4022222222222</v>
      </c>
      <c r="AB212" s="53">
        <f>STOCK[[#This Row],[Stock Actual]]*STOCK[[#This Row],[Costo total]]</f>
        <v>0</v>
      </c>
    </row>
    <row r="213" s="54" customFormat="1" ht="50" customHeight="1" spans="1:28">
      <c r="A213" s="54" t="s">
        <v>461</v>
      </c>
      <c r="B213" s="66"/>
      <c r="C213" s="54" t="s">
        <v>32</v>
      </c>
      <c r="D213" s="54" t="s">
        <v>38</v>
      </c>
      <c r="E213" s="68" t="s">
        <v>462</v>
      </c>
      <c r="F213" s="54" t="s">
        <v>49</v>
      </c>
      <c r="G213" s="54" t="s">
        <v>36</v>
      </c>
      <c r="H213" s="54">
        <f>STOCK[[#This Row],[Precio Final]]</f>
        <v>22</v>
      </c>
      <c r="I213" s="54">
        <f>STOCK[[#This Row],[Precio Venta Ideal (x1.5)]]</f>
        <v>20.4041666666667</v>
      </c>
      <c r="J213" s="72">
        <v>1</v>
      </c>
      <c r="K213" s="72">
        <f>SUMIFS(VENTAS[Cantidad],VENTAS[Código del producto Vendido],STOCK[[#This Row],[Code]])</f>
        <v>1</v>
      </c>
      <c r="L213" s="72">
        <f>STOCK[[#This Row],[Entradas]]-STOCK[[#This Row],[Salidas]]</f>
        <v>0</v>
      </c>
      <c r="M213" s="54">
        <f>STOCK[[#This Row],[Precio Final]]*10%</f>
        <v>2.2</v>
      </c>
      <c r="N213" s="54">
        <v>205.25</v>
      </c>
      <c r="O213" s="54">
        <v>18</v>
      </c>
      <c r="P213" s="54">
        <v>11.4027777777778</v>
      </c>
      <c r="Q213" s="72"/>
      <c r="S213" s="54">
        <f>STOCK[[#This Row],[Peso (g)]]*STOCK[[#This Row],[Precio Envío Kilogramo (USD)]]/1000</f>
        <v>0</v>
      </c>
      <c r="T213" s="53">
        <f>STOCK[[#This Row],[Costo Unitario (USD)]]+STOCK[[#This Row],[Costo Envío (USD)]]+STOCK[[#This Row],[Comisión 10%]]</f>
        <v>13.6027777777778</v>
      </c>
      <c r="U213" s="54">
        <f>STOCK[[#This Row],[Costo total]]*1.5</f>
        <v>20.4041666666667</v>
      </c>
      <c r="V213" s="54">
        <v>22</v>
      </c>
      <c r="W213" s="54">
        <f>STOCK[[#This Row],[Precio Final]]-STOCK[[#This Row],[Costo total]]</f>
        <v>8.3972222222222</v>
      </c>
      <c r="X213" s="54">
        <f>STOCK[[#This Row],[Ganancia Unitaria]]*STOCK[[#This Row],[Salidas]]</f>
        <v>8.3972222222222</v>
      </c>
      <c r="AA213" s="54">
        <f>STOCK[[#This Row],[Costo total]]*STOCK[[#This Row],[Entradas]]</f>
        <v>13.6027777777778</v>
      </c>
      <c r="AB213" s="54">
        <f>STOCK[[#This Row],[Stock Actual]]*STOCK[[#This Row],[Costo total]]</f>
        <v>0</v>
      </c>
    </row>
    <row r="214" s="53" customFormat="1" ht="50" customHeight="1" spans="1:28">
      <c r="A214" s="53" t="s">
        <v>463</v>
      </c>
      <c r="B214" s="66"/>
      <c r="C214" s="53" t="s">
        <v>32</v>
      </c>
      <c r="D214" s="53" t="s">
        <v>44</v>
      </c>
      <c r="E214" s="67" t="s">
        <v>464</v>
      </c>
      <c r="F214" s="53" t="s">
        <v>40</v>
      </c>
      <c r="G214" s="53" t="s">
        <v>36</v>
      </c>
      <c r="H214" s="53">
        <f>STOCK[[#This Row],[Precio Final]]</f>
        <v>25</v>
      </c>
      <c r="I214" s="53">
        <f>STOCK[[#This Row],[Precio Venta Ideal (x1.5)]]</f>
        <v>20.54</v>
      </c>
      <c r="J214" s="71">
        <v>1</v>
      </c>
      <c r="K214" s="71">
        <f>SUMIFS(VENTAS[Cantidad],VENTAS[Código del producto Vendido],STOCK[[#This Row],[Code]])</f>
        <v>1</v>
      </c>
      <c r="L214" s="71">
        <f>STOCK[[#This Row],[Entradas]]-STOCK[[#This Row],[Salidas]]</f>
        <v>0</v>
      </c>
      <c r="M214" s="53">
        <f>STOCK[[#This Row],[Precio Final]]*10%</f>
        <v>2.5</v>
      </c>
      <c r="N214" s="53">
        <v>159</v>
      </c>
      <c r="O214" s="53">
        <v>18</v>
      </c>
      <c r="P214" s="53">
        <v>8.83333333333333</v>
      </c>
      <c r="Q214" s="71">
        <v>295</v>
      </c>
      <c r="R214" s="53">
        <v>8</v>
      </c>
      <c r="S214" s="53">
        <f>STOCK[[#This Row],[Peso (g)]]*STOCK[[#This Row],[Precio Envío Kilogramo (USD)]]/1000</f>
        <v>2.36</v>
      </c>
      <c r="T214" s="53">
        <f>STOCK[[#This Row],[Costo Unitario (USD)]]+STOCK[[#This Row],[Costo Envío (USD)]]+STOCK[[#This Row],[Comisión 10%]]</f>
        <v>13.6933333333333</v>
      </c>
      <c r="U214" s="53">
        <f>STOCK[[#This Row],[Costo total]]*1.5</f>
        <v>20.54</v>
      </c>
      <c r="V214" s="53">
        <v>25</v>
      </c>
      <c r="W214" s="53">
        <f>STOCK[[#This Row],[Precio Final]]-STOCK[[#This Row],[Costo total]]</f>
        <v>11.3066666666667</v>
      </c>
      <c r="X214" s="53">
        <f>STOCK[[#This Row],[Ganancia Unitaria]]*STOCK[[#This Row],[Salidas]]</f>
        <v>11.3066666666667</v>
      </c>
      <c r="AA214" s="53">
        <f>STOCK[[#This Row],[Costo total]]*STOCK[[#This Row],[Entradas]]</f>
        <v>13.6933333333333</v>
      </c>
      <c r="AB214" s="53">
        <f>STOCK[[#This Row],[Stock Actual]]*STOCK[[#This Row],[Costo total]]</f>
        <v>0</v>
      </c>
    </row>
    <row r="215" s="54" customFormat="1" ht="50" customHeight="1" spans="1:29">
      <c r="A215" s="54" t="s">
        <v>465</v>
      </c>
      <c r="B215" s="66"/>
      <c r="C215" s="54" t="s">
        <v>32</v>
      </c>
      <c r="D215" s="54" t="s">
        <v>216</v>
      </c>
      <c r="E215" s="68" t="s">
        <v>466</v>
      </c>
      <c r="F215" s="54" t="s">
        <v>40</v>
      </c>
      <c r="G215" s="54" t="s">
        <v>36</v>
      </c>
      <c r="H215" s="54">
        <f>STOCK[[#This Row],[Precio Final]]</f>
        <v>25</v>
      </c>
      <c r="I215" s="54">
        <f>STOCK[[#This Row],[Precio Venta Ideal (x1.5)]]</f>
        <v>28.4825</v>
      </c>
      <c r="J215" s="72">
        <v>1</v>
      </c>
      <c r="K215" s="72">
        <f>SUMIFS(VENTAS[Cantidad],VENTAS[Código del producto Vendido],STOCK[[#This Row],[Code]])</f>
        <v>0</v>
      </c>
      <c r="L215" s="72">
        <f>STOCK[[#This Row],[Entradas]]-STOCK[[#This Row],[Salidas]]</f>
        <v>1</v>
      </c>
      <c r="M215" s="54">
        <f>STOCK[[#This Row],[Precio Final]]*10%</f>
        <v>2.5</v>
      </c>
      <c r="N215" s="54">
        <v>249.99</v>
      </c>
      <c r="O215" s="54">
        <v>18</v>
      </c>
      <c r="P215" s="54">
        <v>13.8883333333333</v>
      </c>
      <c r="Q215" s="72">
        <v>325</v>
      </c>
      <c r="R215" s="54">
        <v>8</v>
      </c>
      <c r="S215" s="54">
        <f>STOCK[[#This Row],[Peso (g)]]*STOCK[[#This Row],[Precio Envío Kilogramo (USD)]]/1000</f>
        <v>2.6</v>
      </c>
      <c r="T215" s="53">
        <f>STOCK[[#This Row],[Costo Unitario (USD)]]+STOCK[[#This Row],[Costo Envío (USD)]]+STOCK[[#This Row],[Comisión 10%]]</f>
        <v>18.9883333333333</v>
      </c>
      <c r="U215" s="54">
        <f>STOCK[[#This Row],[Costo total]]*1.5</f>
        <v>28.4825</v>
      </c>
      <c r="V215" s="54">
        <v>25</v>
      </c>
      <c r="W215" s="54">
        <f>STOCK[[#This Row],[Precio Final]]-STOCK[[#This Row],[Costo total]]</f>
        <v>6.0116666666667</v>
      </c>
      <c r="X215" s="54">
        <f>STOCK[[#This Row],[Ganancia Unitaria]]*STOCK[[#This Row],[Salidas]]</f>
        <v>0</v>
      </c>
      <c r="AA215" s="54">
        <f>STOCK[[#This Row],[Costo total]]*STOCK[[#This Row],[Entradas]]</f>
        <v>18.9883333333333</v>
      </c>
      <c r="AB215" s="54">
        <f>STOCK[[#This Row],[Stock Actual]]*STOCK[[#This Row],[Costo total]]</f>
        <v>18.9883333333333</v>
      </c>
      <c r="AC215" s="54">
        <v>20</v>
      </c>
    </row>
    <row r="216" s="53" customFormat="1" ht="50" customHeight="1" spans="1:29">
      <c r="A216" s="53" t="s">
        <v>467</v>
      </c>
      <c r="B216" s="66"/>
      <c r="C216" s="53" t="s">
        <v>32</v>
      </c>
      <c r="D216" s="54" t="s">
        <v>216</v>
      </c>
      <c r="E216" s="67" t="s">
        <v>466</v>
      </c>
      <c r="F216" s="53" t="s">
        <v>49</v>
      </c>
      <c r="G216" s="53" t="s">
        <v>36</v>
      </c>
      <c r="H216" s="53">
        <f>STOCK[[#This Row],[Precio Final]]</f>
        <v>25</v>
      </c>
      <c r="I216" s="53">
        <f>STOCK[[#This Row],[Precio Venta Ideal (x1.5)]]</f>
        <v>28.4825</v>
      </c>
      <c r="J216" s="71">
        <v>1</v>
      </c>
      <c r="K216" s="71">
        <f>SUMIFS(VENTAS[Cantidad],VENTAS[Código del producto Vendido],STOCK[[#This Row],[Code]])</f>
        <v>0</v>
      </c>
      <c r="L216" s="71">
        <f>STOCK[[#This Row],[Entradas]]-STOCK[[#This Row],[Salidas]]</f>
        <v>1</v>
      </c>
      <c r="M216" s="53">
        <f>STOCK[[#This Row],[Precio Final]]*10%</f>
        <v>2.5</v>
      </c>
      <c r="N216" s="53">
        <v>249.99</v>
      </c>
      <c r="O216" s="53">
        <v>18</v>
      </c>
      <c r="P216" s="53">
        <v>13.8883333333333</v>
      </c>
      <c r="Q216" s="71">
        <v>325</v>
      </c>
      <c r="R216" s="53">
        <v>8</v>
      </c>
      <c r="S216" s="53">
        <f>STOCK[[#This Row],[Peso (g)]]*STOCK[[#This Row],[Precio Envío Kilogramo (USD)]]/1000</f>
        <v>2.6</v>
      </c>
      <c r="T216" s="53">
        <f>STOCK[[#This Row],[Costo Unitario (USD)]]+STOCK[[#This Row],[Costo Envío (USD)]]+STOCK[[#This Row],[Comisión 10%]]</f>
        <v>18.9883333333333</v>
      </c>
      <c r="U216" s="53">
        <f>STOCK[[#This Row],[Costo total]]*1.5</f>
        <v>28.4825</v>
      </c>
      <c r="V216" s="53">
        <v>25</v>
      </c>
      <c r="W216" s="53">
        <f>STOCK[[#This Row],[Precio Final]]-STOCK[[#This Row],[Costo total]]</f>
        <v>6.0116666666667</v>
      </c>
      <c r="X216" s="53">
        <f>STOCK[[#This Row],[Ganancia Unitaria]]*STOCK[[#This Row],[Salidas]]</f>
        <v>0</v>
      </c>
      <c r="AA216" s="53">
        <f>STOCK[[#This Row],[Costo total]]*STOCK[[#This Row],[Entradas]]</f>
        <v>18.9883333333333</v>
      </c>
      <c r="AB216" s="53">
        <f>STOCK[[#This Row],[Stock Actual]]*STOCK[[#This Row],[Costo total]]</f>
        <v>18.9883333333333</v>
      </c>
      <c r="AC216" s="53">
        <v>20</v>
      </c>
    </row>
    <row r="217" s="54" customFormat="1" ht="50" customHeight="1" spans="1:29">
      <c r="A217" s="54" t="s">
        <v>468</v>
      </c>
      <c r="B217" s="66"/>
      <c r="C217" s="54" t="s">
        <v>32</v>
      </c>
      <c r="D217" s="54" t="s">
        <v>469</v>
      </c>
      <c r="E217" s="68" t="s">
        <v>470</v>
      </c>
      <c r="F217" s="54" t="s">
        <v>471</v>
      </c>
      <c r="G217" s="54" t="s">
        <v>36</v>
      </c>
      <c r="H217" s="54">
        <f>STOCK[[#This Row],[Precio Final]]</f>
        <v>35</v>
      </c>
      <c r="I217" s="54">
        <f>STOCK[[#This Row],[Precio Venta Ideal (x1.5)]]</f>
        <v>30.5908333333334</v>
      </c>
      <c r="J217" s="72">
        <v>1</v>
      </c>
      <c r="K217" s="72">
        <f>SUMIFS(VENTAS[Cantidad],VENTAS[Código del producto Vendido],STOCK[[#This Row],[Code]])</f>
        <v>0</v>
      </c>
      <c r="L217" s="72">
        <f>STOCK[[#This Row],[Entradas]]-STOCK[[#This Row],[Salidas]]</f>
        <v>1</v>
      </c>
      <c r="M217" s="54">
        <f>STOCK[[#This Row],[Precio Final]]*10%</f>
        <v>3.5</v>
      </c>
      <c r="N217" s="54">
        <v>239.29</v>
      </c>
      <c r="O217" s="54">
        <v>18</v>
      </c>
      <c r="P217" s="54">
        <v>13.2938888888889</v>
      </c>
      <c r="Q217" s="72">
        <v>450</v>
      </c>
      <c r="R217" s="54">
        <v>8</v>
      </c>
      <c r="S217" s="54">
        <f>STOCK[[#This Row],[Peso (g)]]*STOCK[[#This Row],[Precio Envío Kilogramo (USD)]]/1000</f>
        <v>3.6</v>
      </c>
      <c r="T217" s="53">
        <f>STOCK[[#This Row],[Costo Unitario (USD)]]+STOCK[[#This Row],[Costo Envío (USD)]]+STOCK[[#This Row],[Comisión 10%]]</f>
        <v>20.3938888888889</v>
      </c>
      <c r="U217" s="54">
        <f>STOCK[[#This Row],[Costo total]]*1.5</f>
        <v>30.5908333333334</v>
      </c>
      <c r="V217" s="54">
        <v>35</v>
      </c>
      <c r="W217" s="54">
        <f>STOCK[[#This Row],[Precio Final]]-STOCK[[#This Row],[Costo total]]</f>
        <v>14.6061111111111</v>
      </c>
      <c r="X217" s="54">
        <f>STOCK[[#This Row],[Ganancia Unitaria]]*STOCK[[#This Row],[Salidas]]</f>
        <v>0</v>
      </c>
      <c r="AA217" s="54">
        <f>STOCK[[#This Row],[Costo total]]*STOCK[[#This Row],[Entradas]]</f>
        <v>20.3938888888889</v>
      </c>
      <c r="AB217" s="54">
        <f>STOCK[[#This Row],[Stock Actual]]*STOCK[[#This Row],[Costo total]]</f>
        <v>20.3938888888889</v>
      </c>
      <c r="AC217" s="54">
        <v>25</v>
      </c>
    </row>
    <row r="218" s="53" customFormat="1" ht="50" customHeight="1" spans="1:29">
      <c r="A218" s="53" t="s">
        <v>472</v>
      </c>
      <c r="B218" s="66"/>
      <c r="C218" s="53" t="s">
        <v>32</v>
      </c>
      <c r="D218" s="54" t="s">
        <v>469</v>
      </c>
      <c r="E218" s="67" t="s">
        <v>470</v>
      </c>
      <c r="F218" s="53" t="s">
        <v>92</v>
      </c>
      <c r="G218" s="53" t="s">
        <v>36</v>
      </c>
      <c r="H218" s="53">
        <f>STOCK[[#This Row],[Precio Final]]</f>
        <v>35</v>
      </c>
      <c r="I218" s="53">
        <f>STOCK[[#This Row],[Precio Venta Ideal (x1.5)]]</f>
        <v>30.5908333333334</v>
      </c>
      <c r="J218" s="71">
        <v>1</v>
      </c>
      <c r="K218" s="71">
        <f>SUMIFS(VENTAS[Cantidad],VENTAS[Código del producto Vendido],STOCK[[#This Row],[Code]])</f>
        <v>0</v>
      </c>
      <c r="L218" s="71">
        <f>STOCK[[#This Row],[Entradas]]-STOCK[[#This Row],[Salidas]]</f>
        <v>1</v>
      </c>
      <c r="M218" s="53">
        <f>STOCK[[#This Row],[Precio Final]]*10%</f>
        <v>3.5</v>
      </c>
      <c r="N218" s="53">
        <v>239.29</v>
      </c>
      <c r="O218" s="53">
        <v>18</v>
      </c>
      <c r="P218" s="53">
        <v>13.2938888888889</v>
      </c>
      <c r="Q218" s="71">
        <v>450</v>
      </c>
      <c r="R218" s="53">
        <v>8</v>
      </c>
      <c r="S218" s="53">
        <f>STOCK[[#This Row],[Peso (g)]]*STOCK[[#This Row],[Precio Envío Kilogramo (USD)]]/1000</f>
        <v>3.6</v>
      </c>
      <c r="T218" s="53">
        <f>STOCK[[#This Row],[Costo Unitario (USD)]]+STOCK[[#This Row],[Costo Envío (USD)]]+STOCK[[#This Row],[Comisión 10%]]</f>
        <v>20.3938888888889</v>
      </c>
      <c r="U218" s="53">
        <f>STOCK[[#This Row],[Costo total]]*1.5</f>
        <v>30.5908333333334</v>
      </c>
      <c r="V218" s="53">
        <v>35</v>
      </c>
      <c r="W218" s="53">
        <f>STOCK[[#This Row],[Precio Final]]-STOCK[[#This Row],[Costo total]]</f>
        <v>14.6061111111111</v>
      </c>
      <c r="X218" s="53">
        <f>STOCK[[#This Row],[Ganancia Unitaria]]*STOCK[[#This Row],[Salidas]]</f>
        <v>0</v>
      </c>
      <c r="AA218" s="53">
        <f>STOCK[[#This Row],[Costo total]]*STOCK[[#This Row],[Entradas]]</f>
        <v>20.3938888888889</v>
      </c>
      <c r="AB218" s="53">
        <f>STOCK[[#This Row],[Stock Actual]]*STOCK[[#This Row],[Costo total]]</f>
        <v>20.3938888888889</v>
      </c>
      <c r="AC218" s="53">
        <v>25</v>
      </c>
    </row>
    <row r="219" s="54" customFormat="1" ht="50" customHeight="1" spans="1:28">
      <c r="A219" s="54" t="s">
        <v>473</v>
      </c>
      <c r="B219" s="66"/>
      <c r="C219" s="54" t="s">
        <v>32</v>
      </c>
      <c r="D219" s="54" t="s">
        <v>44</v>
      </c>
      <c r="E219" s="68" t="s">
        <v>474</v>
      </c>
      <c r="G219" s="54" t="s">
        <v>36</v>
      </c>
      <c r="H219" s="54">
        <f>STOCK[[#This Row],[Precio Final]]</f>
        <v>25</v>
      </c>
      <c r="I219" s="54">
        <f>STOCK[[#This Row],[Precio Venta Ideal (x1.5)]]</f>
        <v>29.6408333333334</v>
      </c>
      <c r="J219" s="72">
        <v>1</v>
      </c>
      <c r="K219" s="72">
        <f>SUMIFS(VENTAS[Cantidad],VENTAS[Código del producto Vendido],STOCK[[#This Row],[Code]])</f>
        <v>1</v>
      </c>
      <c r="L219" s="72">
        <f>STOCK[[#This Row],[Entradas]]-STOCK[[#This Row],[Salidas]]</f>
        <v>0</v>
      </c>
      <c r="M219" s="54">
        <f>STOCK[[#This Row],[Precio Final]]*10%</f>
        <v>2.5</v>
      </c>
      <c r="N219" s="54">
        <v>267.49</v>
      </c>
      <c r="O219" s="54">
        <v>18</v>
      </c>
      <c r="P219" s="54">
        <v>14.8605555555556</v>
      </c>
      <c r="Q219" s="72">
        <v>300</v>
      </c>
      <c r="R219" s="54">
        <v>8</v>
      </c>
      <c r="S219" s="54">
        <f>STOCK[[#This Row],[Peso (g)]]*STOCK[[#This Row],[Precio Envío Kilogramo (USD)]]/1000</f>
        <v>2.4</v>
      </c>
      <c r="T219" s="53">
        <f>STOCK[[#This Row],[Costo Unitario (USD)]]+STOCK[[#This Row],[Costo Envío (USD)]]+STOCK[[#This Row],[Comisión 10%]]</f>
        <v>19.7605555555556</v>
      </c>
      <c r="U219" s="54">
        <f>STOCK[[#This Row],[Costo total]]*1.5</f>
        <v>29.6408333333334</v>
      </c>
      <c r="V219" s="54">
        <v>25</v>
      </c>
      <c r="W219" s="54">
        <f>STOCK[[#This Row],[Precio Final]]-STOCK[[#This Row],[Costo total]]</f>
        <v>5.2394444444444</v>
      </c>
      <c r="X219" s="54">
        <f>STOCK[[#This Row],[Ganancia Unitaria]]*STOCK[[#This Row],[Salidas]]</f>
        <v>5.2394444444444</v>
      </c>
      <c r="AA219" s="54">
        <f>STOCK[[#This Row],[Costo total]]*STOCK[[#This Row],[Entradas]]</f>
        <v>19.7605555555556</v>
      </c>
      <c r="AB219" s="54">
        <f>STOCK[[#This Row],[Stock Actual]]*STOCK[[#This Row],[Costo total]]</f>
        <v>0</v>
      </c>
    </row>
    <row r="220" s="53" customFormat="1" ht="50" customHeight="1" spans="1:28">
      <c r="A220" s="53" t="s">
        <v>475</v>
      </c>
      <c r="B220" s="66"/>
      <c r="C220" s="53" t="s">
        <v>32</v>
      </c>
      <c r="D220" s="53" t="s">
        <v>38</v>
      </c>
      <c r="E220" s="67" t="s">
        <v>476</v>
      </c>
      <c r="F220" s="53" t="s">
        <v>46</v>
      </c>
      <c r="G220" s="53" t="s">
        <v>36</v>
      </c>
      <c r="H220" s="53">
        <f>STOCK[[#This Row],[Precio Final]]</f>
        <v>20</v>
      </c>
      <c r="I220" s="53">
        <f>STOCK[[#This Row],[Precio Venta Ideal (x1.5)]]</f>
        <v>19.5016666666667</v>
      </c>
      <c r="J220" s="71">
        <v>1</v>
      </c>
      <c r="K220" s="71">
        <f>SUMIFS(VENTAS[Cantidad],VENTAS[Código del producto Vendido],STOCK[[#This Row],[Code]])</f>
        <v>1</v>
      </c>
      <c r="L220" s="71">
        <f>STOCK[[#This Row],[Entradas]]-STOCK[[#This Row],[Salidas]]</f>
        <v>0</v>
      </c>
      <c r="M220" s="53">
        <f>STOCK[[#This Row],[Precio Final]]*10%</f>
        <v>2</v>
      </c>
      <c r="N220" s="53">
        <v>198.02</v>
      </c>
      <c r="O220" s="53">
        <v>18</v>
      </c>
      <c r="P220" s="53">
        <v>11.0011111111111</v>
      </c>
      <c r="Q220" s="71"/>
      <c r="S220" s="53">
        <f>STOCK[[#This Row],[Peso (g)]]*STOCK[[#This Row],[Precio Envío Kilogramo (USD)]]/1000</f>
        <v>0</v>
      </c>
      <c r="T220" s="53">
        <f>STOCK[[#This Row],[Costo Unitario (USD)]]+STOCK[[#This Row],[Costo Envío (USD)]]+STOCK[[#This Row],[Comisión 10%]]</f>
        <v>13.0011111111111</v>
      </c>
      <c r="U220" s="53">
        <f>STOCK[[#This Row],[Costo total]]*1.5</f>
        <v>19.5016666666667</v>
      </c>
      <c r="V220" s="53">
        <v>20</v>
      </c>
      <c r="W220" s="53">
        <f>STOCK[[#This Row],[Precio Final]]-STOCK[[#This Row],[Costo total]]</f>
        <v>6.9988888888889</v>
      </c>
      <c r="X220" s="53">
        <f>STOCK[[#This Row],[Ganancia Unitaria]]*STOCK[[#This Row],[Salidas]]</f>
        <v>6.9988888888889</v>
      </c>
      <c r="AA220" s="53">
        <f>STOCK[[#This Row],[Costo total]]*STOCK[[#This Row],[Entradas]]</f>
        <v>13.0011111111111</v>
      </c>
      <c r="AB220" s="53">
        <f>STOCK[[#This Row],[Stock Actual]]*STOCK[[#This Row],[Costo total]]</f>
        <v>0</v>
      </c>
    </row>
    <row r="221" s="54" customFormat="1" ht="50" customHeight="1" spans="1:28">
      <c r="A221" s="54" t="s">
        <v>477</v>
      </c>
      <c r="B221" s="66"/>
      <c r="C221" s="54" t="s">
        <v>32</v>
      </c>
      <c r="D221" s="54" t="s">
        <v>44</v>
      </c>
      <c r="E221" s="68" t="s">
        <v>478</v>
      </c>
      <c r="F221" s="54" t="s">
        <v>40</v>
      </c>
      <c r="G221" s="54" t="s">
        <v>36</v>
      </c>
      <c r="H221" s="54">
        <f>STOCK[[#This Row],[Precio Final]]</f>
        <v>18</v>
      </c>
      <c r="I221" s="54">
        <f>STOCK[[#This Row],[Precio Venta Ideal (x1.5)]]</f>
        <v>19.675</v>
      </c>
      <c r="J221" s="72">
        <v>1</v>
      </c>
      <c r="K221" s="72">
        <f>SUMIFS(VENTAS[Cantidad],VENTAS[Código del producto Vendido],STOCK[[#This Row],[Code]])</f>
        <v>1</v>
      </c>
      <c r="L221" s="72">
        <f>STOCK[[#This Row],[Entradas]]-STOCK[[#This Row],[Salidas]]</f>
        <v>0</v>
      </c>
      <c r="M221" s="54">
        <f>STOCK[[#This Row],[Precio Final]]*10%</f>
        <v>1.8</v>
      </c>
      <c r="N221" s="54">
        <v>160.5</v>
      </c>
      <c r="O221" s="54">
        <v>18</v>
      </c>
      <c r="P221" s="54">
        <v>8.91666666666667</v>
      </c>
      <c r="Q221" s="72">
        <v>300</v>
      </c>
      <c r="R221" s="54">
        <v>8</v>
      </c>
      <c r="S221" s="54">
        <f>STOCK[[#This Row],[Peso (g)]]*STOCK[[#This Row],[Precio Envío Kilogramo (USD)]]/1000</f>
        <v>2.4</v>
      </c>
      <c r="T221" s="53">
        <f>STOCK[[#This Row],[Costo Unitario (USD)]]+STOCK[[#This Row],[Costo Envío (USD)]]+STOCK[[#This Row],[Comisión 10%]]</f>
        <v>13.1166666666667</v>
      </c>
      <c r="U221" s="54">
        <f>STOCK[[#This Row],[Costo total]]*1.5</f>
        <v>19.675</v>
      </c>
      <c r="V221" s="54">
        <v>18</v>
      </c>
      <c r="W221" s="54">
        <f>STOCK[[#This Row],[Precio Final]]-STOCK[[#This Row],[Costo total]]</f>
        <v>4.88333333333333</v>
      </c>
      <c r="X221" s="54">
        <f>STOCK[[#This Row],[Ganancia Unitaria]]*STOCK[[#This Row],[Salidas]]</f>
        <v>4.88333333333333</v>
      </c>
      <c r="AA221" s="54">
        <f>STOCK[[#This Row],[Costo total]]*STOCK[[#This Row],[Entradas]]</f>
        <v>13.1166666666667</v>
      </c>
      <c r="AB221" s="54">
        <f>STOCK[[#This Row],[Stock Actual]]*STOCK[[#This Row],[Costo total]]</f>
        <v>0</v>
      </c>
    </row>
    <row r="222" s="53" customFormat="1" ht="50" customHeight="1" spans="1:28">
      <c r="A222" s="53" t="s">
        <v>479</v>
      </c>
      <c r="B222" s="66"/>
      <c r="C222" s="53" t="s">
        <v>32</v>
      </c>
      <c r="D222" s="53" t="s">
        <v>351</v>
      </c>
      <c r="E222" s="67" t="s">
        <v>480</v>
      </c>
      <c r="F222" s="53" t="s">
        <v>388</v>
      </c>
      <c r="G222" s="53" t="s">
        <v>36</v>
      </c>
      <c r="H222" s="53">
        <f>STOCK[[#This Row],[Precio Final]]</f>
        <v>15</v>
      </c>
      <c r="I222" s="53">
        <f>STOCK[[#This Row],[Precio Venta Ideal (x1.5)]]</f>
        <v>11.7566666666667</v>
      </c>
      <c r="J222" s="71">
        <v>2</v>
      </c>
      <c r="K222" s="71">
        <f>SUMIFS(VENTAS[Cantidad],VENTAS[Código del producto Vendido],STOCK[[#This Row],[Code]])</f>
        <v>2</v>
      </c>
      <c r="L222" s="71">
        <f>STOCK[[#This Row],[Entradas]]-STOCK[[#This Row],[Salidas]]</f>
        <v>0</v>
      </c>
      <c r="M222" s="53">
        <f>STOCK[[#This Row],[Precio Final]]*10%</f>
        <v>1.5</v>
      </c>
      <c r="N222" s="53">
        <v>85.28</v>
      </c>
      <c r="O222" s="53">
        <v>18</v>
      </c>
      <c r="P222" s="53">
        <v>4.73777777777778</v>
      </c>
      <c r="Q222" s="71">
        <v>200</v>
      </c>
      <c r="R222" s="53">
        <v>8</v>
      </c>
      <c r="S222" s="53">
        <f>STOCK[[#This Row],[Peso (g)]]*STOCK[[#This Row],[Precio Envío Kilogramo (USD)]]/1000</f>
        <v>1.6</v>
      </c>
      <c r="T222" s="53">
        <f>STOCK[[#This Row],[Costo Unitario (USD)]]+STOCK[[#This Row],[Costo Envío (USD)]]+STOCK[[#This Row],[Comisión 10%]]</f>
        <v>7.83777777777778</v>
      </c>
      <c r="U222" s="53">
        <f>STOCK[[#This Row],[Costo total]]*1.5</f>
        <v>11.7566666666667</v>
      </c>
      <c r="V222" s="53">
        <v>15</v>
      </c>
      <c r="W222" s="53">
        <f>STOCK[[#This Row],[Precio Final]]-STOCK[[#This Row],[Costo total]]</f>
        <v>7.16222222222222</v>
      </c>
      <c r="X222" s="53">
        <f>STOCK[[#This Row],[Ganancia Unitaria]]*STOCK[[#This Row],[Salidas]]</f>
        <v>14.3244444444444</v>
      </c>
      <c r="AA222" s="53">
        <f>STOCK[[#This Row],[Costo total]]*STOCK[[#This Row],[Entradas]]</f>
        <v>15.6755555555556</v>
      </c>
      <c r="AB222" s="53">
        <f>STOCK[[#This Row],[Stock Actual]]*STOCK[[#This Row],[Costo total]]</f>
        <v>0</v>
      </c>
    </row>
    <row r="223" s="54" customFormat="1" ht="50" customHeight="1" spans="1:28">
      <c r="A223" s="54" t="s">
        <v>481</v>
      </c>
      <c r="B223" s="66"/>
      <c r="C223" s="54" t="s">
        <v>32</v>
      </c>
      <c r="D223" s="54" t="s">
        <v>38</v>
      </c>
      <c r="E223" s="68" t="s">
        <v>482</v>
      </c>
      <c r="F223" s="54" t="s">
        <v>62</v>
      </c>
      <c r="G223" s="54" t="s">
        <v>36</v>
      </c>
      <c r="H223" s="54">
        <f>STOCK[[#This Row],[Precio Final]]</f>
        <v>15</v>
      </c>
      <c r="I223" s="54">
        <f>STOCK[[#This Row],[Precio Venta Ideal (x1.5)]]</f>
        <v>15.4308333333333</v>
      </c>
      <c r="J223" s="72">
        <v>1</v>
      </c>
      <c r="K223" s="72">
        <f>SUMIFS(VENTAS[Cantidad],VENTAS[Código del producto Vendido],STOCK[[#This Row],[Code]])</f>
        <v>1</v>
      </c>
      <c r="L223" s="72">
        <f>STOCK[[#This Row],[Entradas]]-STOCK[[#This Row],[Salidas]]</f>
        <v>0</v>
      </c>
      <c r="M223" s="54">
        <f>STOCK[[#This Row],[Precio Final]]*10%</f>
        <v>1.5</v>
      </c>
      <c r="N223" s="54">
        <v>129.37</v>
      </c>
      <c r="O223" s="54">
        <v>18</v>
      </c>
      <c r="P223" s="54">
        <v>7.18722222222222</v>
      </c>
      <c r="Q223" s="72">
        <v>200</v>
      </c>
      <c r="R223" s="54">
        <v>8</v>
      </c>
      <c r="S223" s="54">
        <f>STOCK[[#This Row],[Peso (g)]]*STOCK[[#This Row],[Precio Envío Kilogramo (USD)]]/1000</f>
        <v>1.6</v>
      </c>
      <c r="T223" s="53">
        <f>STOCK[[#This Row],[Costo Unitario (USD)]]+STOCK[[#This Row],[Costo Envío (USD)]]+STOCK[[#This Row],[Comisión 10%]]</f>
        <v>10.2872222222222</v>
      </c>
      <c r="U223" s="54">
        <f>STOCK[[#This Row],[Costo total]]*1.5</f>
        <v>15.4308333333333</v>
      </c>
      <c r="V223" s="54">
        <v>15</v>
      </c>
      <c r="W223" s="54">
        <f>STOCK[[#This Row],[Precio Final]]-STOCK[[#This Row],[Costo total]]</f>
        <v>4.71277777777778</v>
      </c>
      <c r="X223" s="54">
        <f>STOCK[[#This Row],[Ganancia Unitaria]]*STOCK[[#This Row],[Salidas]]</f>
        <v>4.71277777777778</v>
      </c>
      <c r="AA223" s="54">
        <f>STOCK[[#This Row],[Costo total]]*STOCK[[#This Row],[Entradas]]</f>
        <v>10.2872222222222</v>
      </c>
      <c r="AB223" s="54">
        <f>STOCK[[#This Row],[Stock Actual]]*STOCK[[#This Row],[Costo total]]</f>
        <v>0</v>
      </c>
    </row>
    <row r="224" s="53" customFormat="1" ht="50" customHeight="1" spans="1:29">
      <c r="A224" s="53" t="s">
        <v>483</v>
      </c>
      <c r="B224" s="66"/>
      <c r="C224" s="53" t="s">
        <v>32</v>
      </c>
      <c r="D224" s="53" t="s">
        <v>484</v>
      </c>
      <c r="E224" s="67" t="s">
        <v>482</v>
      </c>
      <c r="F224" s="53" t="s">
        <v>49</v>
      </c>
      <c r="G224" s="53" t="s">
        <v>36</v>
      </c>
      <c r="H224" s="53">
        <f>STOCK[[#This Row],[Precio Final]]</f>
        <v>15</v>
      </c>
      <c r="I224" s="53">
        <f>STOCK[[#This Row],[Precio Venta Ideal (x1.5)]]</f>
        <v>15.4308333333333</v>
      </c>
      <c r="J224" s="71">
        <v>2</v>
      </c>
      <c r="K224" s="71">
        <f>SUMIFS(VENTAS[Cantidad],VENTAS[Código del producto Vendido],STOCK[[#This Row],[Code]])</f>
        <v>2</v>
      </c>
      <c r="L224" s="71">
        <f>STOCK[[#This Row],[Entradas]]-STOCK[[#This Row],[Salidas]]</f>
        <v>0</v>
      </c>
      <c r="M224" s="53">
        <f>STOCK[[#This Row],[Precio Final]]*10%</f>
        <v>1.5</v>
      </c>
      <c r="N224" s="53">
        <v>129.37</v>
      </c>
      <c r="O224" s="53">
        <v>18</v>
      </c>
      <c r="P224" s="53">
        <v>7.18722222222222</v>
      </c>
      <c r="Q224" s="71">
        <v>200</v>
      </c>
      <c r="R224" s="53">
        <v>8</v>
      </c>
      <c r="S224" s="53">
        <f>STOCK[[#This Row],[Peso (g)]]*STOCK[[#This Row],[Precio Envío Kilogramo (USD)]]/1000</f>
        <v>1.6</v>
      </c>
      <c r="T224" s="53">
        <f>STOCK[[#This Row],[Costo Unitario (USD)]]+STOCK[[#This Row],[Costo Envío (USD)]]+STOCK[[#This Row],[Comisión 10%]]</f>
        <v>10.2872222222222</v>
      </c>
      <c r="U224" s="53">
        <f>STOCK[[#This Row],[Costo total]]*1.5</f>
        <v>15.4308333333333</v>
      </c>
      <c r="V224" s="53">
        <v>15</v>
      </c>
      <c r="W224" s="53">
        <f>STOCK[[#This Row],[Precio Final]]-STOCK[[#This Row],[Costo total]]</f>
        <v>4.71277777777778</v>
      </c>
      <c r="X224" s="53">
        <f>STOCK[[#This Row],[Ganancia Unitaria]]*STOCK[[#This Row],[Salidas]]</f>
        <v>9.42555555555556</v>
      </c>
      <c r="AA224" s="53">
        <f>STOCK[[#This Row],[Costo total]]*STOCK[[#This Row],[Entradas]]</f>
        <v>20.5744444444444</v>
      </c>
      <c r="AB224" s="53">
        <f>STOCK[[#This Row],[Stock Actual]]*STOCK[[#This Row],[Costo total]]</f>
        <v>0</v>
      </c>
      <c r="AC224" s="53">
        <v>12</v>
      </c>
    </row>
    <row r="225" s="54" customFormat="1" ht="50" customHeight="1" spans="1:28">
      <c r="A225" s="54" t="s">
        <v>485</v>
      </c>
      <c r="B225" s="66"/>
      <c r="C225" s="54" t="s">
        <v>32</v>
      </c>
      <c r="D225" s="54" t="s">
        <v>351</v>
      </c>
      <c r="E225" s="68" t="s">
        <v>486</v>
      </c>
      <c r="F225" s="54" t="s">
        <v>388</v>
      </c>
      <c r="G225" s="54" t="s">
        <v>36</v>
      </c>
      <c r="H225" s="54">
        <f>STOCK[[#This Row],[Precio Final]]</f>
        <v>15</v>
      </c>
      <c r="I225" s="54">
        <f>STOCK[[#This Row],[Precio Venta Ideal (x1.5)]]</f>
        <v>15.5466666666667</v>
      </c>
      <c r="J225" s="72">
        <v>2</v>
      </c>
      <c r="K225" s="72">
        <f>SUMIFS(VENTAS[Cantidad],VENTAS[Código del producto Vendido],STOCK[[#This Row],[Code]])</f>
        <v>2</v>
      </c>
      <c r="L225" s="72">
        <f>STOCK[[#This Row],[Entradas]]-STOCK[[#This Row],[Salidas]]</f>
        <v>0</v>
      </c>
      <c r="M225" s="54">
        <f>STOCK[[#This Row],[Precio Final]]*10%</f>
        <v>1.5</v>
      </c>
      <c r="N225" s="54">
        <v>116.36</v>
      </c>
      <c r="O225" s="54">
        <v>18</v>
      </c>
      <c r="P225" s="54">
        <v>6.46444444444444</v>
      </c>
      <c r="Q225" s="72">
        <v>300</v>
      </c>
      <c r="R225" s="54">
        <v>8</v>
      </c>
      <c r="S225" s="54">
        <f>STOCK[[#This Row],[Peso (g)]]*STOCK[[#This Row],[Precio Envío Kilogramo (USD)]]/1000</f>
        <v>2.4</v>
      </c>
      <c r="T225" s="53">
        <f>STOCK[[#This Row],[Costo Unitario (USD)]]+STOCK[[#This Row],[Costo Envío (USD)]]+STOCK[[#This Row],[Comisión 10%]]</f>
        <v>10.3644444444444</v>
      </c>
      <c r="U225" s="54">
        <f>STOCK[[#This Row],[Costo total]]*1.5</f>
        <v>15.5466666666667</v>
      </c>
      <c r="V225" s="54">
        <v>15</v>
      </c>
      <c r="W225" s="54">
        <f>STOCK[[#This Row],[Precio Final]]-STOCK[[#This Row],[Costo total]]</f>
        <v>4.63555555555556</v>
      </c>
      <c r="X225" s="54">
        <f>STOCK[[#This Row],[Ganancia Unitaria]]*STOCK[[#This Row],[Salidas]]</f>
        <v>9.27111111111112</v>
      </c>
      <c r="AA225" s="54">
        <f>STOCK[[#This Row],[Costo total]]*STOCK[[#This Row],[Entradas]]</f>
        <v>20.7288888888889</v>
      </c>
      <c r="AB225" s="54">
        <f>STOCK[[#This Row],[Stock Actual]]*STOCK[[#This Row],[Costo total]]</f>
        <v>0</v>
      </c>
    </row>
    <row r="226" s="53" customFormat="1" ht="50" customHeight="1" spans="1:28">
      <c r="A226" s="53" t="s">
        <v>487</v>
      </c>
      <c r="B226" s="66"/>
      <c r="C226" s="53" t="s">
        <v>32</v>
      </c>
      <c r="D226" s="53" t="s">
        <v>488</v>
      </c>
      <c r="E226" s="67" t="s">
        <v>489</v>
      </c>
      <c r="F226" s="53" t="s">
        <v>490</v>
      </c>
      <c r="G226" s="53" t="s">
        <v>36</v>
      </c>
      <c r="H226" s="53">
        <f>STOCK[[#This Row],[Precio Final]]</f>
        <v>12</v>
      </c>
      <c r="I226" s="53">
        <f>STOCK[[#This Row],[Precio Venta Ideal (x1.5)]]</f>
        <v>15.2166666666667</v>
      </c>
      <c r="J226" s="71">
        <v>2</v>
      </c>
      <c r="K226" s="71">
        <f>SUMIFS(VENTAS[Cantidad],VENTAS[Código del producto Vendido],STOCK[[#This Row],[Code]])</f>
        <v>2</v>
      </c>
      <c r="L226" s="71">
        <f>STOCK[[#This Row],[Entradas]]-STOCK[[#This Row],[Salidas]]</f>
        <v>0</v>
      </c>
      <c r="M226" s="53">
        <f>STOCK[[#This Row],[Precio Final]]*10%</f>
        <v>1.2</v>
      </c>
      <c r="N226" s="53">
        <v>117.8</v>
      </c>
      <c r="O226" s="53">
        <v>18</v>
      </c>
      <c r="P226" s="53">
        <v>6.54444444444444</v>
      </c>
      <c r="Q226" s="71">
        <v>300</v>
      </c>
      <c r="R226" s="53">
        <v>8</v>
      </c>
      <c r="S226" s="53">
        <f>STOCK[[#This Row],[Peso (g)]]*STOCK[[#This Row],[Precio Envío Kilogramo (USD)]]/1000</f>
        <v>2.4</v>
      </c>
      <c r="T226" s="53">
        <f>STOCK[[#This Row],[Costo Unitario (USD)]]+STOCK[[#This Row],[Costo Envío (USD)]]+STOCK[[#This Row],[Comisión 10%]]</f>
        <v>10.1444444444444</v>
      </c>
      <c r="U226" s="53">
        <f>STOCK[[#This Row],[Costo total]]*1.5</f>
        <v>15.2166666666667</v>
      </c>
      <c r="V226" s="53">
        <v>12</v>
      </c>
      <c r="W226" s="53">
        <f>STOCK[[#This Row],[Precio Final]]-STOCK[[#This Row],[Costo total]]</f>
        <v>1.85555555555556</v>
      </c>
      <c r="X226" s="53">
        <f>STOCK[[#This Row],[Ganancia Unitaria]]*STOCK[[#This Row],[Salidas]]</f>
        <v>3.71111111111112</v>
      </c>
      <c r="AA226" s="53">
        <f>STOCK[[#This Row],[Costo total]]*STOCK[[#This Row],[Entradas]]</f>
        <v>20.2888888888889</v>
      </c>
      <c r="AB226" s="53">
        <f>STOCK[[#This Row],[Stock Actual]]*STOCK[[#This Row],[Costo total]]</f>
        <v>0</v>
      </c>
    </row>
    <row r="227" s="54" customFormat="1" ht="50" customHeight="1" spans="1:28">
      <c r="A227" s="54" t="s">
        <v>491</v>
      </c>
      <c r="B227" s="66"/>
      <c r="C227" s="54" t="s">
        <v>32</v>
      </c>
      <c r="D227" s="54" t="s">
        <v>351</v>
      </c>
      <c r="E227" s="68" t="s">
        <v>492</v>
      </c>
      <c r="F227" s="54" t="s">
        <v>388</v>
      </c>
      <c r="G227" s="54" t="s">
        <v>36</v>
      </c>
      <c r="H227" s="54">
        <f>STOCK[[#This Row],[Precio Final]]</f>
        <v>10</v>
      </c>
      <c r="I227" s="54">
        <f>STOCK[[#This Row],[Precio Venta Ideal (x1.5)]]</f>
        <v>9.19583333333334</v>
      </c>
      <c r="J227" s="72">
        <v>2</v>
      </c>
      <c r="K227" s="72">
        <f>SUMIFS(VENTAS[Cantidad],VENTAS[Código del producto Vendido],STOCK[[#This Row],[Code]])</f>
        <v>2</v>
      </c>
      <c r="L227" s="72">
        <f>STOCK[[#This Row],[Entradas]]-STOCK[[#This Row],[Salidas]]</f>
        <v>0</v>
      </c>
      <c r="M227" s="54">
        <f>STOCK[[#This Row],[Precio Final]]*10%</f>
        <v>1</v>
      </c>
      <c r="N227" s="54">
        <v>49.15</v>
      </c>
      <c r="O227" s="54">
        <v>18</v>
      </c>
      <c r="P227" s="54">
        <v>2.73055555555556</v>
      </c>
      <c r="Q227" s="72">
        <v>300</v>
      </c>
      <c r="R227" s="54">
        <v>8</v>
      </c>
      <c r="S227" s="54">
        <f>STOCK[[#This Row],[Peso (g)]]*STOCK[[#This Row],[Precio Envío Kilogramo (USD)]]/1000</f>
        <v>2.4</v>
      </c>
      <c r="T227" s="53">
        <f>STOCK[[#This Row],[Costo Unitario (USD)]]+STOCK[[#This Row],[Costo Envío (USD)]]+STOCK[[#This Row],[Comisión 10%]]</f>
        <v>6.13055555555556</v>
      </c>
      <c r="U227" s="54">
        <f>STOCK[[#This Row],[Costo total]]*1.5</f>
        <v>9.19583333333334</v>
      </c>
      <c r="V227" s="54">
        <v>10</v>
      </c>
      <c r="W227" s="54">
        <f>STOCK[[#This Row],[Precio Final]]-STOCK[[#This Row],[Costo total]]</f>
        <v>3.86944444444444</v>
      </c>
      <c r="X227" s="54">
        <f>STOCK[[#This Row],[Ganancia Unitaria]]*STOCK[[#This Row],[Salidas]]</f>
        <v>7.73888888888888</v>
      </c>
      <c r="AA227" s="54">
        <f>STOCK[[#This Row],[Costo total]]*STOCK[[#This Row],[Entradas]]</f>
        <v>12.2611111111111</v>
      </c>
      <c r="AB227" s="54">
        <f>STOCK[[#This Row],[Stock Actual]]*STOCK[[#This Row],[Costo total]]</f>
        <v>0</v>
      </c>
    </row>
    <row r="228" s="53" customFormat="1" ht="50" customHeight="1" spans="1:28">
      <c r="A228" s="53" t="s">
        <v>493</v>
      </c>
      <c r="B228" s="66"/>
      <c r="C228" s="53" t="s">
        <v>32</v>
      </c>
      <c r="D228" s="54" t="s">
        <v>38</v>
      </c>
      <c r="E228" s="67" t="s">
        <v>494</v>
      </c>
      <c r="F228" s="53" t="s">
        <v>211</v>
      </c>
      <c r="G228" s="53" t="s">
        <v>36</v>
      </c>
      <c r="H228" s="53">
        <f>STOCK[[#This Row],[Precio Final]]</f>
        <v>25</v>
      </c>
      <c r="I228" s="53">
        <f>STOCK[[#This Row],[Precio Venta Ideal (x1.5)]]</f>
        <v>22.4708333333334</v>
      </c>
      <c r="J228" s="71">
        <v>2</v>
      </c>
      <c r="K228" s="71">
        <f>SUMIFS(VENTAS[Cantidad],VENTAS[Código del producto Vendido],STOCK[[#This Row],[Code]])</f>
        <v>2</v>
      </c>
      <c r="L228" s="71">
        <f>STOCK[[#This Row],[Entradas]]-STOCK[[#This Row],[Salidas]]</f>
        <v>0</v>
      </c>
      <c r="M228" s="53">
        <f>STOCK[[#This Row],[Precio Final]]*10%</f>
        <v>2.5</v>
      </c>
      <c r="N228" s="53">
        <v>195.85</v>
      </c>
      <c r="O228" s="53">
        <v>18</v>
      </c>
      <c r="P228" s="53">
        <v>10.8805555555556</v>
      </c>
      <c r="Q228" s="71">
        <v>200</v>
      </c>
      <c r="R228" s="53">
        <v>8</v>
      </c>
      <c r="S228" s="53">
        <f>STOCK[[#This Row],[Peso (g)]]*STOCK[[#This Row],[Precio Envío Kilogramo (USD)]]/1000</f>
        <v>1.6</v>
      </c>
      <c r="T228" s="53">
        <f>STOCK[[#This Row],[Costo Unitario (USD)]]+STOCK[[#This Row],[Costo Envío (USD)]]+STOCK[[#This Row],[Comisión 10%]]</f>
        <v>14.9805555555556</v>
      </c>
      <c r="U228" s="53">
        <f>STOCK[[#This Row],[Costo total]]*1.5</f>
        <v>22.4708333333334</v>
      </c>
      <c r="V228" s="53">
        <v>25</v>
      </c>
      <c r="W228" s="53">
        <f>STOCK[[#This Row],[Precio Final]]-STOCK[[#This Row],[Costo total]]</f>
        <v>10.0194444444444</v>
      </c>
      <c r="X228" s="53">
        <f>STOCK[[#This Row],[Ganancia Unitaria]]*STOCK[[#This Row],[Salidas]]</f>
        <v>20.0388888888888</v>
      </c>
      <c r="AA228" s="53">
        <f>STOCK[[#This Row],[Costo total]]*STOCK[[#This Row],[Entradas]]</f>
        <v>29.9611111111112</v>
      </c>
      <c r="AB228" s="53">
        <f>STOCK[[#This Row],[Stock Actual]]*STOCK[[#This Row],[Costo total]]</f>
        <v>0</v>
      </c>
    </row>
    <row r="229" s="54" customFormat="1" ht="50" customHeight="1" spans="1:28">
      <c r="A229" s="54" t="s">
        <v>495</v>
      </c>
      <c r="B229" s="66"/>
      <c r="C229" s="54" t="s">
        <v>32</v>
      </c>
      <c r="D229" s="54" t="s">
        <v>38</v>
      </c>
      <c r="E229" s="68" t="s">
        <v>496</v>
      </c>
      <c r="F229" s="54" t="s">
        <v>62</v>
      </c>
      <c r="G229" s="54" t="s">
        <v>36</v>
      </c>
      <c r="H229" s="54">
        <f>STOCK[[#This Row],[Precio Final]]</f>
        <v>22</v>
      </c>
      <c r="I229" s="54">
        <f>STOCK[[#This Row],[Precio Venta Ideal (x1.5)]]</f>
        <v>22.0208333333334</v>
      </c>
      <c r="J229" s="72">
        <v>1</v>
      </c>
      <c r="K229" s="72">
        <f>SUMIFS(VENTAS[Cantidad],VENTAS[Código del producto Vendido],STOCK[[#This Row],[Code]])</f>
        <v>1</v>
      </c>
      <c r="L229" s="72">
        <f>STOCK[[#This Row],[Entradas]]-STOCK[[#This Row],[Salidas]]</f>
        <v>0</v>
      </c>
      <c r="M229" s="54">
        <f>STOCK[[#This Row],[Precio Final]]*10%</f>
        <v>2.2</v>
      </c>
      <c r="N229" s="54">
        <v>195.85</v>
      </c>
      <c r="O229" s="54">
        <v>18</v>
      </c>
      <c r="P229" s="54">
        <v>10.8805555555556</v>
      </c>
      <c r="Q229" s="72">
        <v>200</v>
      </c>
      <c r="R229" s="54">
        <v>8</v>
      </c>
      <c r="S229" s="54">
        <f>STOCK[[#This Row],[Peso (g)]]*STOCK[[#This Row],[Precio Envío Kilogramo (USD)]]/1000</f>
        <v>1.6</v>
      </c>
      <c r="T229" s="53">
        <f>STOCK[[#This Row],[Costo Unitario (USD)]]+STOCK[[#This Row],[Costo Envío (USD)]]+STOCK[[#This Row],[Comisión 10%]]</f>
        <v>14.6805555555556</v>
      </c>
      <c r="U229" s="54">
        <f>STOCK[[#This Row],[Costo total]]*1.5</f>
        <v>22.0208333333334</v>
      </c>
      <c r="V229" s="54">
        <v>22</v>
      </c>
      <c r="W229" s="54">
        <f>STOCK[[#This Row],[Precio Final]]-STOCK[[#This Row],[Costo total]]</f>
        <v>7.3194444444444</v>
      </c>
      <c r="X229" s="54">
        <f>STOCK[[#This Row],[Ganancia Unitaria]]*STOCK[[#This Row],[Salidas]]</f>
        <v>7.3194444444444</v>
      </c>
      <c r="AA229" s="54">
        <f>STOCK[[#This Row],[Costo total]]*STOCK[[#This Row],[Entradas]]</f>
        <v>14.6805555555556</v>
      </c>
      <c r="AB229" s="54">
        <f>STOCK[[#This Row],[Stock Actual]]*STOCK[[#This Row],[Costo total]]</f>
        <v>0</v>
      </c>
    </row>
    <row r="230" s="53" customFormat="1" ht="50" customHeight="1" spans="1:28">
      <c r="A230" s="53" t="s">
        <v>497</v>
      </c>
      <c r="B230" s="66"/>
      <c r="C230" s="53" t="s">
        <v>32</v>
      </c>
      <c r="D230" s="54" t="s">
        <v>38</v>
      </c>
      <c r="E230" s="67" t="s">
        <v>498</v>
      </c>
      <c r="F230" s="53" t="s">
        <v>40</v>
      </c>
      <c r="G230" s="53" t="s">
        <v>36</v>
      </c>
      <c r="H230" s="53">
        <f>STOCK[[#This Row],[Precio Final]]</f>
        <v>15</v>
      </c>
      <c r="I230" s="53">
        <f>STOCK[[#This Row],[Precio Venta Ideal (x1.5)]]</f>
        <v>15.4308333333333</v>
      </c>
      <c r="J230" s="71">
        <v>2</v>
      </c>
      <c r="K230" s="71">
        <f>SUMIFS(VENTAS[Cantidad],VENTAS[Código del producto Vendido],STOCK[[#This Row],[Code]])</f>
        <v>2</v>
      </c>
      <c r="L230" s="71">
        <f>STOCK[[#This Row],[Entradas]]-STOCK[[#This Row],[Salidas]]</f>
        <v>0</v>
      </c>
      <c r="M230" s="53">
        <f>STOCK[[#This Row],[Precio Final]]*10%</f>
        <v>1.5</v>
      </c>
      <c r="N230" s="53">
        <v>129.37</v>
      </c>
      <c r="O230" s="53">
        <v>18</v>
      </c>
      <c r="P230" s="53">
        <v>7.18722222222222</v>
      </c>
      <c r="Q230" s="71">
        <v>200</v>
      </c>
      <c r="R230" s="53">
        <v>8</v>
      </c>
      <c r="S230" s="53">
        <f>STOCK[[#This Row],[Peso (g)]]*STOCK[[#This Row],[Precio Envío Kilogramo (USD)]]/1000</f>
        <v>1.6</v>
      </c>
      <c r="T230" s="53">
        <f>STOCK[[#This Row],[Costo Unitario (USD)]]+STOCK[[#This Row],[Costo Envío (USD)]]+STOCK[[#This Row],[Comisión 10%]]</f>
        <v>10.2872222222222</v>
      </c>
      <c r="U230" s="53">
        <f>STOCK[[#This Row],[Costo total]]*1.5</f>
        <v>15.4308333333333</v>
      </c>
      <c r="V230" s="53">
        <v>15</v>
      </c>
      <c r="W230" s="53">
        <f>STOCK[[#This Row],[Precio Final]]-STOCK[[#This Row],[Costo total]]</f>
        <v>4.71277777777778</v>
      </c>
      <c r="X230" s="53">
        <f>STOCK[[#This Row],[Ganancia Unitaria]]*STOCK[[#This Row],[Salidas]]</f>
        <v>9.42555555555556</v>
      </c>
      <c r="AA230" s="53">
        <f>STOCK[[#This Row],[Costo total]]*STOCK[[#This Row],[Entradas]]</f>
        <v>20.5744444444444</v>
      </c>
      <c r="AB230" s="53">
        <f>STOCK[[#This Row],[Stock Actual]]*STOCK[[#This Row],[Costo total]]</f>
        <v>0</v>
      </c>
    </row>
    <row r="231" s="54" customFormat="1" ht="50" customHeight="1" spans="1:28">
      <c r="A231" s="54" t="s">
        <v>499</v>
      </c>
      <c r="B231" s="66"/>
      <c r="C231" s="54" t="s">
        <v>32</v>
      </c>
      <c r="D231" s="54" t="s">
        <v>213</v>
      </c>
      <c r="E231" s="68" t="s">
        <v>406</v>
      </c>
      <c r="F231" s="54" t="s">
        <v>42</v>
      </c>
      <c r="G231" s="54" t="s">
        <v>36</v>
      </c>
      <c r="H231" s="54">
        <f>STOCK[[#This Row],[Precio Final]]</f>
        <v>20</v>
      </c>
      <c r="I231" s="54">
        <f>STOCK[[#This Row],[Precio Venta Ideal (x1.5)]]</f>
        <v>18.2841666666667</v>
      </c>
      <c r="J231" s="72">
        <v>2</v>
      </c>
      <c r="K231" s="72">
        <f>SUMIFS(VENTAS[Cantidad],VENTAS[Código del producto Vendido],STOCK[[#This Row],[Code]])</f>
        <v>2</v>
      </c>
      <c r="L231" s="72">
        <f>STOCK[[#This Row],[Entradas]]-STOCK[[#This Row],[Salidas]]</f>
        <v>0</v>
      </c>
      <c r="M231" s="54">
        <f>STOCK[[#This Row],[Precio Final]]*10%</f>
        <v>2</v>
      </c>
      <c r="N231" s="54">
        <v>140.21</v>
      </c>
      <c r="O231" s="54">
        <v>18</v>
      </c>
      <c r="P231" s="54">
        <v>7.78944444444445</v>
      </c>
      <c r="Q231" s="72">
        <v>300</v>
      </c>
      <c r="R231" s="54">
        <v>8</v>
      </c>
      <c r="S231" s="54">
        <f>STOCK[[#This Row],[Peso (g)]]*STOCK[[#This Row],[Precio Envío Kilogramo (USD)]]/1000</f>
        <v>2.4</v>
      </c>
      <c r="T231" s="53">
        <f>STOCK[[#This Row],[Costo Unitario (USD)]]+STOCK[[#This Row],[Costo Envío (USD)]]+STOCK[[#This Row],[Comisión 10%]]</f>
        <v>12.1894444444444</v>
      </c>
      <c r="U231" s="54">
        <f>STOCK[[#This Row],[Costo total]]*1.5</f>
        <v>18.2841666666667</v>
      </c>
      <c r="V231" s="54">
        <v>20</v>
      </c>
      <c r="W231" s="54">
        <f>STOCK[[#This Row],[Precio Final]]-STOCK[[#This Row],[Costo total]]</f>
        <v>7.81055555555555</v>
      </c>
      <c r="X231" s="54">
        <f>STOCK[[#This Row],[Ganancia Unitaria]]*STOCK[[#This Row],[Salidas]]</f>
        <v>15.6211111111111</v>
      </c>
      <c r="AA231" s="54">
        <f>STOCK[[#This Row],[Costo total]]*STOCK[[#This Row],[Entradas]]</f>
        <v>24.3788888888889</v>
      </c>
      <c r="AB231" s="54">
        <f>STOCK[[#This Row],[Stock Actual]]*STOCK[[#This Row],[Costo total]]</f>
        <v>0</v>
      </c>
    </row>
    <row r="232" s="53" customFormat="1" ht="50" customHeight="1" spans="1:28">
      <c r="A232" s="53" t="s">
        <v>500</v>
      </c>
      <c r="B232" s="66"/>
      <c r="C232" s="53" t="s">
        <v>32</v>
      </c>
      <c r="D232" s="53" t="s">
        <v>44</v>
      </c>
      <c r="E232" s="67" t="s">
        <v>406</v>
      </c>
      <c r="F232" s="53" t="s">
        <v>88</v>
      </c>
      <c r="G232" s="53" t="s">
        <v>36</v>
      </c>
      <c r="H232" s="53">
        <f>STOCK[[#This Row],[Precio Final]]</f>
        <v>20</v>
      </c>
      <c r="I232" s="53">
        <f>STOCK[[#This Row],[Precio Venta Ideal (x1.5)]]</f>
        <v>17.6841666666667</v>
      </c>
      <c r="J232" s="71">
        <v>1</v>
      </c>
      <c r="K232" s="71">
        <f>SUMIFS(VENTAS[Cantidad],VENTAS[Código del producto Vendido],STOCK[[#This Row],[Code]])</f>
        <v>1</v>
      </c>
      <c r="L232" s="71">
        <f>STOCK[[#This Row],[Entradas]]-STOCK[[#This Row],[Salidas]]</f>
        <v>0</v>
      </c>
      <c r="M232" s="53">
        <f>STOCK[[#This Row],[Precio Final]]*10%</f>
        <v>2</v>
      </c>
      <c r="N232" s="53">
        <v>140.21</v>
      </c>
      <c r="O232" s="53">
        <v>18</v>
      </c>
      <c r="P232" s="53">
        <v>7.78944444444445</v>
      </c>
      <c r="Q232" s="71">
        <v>250</v>
      </c>
      <c r="R232" s="53">
        <v>8</v>
      </c>
      <c r="S232" s="53">
        <f>STOCK[[#This Row],[Peso (g)]]*STOCK[[#This Row],[Precio Envío Kilogramo (USD)]]/1000</f>
        <v>2</v>
      </c>
      <c r="T232" s="53">
        <f>STOCK[[#This Row],[Costo Unitario (USD)]]+STOCK[[#This Row],[Costo Envío (USD)]]+STOCK[[#This Row],[Comisión 10%]]</f>
        <v>11.7894444444444</v>
      </c>
      <c r="U232" s="53">
        <f>STOCK[[#This Row],[Costo total]]*1.5</f>
        <v>17.6841666666667</v>
      </c>
      <c r="V232" s="53">
        <v>20</v>
      </c>
      <c r="W232" s="53">
        <f>STOCK[[#This Row],[Precio Final]]-STOCK[[#This Row],[Costo total]]</f>
        <v>8.21055555555555</v>
      </c>
      <c r="X232" s="53">
        <f>STOCK[[#This Row],[Ganancia Unitaria]]*STOCK[[#This Row],[Salidas]]</f>
        <v>8.21055555555555</v>
      </c>
      <c r="AA232" s="53">
        <f>STOCK[[#This Row],[Costo total]]*STOCK[[#This Row],[Entradas]]</f>
        <v>11.7894444444444</v>
      </c>
      <c r="AB232" s="53">
        <f>STOCK[[#This Row],[Stock Actual]]*STOCK[[#This Row],[Costo total]]</f>
        <v>0</v>
      </c>
    </row>
    <row r="233" s="54" customFormat="1" ht="50" customHeight="1" spans="1:28">
      <c r="A233" s="54" t="s">
        <v>501</v>
      </c>
      <c r="B233" s="66"/>
      <c r="C233" s="54" t="s">
        <v>32</v>
      </c>
      <c r="D233" s="54" t="s">
        <v>38</v>
      </c>
      <c r="E233" s="68" t="s">
        <v>502</v>
      </c>
      <c r="F233" s="54" t="s">
        <v>49</v>
      </c>
      <c r="G233" s="54" t="s">
        <v>36</v>
      </c>
      <c r="H233" s="54">
        <f>STOCK[[#This Row],[Precio Final]]</f>
        <v>25</v>
      </c>
      <c r="I233" s="54">
        <f>STOCK[[#This Row],[Precio Venta Ideal (x1.5)]]</f>
        <v>28.5833333333334</v>
      </c>
      <c r="J233" s="72">
        <v>2</v>
      </c>
      <c r="K233" s="72">
        <f>SUMIFS(VENTAS[Cantidad],VENTAS[Código del producto Vendido],STOCK[[#This Row],[Code]])</f>
        <v>2</v>
      </c>
      <c r="L233" s="72">
        <f>STOCK[[#This Row],[Entradas]]-STOCK[[#This Row],[Salidas]]</f>
        <v>0</v>
      </c>
      <c r="M233" s="54">
        <f>STOCK[[#This Row],[Precio Final]]*10%</f>
        <v>2.5</v>
      </c>
      <c r="N233" s="54">
        <v>254.8</v>
      </c>
      <c r="O233" s="54">
        <v>18</v>
      </c>
      <c r="P233" s="54">
        <v>14.1555555555556</v>
      </c>
      <c r="Q233" s="72">
        <v>300</v>
      </c>
      <c r="R233" s="54">
        <v>8</v>
      </c>
      <c r="S233" s="54">
        <f>STOCK[[#This Row],[Peso (g)]]*STOCK[[#This Row],[Precio Envío Kilogramo (USD)]]/1000</f>
        <v>2.4</v>
      </c>
      <c r="T233" s="53">
        <f>STOCK[[#This Row],[Costo Unitario (USD)]]+STOCK[[#This Row],[Costo Envío (USD)]]+STOCK[[#This Row],[Comisión 10%]]</f>
        <v>19.0555555555556</v>
      </c>
      <c r="U233" s="54">
        <f>STOCK[[#This Row],[Costo total]]*1.5</f>
        <v>28.5833333333334</v>
      </c>
      <c r="V233" s="54">
        <v>25</v>
      </c>
      <c r="W233" s="54">
        <f>STOCK[[#This Row],[Precio Final]]-STOCK[[#This Row],[Costo total]]</f>
        <v>5.9444444444444</v>
      </c>
      <c r="X233" s="54">
        <f>STOCK[[#This Row],[Ganancia Unitaria]]*STOCK[[#This Row],[Salidas]]</f>
        <v>11.8888888888888</v>
      </c>
      <c r="AA233" s="54">
        <f>STOCK[[#This Row],[Costo total]]*STOCK[[#This Row],[Entradas]]</f>
        <v>38.1111111111112</v>
      </c>
      <c r="AB233" s="54">
        <f>STOCK[[#This Row],[Stock Actual]]*STOCK[[#This Row],[Costo total]]</f>
        <v>0</v>
      </c>
    </row>
    <row r="234" s="53" customFormat="1" ht="50" customHeight="1" spans="1:28">
      <c r="A234" s="53" t="s">
        <v>503</v>
      </c>
      <c r="B234" s="66"/>
      <c r="C234" s="53" t="s">
        <v>32</v>
      </c>
      <c r="D234" s="53" t="s">
        <v>38</v>
      </c>
      <c r="E234" s="67" t="s">
        <v>504</v>
      </c>
      <c r="F234" s="53" t="s">
        <v>62</v>
      </c>
      <c r="G234" s="53" t="s">
        <v>36</v>
      </c>
      <c r="H234" s="53">
        <f>STOCK[[#This Row],[Precio Final]]</f>
        <v>25</v>
      </c>
      <c r="I234" s="53">
        <f>STOCK[[#This Row],[Precio Venta Ideal (x1.5)]]</f>
        <v>28.5833333333334</v>
      </c>
      <c r="J234" s="71">
        <v>2</v>
      </c>
      <c r="K234" s="71">
        <f>SUMIFS(VENTAS[Cantidad],VENTAS[Código del producto Vendido],STOCK[[#This Row],[Code]])</f>
        <v>2</v>
      </c>
      <c r="L234" s="71">
        <f>STOCK[[#This Row],[Entradas]]-STOCK[[#This Row],[Salidas]]</f>
        <v>0</v>
      </c>
      <c r="M234" s="53">
        <f>STOCK[[#This Row],[Precio Final]]*10%</f>
        <v>2.5</v>
      </c>
      <c r="N234" s="53">
        <v>254.8</v>
      </c>
      <c r="O234" s="53">
        <v>18</v>
      </c>
      <c r="P234" s="53">
        <v>14.1555555555556</v>
      </c>
      <c r="Q234" s="71">
        <v>300</v>
      </c>
      <c r="R234" s="53">
        <v>8</v>
      </c>
      <c r="S234" s="53">
        <f>STOCK[[#This Row],[Peso (g)]]*STOCK[[#This Row],[Precio Envío Kilogramo (USD)]]/1000</f>
        <v>2.4</v>
      </c>
      <c r="T234" s="53">
        <f>STOCK[[#This Row],[Costo Unitario (USD)]]+STOCK[[#This Row],[Costo Envío (USD)]]+STOCK[[#This Row],[Comisión 10%]]</f>
        <v>19.0555555555556</v>
      </c>
      <c r="U234" s="53">
        <f>STOCK[[#This Row],[Costo total]]*1.5</f>
        <v>28.5833333333334</v>
      </c>
      <c r="V234" s="53">
        <v>25</v>
      </c>
      <c r="W234" s="53">
        <f>STOCK[[#This Row],[Precio Final]]-STOCK[[#This Row],[Costo total]]</f>
        <v>5.9444444444444</v>
      </c>
      <c r="X234" s="53">
        <f>STOCK[[#This Row],[Ganancia Unitaria]]*STOCK[[#This Row],[Salidas]]</f>
        <v>11.8888888888888</v>
      </c>
      <c r="AA234" s="53">
        <f>STOCK[[#This Row],[Costo total]]*STOCK[[#This Row],[Entradas]]</f>
        <v>38.1111111111112</v>
      </c>
      <c r="AB234" s="53">
        <f>STOCK[[#This Row],[Stock Actual]]*STOCK[[#This Row],[Costo total]]</f>
        <v>0</v>
      </c>
    </row>
    <row r="235" s="54" customFormat="1" ht="50" customHeight="1" spans="1:28">
      <c r="A235" s="54" t="s">
        <v>505</v>
      </c>
      <c r="B235" s="66"/>
      <c r="C235" s="54" t="s">
        <v>32</v>
      </c>
      <c r="D235" s="54" t="s">
        <v>506</v>
      </c>
      <c r="E235" s="68" t="s">
        <v>507</v>
      </c>
      <c r="F235" s="54" t="s">
        <v>46</v>
      </c>
      <c r="G235" s="54" t="s">
        <v>36</v>
      </c>
      <c r="H235" s="54">
        <f>STOCK[[#This Row],[Precio Final]]</f>
        <v>21</v>
      </c>
      <c r="I235" s="54">
        <f>STOCK[[#This Row],[Precio Venta Ideal (x1.5)]]</f>
        <v>23.9208333333333</v>
      </c>
      <c r="J235" s="72">
        <v>1</v>
      </c>
      <c r="K235" s="72">
        <f>SUMIFS(VENTAS[Cantidad],VENTAS[Código del producto Vendido],STOCK[[#This Row],[Code]])</f>
        <v>0</v>
      </c>
      <c r="L235" s="72">
        <f>STOCK[[#This Row],[Entradas]]-STOCK[[#This Row],[Salidas]]</f>
        <v>1</v>
      </c>
      <c r="M235" s="54">
        <f>STOCK[[#This Row],[Precio Final]]*10%</f>
        <v>2.1</v>
      </c>
      <c r="N235" s="54">
        <v>206.05</v>
      </c>
      <c r="O235" s="54">
        <v>18</v>
      </c>
      <c r="P235" s="54">
        <v>11.4472222222222</v>
      </c>
      <c r="Q235" s="72">
        <v>300</v>
      </c>
      <c r="R235" s="54">
        <v>8</v>
      </c>
      <c r="S235" s="54">
        <f>STOCK[[#This Row],[Peso (g)]]*STOCK[[#This Row],[Precio Envío Kilogramo (USD)]]/1000</f>
        <v>2.4</v>
      </c>
      <c r="T235" s="53">
        <f>STOCK[[#This Row],[Costo Unitario (USD)]]+STOCK[[#This Row],[Costo Envío (USD)]]+STOCK[[#This Row],[Comisión 10%]]</f>
        <v>15.9472222222222</v>
      </c>
      <c r="U235" s="54">
        <f>STOCK[[#This Row],[Costo total]]*1.5</f>
        <v>23.9208333333333</v>
      </c>
      <c r="V235" s="54">
        <v>21</v>
      </c>
      <c r="W235" s="54">
        <f>STOCK[[#This Row],[Precio Final]]-STOCK[[#This Row],[Costo total]]</f>
        <v>5.0527777777778</v>
      </c>
      <c r="X235" s="54">
        <f>STOCK[[#This Row],[Ganancia Unitaria]]*STOCK[[#This Row],[Salidas]]</f>
        <v>0</v>
      </c>
      <c r="AA235" s="54">
        <f>STOCK[[#This Row],[Costo total]]*STOCK[[#This Row],[Entradas]]</f>
        <v>15.9472222222222</v>
      </c>
      <c r="AB235" s="54">
        <f>STOCK[[#This Row],[Stock Actual]]*STOCK[[#This Row],[Costo total]]</f>
        <v>15.9472222222222</v>
      </c>
    </row>
    <row r="236" s="53" customFormat="1" ht="50" customHeight="1" spans="1:28">
      <c r="A236" s="53" t="s">
        <v>508</v>
      </c>
      <c r="B236" s="66"/>
      <c r="C236" s="53" t="s">
        <v>32</v>
      </c>
      <c r="D236" s="53" t="s">
        <v>38</v>
      </c>
      <c r="E236" s="67" t="s">
        <v>509</v>
      </c>
      <c r="F236" s="53" t="s">
        <v>49</v>
      </c>
      <c r="G236" s="53" t="s">
        <v>36</v>
      </c>
      <c r="H236" s="53">
        <f>STOCK[[#This Row],[Precio Final]]</f>
        <v>25</v>
      </c>
      <c r="I236" s="53">
        <f>STOCK[[#This Row],[Precio Venta Ideal (x1.5)]]</f>
        <v>27.8166666666666</v>
      </c>
      <c r="J236" s="71">
        <v>2</v>
      </c>
      <c r="K236" s="71">
        <f>SUMIFS(VENTAS[Cantidad],VENTAS[Código del producto Vendido],STOCK[[#This Row],[Code]])</f>
        <v>2</v>
      </c>
      <c r="L236" s="71">
        <f>STOCK[[#This Row],[Entradas]]-STOCK[[#This Row],[Salidas]]</f>
        <v>0</v>
      </c>
      <c r="M236" s="53">
        <f>STOCK[[#This Row],[Precio Final]]*10%</f>
        <v>2.5</v>
      </c>
      <c r="N236" s="53">
        <v>260</v>
      </c>
      <c r="O236" s="53">
        <v>18</v>
      </c>
      <c r="P236" s="53">
        <v>14.4444444444444</v>
      </c>
      <c r="Q236" s="71">
        <v>200</v>
      </c>
      <c r="R236" s="53">
        <v>8</v>
      </c>
      <c r="S236" s="53">
        <f>STOCK[[#This Row],[Peso (g)]]*STOCK[[#This Row],[Precio Envío Kilogramo (USD)]]/1000</f>
        <v>1.6</v>
      </c>
      <c r="T236" s="53">
        <f>STOCK[[#This Row],[Costo Unitario (USD)]]+STOCK[[#This Row],[Costo Envío (USD)]]+STOCK[[#This Row],[Comisión 10%]]</f>
        <v>18.5444444444444</v>
      </c>
      <c r="U236" s="53">
        <f>STOCK[[#This Row],[Costo total]]*1.5</f>
        <v>27.8166666666666</v>
      </c>
      <c r="V236" s="53">
        <v>25</v>
      </c>
      <c r="W236" s="53">
        <f>STOCK[[#This Row],[Precio Final]]-STOCK[[#This Row],[Costo total]]</f>
        <v>6.4555555555556</v>
      </c>
      <c r="X236" s="53">
        <f>STOCK[[#This Row],[Ganancia Unitaria]]*STOCK[[#This Row],[Salidas]]</f>
        <v>12.9111111111112</v>
      </c>
      <c r="AA236" s="53">
        <f>STOCK[[#This Row],[Costo total]]*STOCK[[#This Row],[Entradas]]</f>
        <v>37.0888888888888</v>
      </c>
      <c r="AB236" s="53">
        <f>STOCK[[#This Row],[Stock Actual]]*STOCK[[#This Row],[Costo total]]</f>
        <v>0</v>
      </c>
    </row>
    <row r="237" s="54" customFormat="1" ht="50" customHeight="1" spans="1:28">
      <c r="A237" s="54" t="s">
        <v>510</v>
      </c>
      <c r="B237" s="66"/>
      <c r="C237" s="54" t="s">
        <v>32</v>
      </c>
      <c r="D237" s="54" t="s">
        <v>38</v>
      </c>
      <c r="E237" s="68" t="s">
        <v>511</v>
      </c>
      <c r="F237" s="54" t="s">
        <v>88</v>
      </c>
      <c r="G237" s="54" t="s">
        <v>36</v>
      </c>
      <c r="H237" s="54">
        <f>STOCK[[#This Row],[Precio Final]]</f>
        <v>25</v>
      </c>
      <c r="I237" s="54">
        <f>STOCK[[#This Row],[Precio Venta Ideal (x1.5)]]</f>
        <v>27.8166666666666</v>
      </c>
      <c r="J237" s="72">
        <v>2</v>
      </c>
      <c r="K237" s="72">
        <f>SUMIFS(VENTAS[Cantidad],VENTAS[Código del producto Vendido],STOCK[[#This Row],[Code]])</f>
        <v>2</v>
      </c>
      <c r="L237" s="72">
        <f>STOCK[[#This Row],[Entradas]]-STOCK[[#This Row],[Salidas]]</f>
        <v>0</v>
      </c>
      <c r="M237" s="54">
        <f>STOCK[[#This Row],[Precio Final]]*10%</f>
        <v>2.5</v>
      </c>
      <c r="N237" s="54">
        <v>260</v>
      </c>
      <c r="O237" s="54">
        <v>18</v>
      </c>
      <c r="P237" s="54">
        <v>14.4444444444444</v>
      </c>
      <c r="Q237" s="72">
        <v>200</v>
      </c>
      <c r="R237" s="54">
        <v>8</v>
      </c>
      <c r="S237" s="54">
        <f>STOCK[[#This Row],[Peso (g)]]*STOCK[[#This Row],[Precio Envío Kilogramo (USD)]]/1000</f>
        <v>1.6</v>
      </c>
      <c r="T237" s="53">
        <f>STOCK[[#This Row],[Costo Unitario (USD)]]+STOCK[[#This Row],[Costo Envío (USD)]]+STOCK[[#This Row],[Comisión 10%]]</f>
        <v>18.5444444444444</v>
      </c>
      <c r="U237" s="54">
        <f>STOCK[[#This Row],[Costo total]]*1.5</f>
        <v>27.8166666666666</v>
      </c>
      <c r="V237" s="54">
        <v>25</v>
      </c>
      <c r="W237" s="54">
        <f>STOCK[[#This Row],[Precio Final]]-STOCK[[#This Row],[Costo total]]</f>
        <v>6.4555555555556</v>
      </c>
      <c r="X237" s="54">
        <f>STOCK[[#This Row],[Ganancia Unitaria]]*STOCK[[#This Row],[Salidas]]</f>
        <v>12.9111111111112</v>
      </c>
      <c r="AA237" s="54">
        <f>STOCK[[#This Row],[Costo total]]*STOCK[[#This Row],[Entradas]]</f>
        <v>37.0888888888888</v>
      </c>
      <c r="AB237" s="54">
        <f>STOCK[[#This Row],[Stock Actual]]*STOCK[[#This Row],[Costo total]]</f>
        <v>0</v>
      </c>
    </row>
    <row r="238" s="53" customFormat="1" ht="50" customHeight="1" spans="1:28">
      <c r="A238" s="53" t="s">
        <v>512</v>
      </c>
      <c r="B238" s="66"/>
      <c r="C238" s="53" t="s">
        <v>32</v>
      </c>
      <c r="E238" s="67" t="s">
        <v>513</v>
      </c>
      <c r="F238" s="53" t="s">
        <v>394</v>
      </c>
      <c r="G238" s="53" t="s">
        <v>36</v>
      </c>
      <c r="H238" s="53">
        <f>STOCK[[#This Row],[Precio Final]]</f>
        <v>5</v>
      </c>
      <c r="I238" s="53">
        <f>STOCK[[#This Row],[Precio Venta Ideal (x1.5)]]</f>
        <v>4.82916666666666</v>
      </c>
      <c r="J238" s="71">
        <v>0</v>
      </c>
      <c r="K238" s="71">
        <f>SUMIFS(VENTAS[Cantidad],VENTAS[Código del producto Vendido],STOCK[[#This Row],[Code]])</f>
        <v>0</v>
      </c>
      <c r="L238" s="71">
        <f>STOCK[[#This Row],[Entradas]]-STOCK[[#This Row],[Salidas]]</f>
        <v>0</v>
      </c>
      <c r="M238" s="53">
        <f>STOCK[[#This Row],[Precio Final]]*10%</f>
        <v>0.5</v>
      </c>
      <c r="N238" s="53">
        <v>46.07</v>
      </c>
      <c r="O238" s="53">
        <v>18</v>
      </c>
      <c r="P238" s="53">
        <v>2.55944444444444</v>
      </c>
      <c r="Q238" s="71">
        <v>20</v>
      </c>
      <c r="R238" s="53">
        <v>8</v>
      </c>
      <c r="S238" s="53">
        <f>STOCK[[#This Row],[Peso (g)]]*STOCK[[#This Row],[Precio Envío Kilogramo (USD)]]/1000</f>
        <v>0.16</v>
      </c>
      <c r="T238" s="53">
        <f>STOCK[[#This Row],[Costo Unitario (USD)]]+STOCK[[#This Row],[Costo Envío (USD)]]+STOCK[[#This Row],[Comisión 10%]]</f>
        <v>3.21944444444444</v>
      </c>
      <c r="U238" s="53">
        <f>STOCK[[#This Row],[Costo total]]*1.5</f>
        <v>4.82916666666666</v>
      </c>
      <c r="V238" s="53">
        <v>5</v>
      </c>
      <c r="W238" s="53">
        <f>STOCK[[#This Row],[Precio Final]]-STOCK[[#This Row],[Costo total]]</f>
        <v>1.78055555555556</v>
      </c>
      <c r="X238" s="53">
        <f>STOCK[[#This Row],[Ganancia Unitaria]]*STOCK[[#This Row],[Salidas]]</f>
        <v>0</v>
      </c>
      <c r="AA238" s="53">
        <f>STOCK[[#This Row],[Costo total]]*STOCK[[#This Row],[Entradas]]</f>
        <v>0</v>
      </c>
      <c r="AB238" s="53">
        <f>STOCK[[#This Row],[Stock Actual]]*STOCK[[#This Row],[Costo total]]</f>
        <v>0</v>
      </c>
    </row>
    <row r="239" s="54" customFormat="1" ht="50" customHeight="1" spans="1:28">
      <c r="A239" s="54" t="s">
        <v>514</v>
      </c>
      <c r="B239" s="66"/>
      <c r="C239" s="54" t="s">
        <v>32</v>
      </c>
      <c r="D239" s="54" t="s">
        <v>515</v>
      </c>
      <c r="E239" s="68" t="s">
        <v>516</v>
      </c>
      <c r="F239" s="54" t="s">
        <v>517</v>
      </c>
      <c r="G239" s="54" t="s">
        <v>36</v>
      </c>
      <c r="H239" s="54">
        <f>STOCK[[#This Row],[Precio Final]]</f>
        <v>20</v>
      </c>
      <c r="I239" s="54">
        <f>STOCK[[#This Row],[Precio Venta Ideal (x1.5)]]</f>
        <v>21.9558333333333</v>
      </c>
      <c r="J239" s="72">
        <v>1</v>
      </c>
      <c r="K239" s="72">
        <f>SUMIFS(VENTAS[Cantidad],VENTAS[Código del producto Vendido],STOCK[[#This Row],[Code]])</f>
        <v>1</v>
      </c>
      <c r="L239" s="72">
        <f>STOCK[[#This Row],[Entradas]]-STOCK[[#This Row],[Salidas]]</f>
        <v>0</v>
      </c>
      <c r="M239" s="54">
        <f>STOCK[[#This Row],[Precio Final]]*10%</f>
        <v>2</v>
      </c>
      <c r="N239" s="54">
        <v>184.27</v>
      </c>
      <c r="O239" s="54">
        <v>18</v>
      </c>
      <c r="P239" s="54">
        <v>10.2372222222222</v>
      </c>
      <c r="Q239" s="72">
        <v>300</v>
      </c>
      <c r="R239" s="54">
        <v>8</v>
      </c>
      <c r="S239" s="54">
        <f>STOCK[[#This Row],[Peso (g)]]*STOCK[[#This Row],[Precio Envío Kilogramo (USD)]]/1000</f>
        <v>2.4</v>
      </c>
      <c r="T239" s="53">
        <f>STOCK[[#This Row],[Costo Unitario (USD)]]+STOCK[[#This Row],[Costo Envío (USD)]]+STOCK[[#This Row],[Comisión 10%]]</f>
        <v>14.6372222222222</v>
      </c>
      <c r="U239" s="54">
        <f>STOCK[[#This Row],[Costo total]]*1.5</f>
        <v>21.9558333333333</v>
      </c>
      <c r="V239" s="54">
        <v>20</v>
      </c>
      <c r="W239" s="54">
        <f>STOCK[[#This Row],[Precio Final]]-STOCK[[#This Row],[Costo total]]</f>
        <v>5.3627777777778</v>
      </c>
      <c r="X239" s="54">
        <f>STOCK[[#This Row],[Ganancia Unitaria]]*STOCK[[#This Row],[Salidas]]</f>
        <v>5.3627777777778</v>
      </c>
      <c r="AA239" s="54">
        <f>STOCK[[#This Row],[Costo total]]*STOCK[[#This Row],[Entradas]]</f>
        <v>14.6372222222222</v>
      </c>
      <c r="AB239" s="54">
        <f>STOCK[[#This Row],[Stock Actual]]*STOCK[[#This Row],[Costo total]]</f>
        <v>0</v>
      </c>
    </row>
    <row r="240" s="53" customFormat="1" ht="50" customHeight="1" spans="1:28">
      <c r="A240" s="53" t="s">
        <v>518</v>
      </c>
      <c r="B240" s="66"/>
      <c r="C240" s="53" t="s">
        <v>32</v>
      </c>
      <c r="D240" s="53" t="s">
        <v>351</v>
      </c>
      <c r="E240" s="67" t="s">
        <v>519</v>
      </c>
      <c r="F240" s="53" t="s">
        <v>394</v>
      </c>
      <c r="G240" s="53" t="s">
        <v>36</v>
      </c>
      <c r="H240" s="53">
        <f>STOCK[[#This Row],[Precio Final]]</f>
        <v>2</v>
      </c>
      <c r="I240" s="53">
        <f>STOCK[[#This Row],[Precio Venta Ideal (x1.5)]]</f>
        <v>1.56666666666667</v>
      </c>
      <c r="J240" s="71">
        <v>10</v>
      </c>
      <c r="K240" s="71">
        <f>SUMIFS(VENTAS[Cantidad],VENTAS[Código del producto Vendido],STOCK[[#This Row],[Code]])</f>
        <v>10</v>
      </c>
      <c r="L240" s="71">
        <f>STOCK[[#This Row],[Entradas]]-STOCK[[#This Row],[Salidas]]</f>
        <v>0</v>
      </c>
      <c r="M240" s="53">
        <f>STOCK[[#This Row],[Precio Final]]*10%</f>
        <v>0.2</v>
      </c>
      <c r="N240" s="53">
        <v>8</v>
      </c>
      <c r="O240" s="53">
        <v>18</v>
      </c>
      <c r="P240" s="53">
        <v>0.444444444444444</v>
      </c>
      <c r="Q240" s="71">
        <v>50</v>
      </c>
      <c r="R240" s="53">
        <v>8</v>
      </c>
      <c r="S240" s="53">
        <f>STOCK[[#This Row],[Peso (g)]]*STOCK[[#This Row],[Precio Envío Kilogramo (USD)]]/1000</f>
        <v>0.4</v>
      </c>
      <c r="T240" s="53">
        <f>STOCK[[#This Row],[Costo Unitario (USD)]]+STOCK[[#This Row],[Costo Envío (USD)]]+STOCK[[#This Row],[Comisión 10%]]</f>
        <v>1.04444444444444</v>
      </c>
      <c r="U240" s="53">
        <f>STOCK[[#This Row],[Costo total]]*1.5</f>
        <v>1.56666666666667</v>
      </c>
      <c r="V240" s="53">
        <v>2</v>
      </c>
      <c r="W240" s="53">
        <f>STOCK[[#This Row],[Precio Final]]-STOCK[[#This Row],[Costo total]]</f>
        <v>0.955555555555556</v>
      </c>
      <c r="X240" s="53">
        <f>STOCK[[#This Row],[Ganancia Unitaria]]*STOCK[[#This Row],[Salidas]]</f>
        <v>9.55555555555556</v>
      </c>
      <c r="AA240" s="53">
        <f>STOCK[[#This Row],[Costo total]]*STOCK[[#This Row],[Entradas]]</f>
        <v>10.4444444444444</v>
      </c>
      <c r="AB240" s="53">
        <f>STOCK[[#This Row],[Stock Actual]]*STOCK[[#This Row],[Costo total]]</f>
        <v>0</v>
      </c>
    </row>
    <row r="241" s="54" customFormat="1" ht="50" customHeight="1" spans="1:28">
      <c r="A241" s="54" t="s">
        <v>520</v>
      </c>
      <c r="B241" s="66"/>
      <c r="C241" s="54" t="s">
        <v>32</v>
      </c>
      <c r="D241" s="54" t="s">
        <v>515</v>
      </c>
      <c r="E241" s="68" t="s">
        <v>521</v>
      </c>
      <c r="F241" s="54" t="s">
        <v>517</v>
      </c>
      <c r="G241" s="54" t="s">
        <v>36</v>
      </c>
      <c r="H241" s="54">
        <f>STOCK[[#This Row],[Precio Final]]</f>
        <v>26</v>
      </c>
      <c r="I241" s="54">
        <f>STOCK[[#This Row],[Precio Venta Ideal (x1.5)]]</f>
        <v>29.2891666666666</v>
      </c>
      <c r="J241" s="72">
        <v>1</v>
      </c>
      <c r="K241" s="72">
        <f>SUMIFS(VENTAS[Cantidad],VENTAS[Código del producto Vendido],STOCK[[#This Row],[Code]])</f>
        <v>1</v>
      </c>
      <c r="L241" s="72">
        <f>STOCK[[#This Row],[Entradas]]-STOCK[[#This Row],[Salidas]]</f>
        <v>0</v>
      </c>
      <c r="M241" s="54">
        <f>STOCK[[#This Row],[Precio Final]]*10%</f>
        <v>2.6</v>
      </c>
      <c r="N241" s="54">
        <v>261.47</v>
      </c>
      <c r="O241" s="54">
        <v>18</v>
      </c>
      <c r="P241" s="54">
        <v>14.5261111111111</v>
      </c>
      <c r="Q241" s="72">
        <v>300</v>
      </c>
      <c r="R241" s="54">
        <v>8</v>
      </c>
      <c r="S241" s="54">
        <f>STOCK[[#This Row],[Peso (g)]]*STOCK[[#This Row],[Precio Envío Kilogramo (USD)]]/1000</f>
        <v>2.4</v>
      </c>
      <c r="T241" s="53">
        <f>STOCK[[#This Row],[Costo Unitario (USD)]]+STOCK[[#This Row],[Costo Envío (USD)]]+STOCK[[#This Row],[Comisión 10%]]</f>
        <v>19.5261111111111</v>
      </c>
      <c r="U241" s="54">
        <f>STOCK[[#This Row],[Costo total]]*1.5</f>
        <v>29.2891666666666</v>
      </c>
      <c r="V241" s="54">
        <v>26</v>
      </c>
      <c r="W241" s="54">
        <f>STOCK[[#This Row],[Precio Final]]-STOCK[[#This Row],[Costo total]]</f>
        <v>6.4738888888889</v>
      </c>
      <c r="X241" s="54">
        <f>STOCK[[#This Row],[Ganancia Unitaria]]*STOCK[[#This Row],[Salidas]]</f>
        <v>6.4738888888889</v>
      </c>
      <c r="AA241" s="54">
        <f>STOCK[[#This Row],[Costo total]]*STOCK[[#This Row],[Entradas]]</f>
        <v>19.5261111111111</v>
      </c>
      <c r="AB241" s="54">
        <f>STOCK[[#This Row],[Stock Actual]]*STOCK[[#This Row],[Costo total]]</f>
        <v>0</v>
      </c>
    </row>
    <row r="242" s="53" customFormat="1" ht="50" customHeight="1" spans="1:29">
      <c r="A242" s="53" t="s">
        <v>522</v>
      </c>
      <c r="B242" s="66"/>
      <c r="C242" s="53" t="s">
        <v>32</v>
      </c>
      <c r="D242" s="53" t="s">
        <v>523</v>
      </c>
      <c r="E242" s="67" t="s">
        <v>524</v>
      </c>
      <c r="F242" s="53" t="s">
        <v>525</v>
      </c>
      <c r="G242" s="53" t="s">
        <v>36</v>
      </c>
      <c r="H242" s="53">
        <f>STOCK[[#This Row],[Precio Final]]</f>
        <v>1</v>
      </c>
      <c r="I242" s="53">
        <f>STOCK[[#This Row],[Precio Venta Ideal (x1.5)]]</f>
        <v>0.512083333333333</v>
      </c>
      <c r="J242" s="71">
        <v>8</v>
      </c>
      <c r="K242" s="71">
        <f>SUMIFS(VENTAS[Cantidad],VENTAS[Código del producto Vendido],STOCK[[#This Row],[Code]])</f>
        <v>3</v>
      </c>
      <c r="L242" s="71">
        <f>STOCK[[#This Row],[Entradas]]-STOCK[[#This Row],[Salidas]]</f>
        <v>5</v>
      </c>
      <c r="M242" s="53">
        <f>STOCK[[#This Row],[Precio Final]]*10%</f>
        <v>0.1</v>
      </c>
      <c r="N242" s="53">
        <v>0.025</v>
      </c>
      <c r="O242" s="53">
        <v>18</v>
      </c>
      <c r="P242" s="53">
        <v>0.00138888888888889</v>
      </c>
      <c r="Q242" s="71">
        <v>30</v>
      </c>
      <c r="R242" s="53">
        <v>8</v>
      </c>
      <c r="S242" s="53">
        <f>STOCK[[#This Row],[Peso (g)]]*STOCK[[#This Row],[Precio Envío Kilogramo (USD)]]/1000</f>
        <v>0.24</v>
      </c>
      <c r="T242" s="53">
        <f>STOCK[[#This Row],[Costo Unitario (USD)]]+STOCK[[#This Row],[Costo Envío (USD)]]+STOCK[[#This Row],[Comisión 10%]]</f>
        <v>0.341388888888889</v>
      </c>
      <c r="U242" s="53">
        <f>STOCK[[#This Row],[Costo total]]*1.5</f>
        <v>0.512083333333333</v>
      </c>
      <c r="V242" s="53">
        <v>1</v>
      </c>
      <c r="W242" s="53">
        <f>STOCK[[#This Row],[Precio Final]]-STOCK[[#This Row],[Costo total]]</f>
        <v>0.658611111111111</v>
      </c>
      <c r="X242" s="53">
        <f>STOCK[[#This Row],[Ganancia Unitaria]]*STOCK[[#This Row],[Salidas]]</f>
        <v>1.97583333333333</v>
      </c>
      <c r="AA242" s="53">
        <f>STOCK[[#This Row],[Costo total]]*STOCK[[#This Row],[Entradas]]</f>
        <v>2.73111111111111</v>
      </c>
      <c r="AB242" s="53">
        <f>STOCK[[#This Row],[Stock Actual]]*STOCK[[#This Row],[Costo total]]</f>
        <v>1.70694444444444</v>
      </c>
      <c r="AC242" s="53">
        <v>0.8</v>
      </c>
    </row>
    <row r="243" s="54" customFormat="1" ht="50" customHeight="1" spans="1:28">
      <c r="A243" s="54" t="s">
        <v>526</v>
      </c>
      <c r="B243" s="66"/>
      <c r="C243" s="54" t="s">
        <v>32</v>
      </c>
      <c r="D243" s="54" t="s">
        <v>527</v>
      </c>
      <c r="E243" s="68" t="s">
        <v>528</v>
      </c>
      <c r="F243" s="54" t="s">
        <v>529</v>
      </c>
      <c r="G243" s="54" t="s">
        <v>36</v>
      </c>
      <c r="H243" s="54">
        <f>STOCK[[#This Row],[Precio Final]]</f>
        <v>30</v>
      </c>
      <c r="I243" s="54">
        <f>STOCK[[#This Row],[Precio Venta Ideal (x1.5)]]</f>
        <v>29.5766666666667</v>
      </c>
      <c r="J243" s="72">
        <v>1</v>
      </c>
      <c r="K243" s="72">
        <f>SUMIFS(VENTAS[Cantidad],VENTAS[Código del producto Vendido],STOCK[[#This Row],[Code]])</f>
        <v>1</v>
      </c>
      <c r="L243" s="72">
        <f>STOCK[[#This Row],[Entradas]]-STOCK[[#This Row],[Salidas]]</f>
        <v>0</v>
      </c>
      <c r="M243" s="54">
        <f>STOCK[[#This Row],[Precio Final]]*10%</f>
        <v>3</v>
      </c>
      <c r="N243" s="54">
        <v>228.92</v>
      </c>
      <c r="O243" s="54">
        <v>18</v>
      </c>
      <c r="P243" s="54">
        <v>12.7177777777778</v>
      </c>
      <c r="Q243" s="72">
        <v>500</v>
      </c>
      <c r="R243" s="54">
        <v>8</v>
      </c>
      <c r="S243" s="54">
        <f>STOCK[[#This Row],[Peso (g)]]*STOCK[[#This Row],[Precio Envío Kilogramo (USD)]]/1000</f>
        <v>4</v>
      </c>
      <c r="T243" s="53">
        <f>STOCK[[#This Row],[Costo Unitario (USD)]]+STOCK[[#This Row],[Costo Envío (USD)]]+STOCK[[#This Row],[Comisión 10%]]</f>
        <v>19.7177777777778</v>
      </c>
      <c r="U243" s="54">
        <f>STOCK[[#This Row],[Costo total]]*1.5</f>
        <v>29.5766666666667</v>
      </c>
      <c r="V243" s="54">
        <v>30</v>
      </c>
      <c r="W243" s="54">
        <f>STOCK[[#This Row],[Precio Final]]-STOCK[[#This Row],[Costo total]]</f>
        <v>10.2822222222222</v>
      </c>
      <c r="X243" s="54">
        <f>STOCK[[#This Row],[Ganancia Unitaria]]*STOCK[[#This Row],[Salidas]]</f>
        <v>10.2822222222222</v>
      </c>
      <c r="AA243" s="54">
        <f>STOCK[[#This Row],[Costo total]]*STOCK[[#This Row],[Entradas]]</f>
        <v>19.7177777777778</v>
      </c>
      <c r="AB243" s="54">
        <f>STOCK[[#This Row],[Stock Actual]]*STOCK[[#This Row],[Costo total]]</f>
        <v>0</v>
      </c>
    </row>
    <row r="244" s="53" customFormat="1" ht="50" customHeight="1" spans="1:29">
      <c r="A244" s="53" t="s">
        <v>530</v>
      </c>
      <c r="B244" s="66"/>
      <c r="C244" s="53" t="s">
        <v>32</v>
      </c>
      <c r="D244" s="53" t="s">
        <v>523</v>
      </c>
      <c r="E244" s="67" t="s">
        <v>531</v>
      </c>
      <c r="F244" s="53" t="s">
        <v>525</v>
      </c>
      <c r="G244" s="53" t="s">
        <v>36</v>
      </c>
      <c r="H244" s="53">
        <f>STOCK[[#This Row],[Precio Final]]</f>
        <v>1</v>
      </c>
      <c r="I244" s="53">
        <f>STOCK[[#This Row],[Precio Venta Ideal (x1.5)]]</f>
        <v>0.804166666666667</v>
      </c>
      <c r="J244" s="71">
        <v>7</v>
      </c>
      <c r="K244" s="71">
        <f>SUMIFS(VENTAS[Cantidad],VENTAS[Código del producto Vendido],STOCK[[#This Row],[Code]])</f>
        <v>4</v>
      </c>
      <c r="L244" s="71">
        <f>STOCK[[#This Row],[Entradas]]-STOCK[[#This Row],[Salidas]]</f>
        <v>3</v>
      </c>
      <c r="M244" s="53">
        <f>STOCK[[#This Row],[Precio Final]]*10%</f>
        <v>0.1</v>
      </c>
      <c r="N244" s="53">
        <v>0.65</v>
      </c>
      <c r="O244" s="53">
        <v>18</v>
      </c>
      <c r="P244" s="53">
        <v>0.0361111111111111</v>
      </c>
      <c r="Q244" s="71">
        <v>50</v>
      </c>
      <c r="R244" s="53">
        <v>8</v>
      </c>
      <c r="S244" s="53">
        <f>STOCK[[#This Row],[Peso (g)]]*STOCK[[#This Row],[Precio Envío Kilogramo (USD)]]/1000</f>
        <v>0.4</v>
      </c>
      <c r="T244" s="53">
        <f>STOCK[[#This Row],[Costo Unitario (USD)]]+STOCK[[#This Row],[Costo Envío (USD)]]+STOCK[[#This Row],[Comisión 10%]]</f>
        <v>0.536111111111111</v>
      </c>
      <c r="U244" s="53">
        <f>STOCK[[#This Row],[Costo total]]*1.5</f>
        <v>0.804166666666667</v>
      </c>
      <c r="V244" s="53">
        <v>1</v>
      </c>
      <c r="W244" s="53">
        <f>STOCK[[#This Row],[Precio Final]]-STOCK[[#This Row],[Costo total]]</f>
        <v>0.463888888888889</v>
      </c>
      <c r="X244" s="53">
        <f>STOCK[[#This Row],[Ganancia Unitaria]]*STOCK[[#This Row],[Salidas]]</f>
        <v>1.85555555555556</v>
      </c>
      <c r="AA244" s="53">
        <f>STOCK[[#This Row],[Costo total]]*STOCK[[#This Row],[Entradas]]</f>
        <v>3.75277777777778</v>
      </c>
      <c r="AB244" s="53">
        <f>STOCK[[#This Row],[Stock Actual]]*STOCK[[#This Row],[Costo total]]</f>
        <v>1.60833333333333</v>
      </c>
      <c r="AC244" s="53">
        <v>0.6</v>
      </c>
    </row>
    <row r="245" s="54" customFormat="1" ht="50" customHeight="1" spans="1:28">
      <c r="A245" s="54" t="s">
        <v>532</v>
      </c>
      <c r="B245" s="66"/>
      <c r="C245" s="54" t="s">
        <v>32</v>
      </c>
      <c r="D245" s="54" t="s">
        <v>174</v>
      </c>
      <c r="E245" s="68" t="s">
        <v>533</v>
      </c>
      <c r="G245" s="54" t="s">
        <v>36</v>
      </c>
      <c r="H245" s="54">
        <f>STOCK[[#This Row],[Precio Final]]</f>
        <v>1</v>
      </c>
      <c r="I245" s="54">
        <f>STOCK[[#This Row],[Precio Venta Ideal (x1.5)]]</f>
        <v>3.22166666666667</v>
      </c>
      <c r="J245" s="72">
        <v>1</v>
      </c>
      <c r="K245" s="72">
        <f>SUMIFS(VENTAS[Cantidad],VENTAS[Código del producto Vendido],STOCK[[#This Row],[Code]])</f>
        <v>1</v>
      </c>
      <c r="L245" s="72">
        <f>STOCK[[#This Row],[Entradas]]-STOCK[[#This Row],[Salidas]]</f>
        <v>0</v>
      </c>
      <c r="M245" s="54">
        <f>STOCK[[#This Row],[Precio Final]]*10%</f>
        <v>0.1</v>
      </c>
      <c r="N245" s="54">
        <v>36.86</v>
      </c>
      <c r="O245" s="54">
        <v>18</v>
      </c>
      <c r="P245" s="54">
        <v>2.04777777777778</v>
      </c>
      <c r="Q245" s="72"/>
      <c r="R245" s="54">
        <v>8</v>
      </c>
      <c r="S245" s="54">
        <f>STOCK[[#This Row],[Peso (g)]]*STOCK[[#This Row],[Precio Envío Kilogramo (USD)]]/1000</f>
        <v>0</v>
      </c>
      <c r="T245" s="53">
        <f>STOCK[[#This Row],[Costo Unitario (USD)]]+STOCK[[#This Row],[Costo Envío (USD)]]+STOCK[[#This Row],[Comisión 10%]]</f>
        <v>2.14777777777778</v>
      </c>
      <c r="U245" s="54">
        <f>STOCK[[#This Row],[Costo total]]*1.5</f>
        <v>3.22166666666667</v>
      </c>
      <c r="V245" s="54">
        <v>1</v>
      </c>
      <c r="W245" s="54">
        <f>STOCK[[#This Row],[Precio Final]]-STOCK[[#This Row],[Costo total]]</f>
        <v>-1.14777777777778</v>
      </c>
      <c r="X245" s="54">
        <f>STOCK[[#This Row],[Ganancia Unitaria]]*STOCK[[#This Row],[Salidas]]</f>
        <v>-1.14777777777778</v>
      </c>
      <c r="AA245" s="54">
        <f>STOCK[[#This Row],[Costo total]]*STOCK[[#This Row],[Entradas]]</f>
        <v>2.14777777777778</v>
      </c>
      <c r="AB245" s="54">
        <f>STOCK[[#This Row],[Stock Actual]]*STOCK[[#This Row],[Costo total]]</f>
        <v>0</v>
      </c>
    </row>
    <row r="246" s="53" customFormat="1" ht="50" customHeight="1" spans="1:28">
      <c r="A246" s="53" t="s">
        <v>534</v>
      </c>
      <c r="B246" s="66"/>
      <c r="C246" s="53" t="s">
        <v>32</v>
      </c>
      <c r="D246" s="53" t="s">
        <v>44</v>
      </c>
      <c r="E246" s="67" t="s">
        <v>535</v>
      </c>
      <c r="F246" s="53" t="s">
        <v>187</v>
      </c>
      <c r="G246" s="53" t="s">
        <v>36</v>
      </c>
      <c r="H246" s="53">
        <f>STOCK[[#This Row],[Precio Final]]</f>
        <v>18</v>
      </c>
      <c r="I246" s="53">
        <f>STOCK[[#This Row],[Precio Venta Ideal (x1.5)]]</f>
        <v>24.7666666666666</v>
      </c>
      <c r="J246" s="71">
        <v>1</v>
      </c>
      <c r="K246" s="71">
        <f>SUMIFS(VENTAS[Cantidad],VENTAS[Código del producto Vendido],STOCK[[#This Row],[Code]])</f>
        <v>1</v>
      </c>
      <c r="L246" s="71">
        <f>STOCK[[#This Row],[Entradas]]-STOCK[[#This Row],[Salidas]]</f>
        <v>0</v>
      </c>
      <c r="M246" s="53">
        <f>STOCK[[#This Row],[Precio Final]]*10%</f>
        <v>1.8</v>
      </c>
      <c r="N246" s="53">
        <v>228.8</v>
      </c>
      <c r="O246" s="53">
        <v>18</v>
      </c>
      <c r="P246" s="53">
        <v>12.7111111111111</v>
      </c>
      <c r="Q246" s="71">
        <v>250</v>
      </c>
      <c r="R246" s="53">
        <v>8</v>
      </c>
      <c r="S246" s="53">
        <f>STOCK[[#This Row],[Peso (g)]]*STOCK[[#This Row],[Precio Envío Kilogramo (USD)]]/1000</f>
        <v>2</v>
      </c>
      <c r="T246" s="53">
        <f>STOCK[[#This Row],[Costo Unitario (USD)]]+STOCK[[#This Row],[Costo Envío (USD)]]+STOCK[[#This Row],[Comisión 10%]]</f>
        <v>16.5111111111111</v>
      </c>
      <c r="U246" s="53">
        <f>STOCK[[#This Row],[Costo total]]*1.5</f>
        <v>24.7666666666666</v>
      </c>
      <c r="V246" s="53">
        <v>18</v>
      </c>
      <c r="W246" s="53">
        <f>STOCK[[#This Row],[Precio Final]]-STOCK[[#This Row],[Costo total]]</f>
        <v>1.4888888888889</v>
      </c>
      <c r="X246" s="53">
        <f>STOCK[[#This Row],[Ganancia Unitaria]]*STOCK[[#This Row],[Salidas]]</f>
        <v>1.4888888888889</v>
      </c>
      <c r="AA246" s="53">
        <f>STOCK[[#This Row],[Costo total]]*STOCK[[#This Row],[Entradas]]</f>
        <v>16.5111111111111</v>
      </c>
      <c r="AB246" s="53">
        <f>STOCK[[#This Row],[Stock Actual]]*STOCK[[#This Row],[Costo total]]</f>
        <v>0</v>
      </c>
    </row>
    <row r="247" s="54" customFormat="1" ht="50" customHeight="1" spans="1:28">
      <c r="A247" s="54" t="s">
        <v>536</v>
      </c>
      <c r="B247" s="66"/>
      <c r="C247" s="54" t="s">
        <v>32</v>
      </c>
      <c r="D247" s="54" t="s">
        <v>351</v>
      </c>
      <c r="E247" s="68" t="s">
        <v>537</v>
      </c>
      <c r="F247" s="54" t="s">
        <v>35</v>
      </c>
      <c r="G247" s="54" t="s">
        <v>36</v>
      </c>
      <c r="H247" s="54">
        <f>STOCK[[#This Row],[Precio Final]]</f>
        <v>12</v>
      </c>
      <c r="I247" s="54">
        <f>STOCK[[#This Row],[Precio Venta Ideal (x1.5)]]</f>
        <v>10.5458333333333</v>
      </c>
      <c r="J247" s="72">
        <v>2</v>
      </c>
      <c r="K247" s="72">
        <f>SUMIFS(VENTAS[Cantidad],VENTAS[Código del producto Vendido],STOCK[[#This Row],[Code]])</f>
        <v>2</v>
      </c>
      <c r="L247" s="72">
        <f>STOCK[[#This Row],[Entradas]]-STOCK[[#This Row],[Salidas]]</f>
        <v>0</v>
      </c>
      <c r="M247" s="54">
        <f>STOCK[[#This Row],[Precio Final]]*10%</f>
        <v>1.2</v>
      </c>
      <c r="N247" s="54">
        <v>97.75</v>
      </c>
      <c r="O247" s="54">
        <v>18</v>
      </c>
      <c r="P247" s="54">
        <v>5.43055555555556</v>
      </c>
      <c r="Q247" s="72">
        <v>50</v>
      </c>
      <c r="R247" s="54">
        <v>8</v>
      </c>
      <c r="S247" s="54">
        <f>STOCK[[#This Row],[Peso (g)]]*STOCK[[#This Row],[Precio Envío Kilogramo (USD)]]/1000</f>
        <v>0.4</v>
      </c>
      <c r="T247" s="53">
        <f>STOCK[[#This Row],[Costo Unitario (USD)]]+STOCK[[#This Row],[Costo Envío (USD)]]+STOCK[[#This Row],[Comisión 10%]]</f>
        <v>7.03055555555556</v>
      </c>
      <c r="U247" s="54">
        <f>STOCK[[#This Row],[Costo total]]*1.5</f>
        <v>10.5458333333333</v>
      </c>
      <c r="V247" s="54">
        <v>12</v>
      </c>
      <c r="W247" s="54">
        <f>STOCK[[#This Row],[Precio Final]]-STOCK[[#This Row],[Costo total]]</f>
        <v>4.96944444444444</v>
      </c>
      <c r="X247" s="54">
        <f>STOCK[[#This Row],[Ganancia Unitaria]]*STOCK[[#This Row],[Salidas]]</f>
        <v>9.93888888888888</v>
      </c>
      <c r="AA247" s="54">
        <f>STOCK[[#This Row],[Costo total]]*STOCK[[#This Row],[Entradas]]</f>
        <v>14.0611111111111</v>
      </c>
      <c r="AB247" s="54">
        <f>STOCK[[#This Row],[Stock Actual]]*STOCK[[#This Row],[Costo total]]</f>
        <v>0</v>
      </c>
    </row>
    <row r="248" s="53" customFormat="1" ht="50" customHeight="1" spans="1:28">
      <c r="A248" s="53" t="s">
        <v>538</v>
      </c>
      <c r="B248" s="66"/>
      <c r="C248" s="53" t="s">
        <v>32</v>
      </c>
      <c r="D248" s="53" t="s">
        <v>515</v>
      </c>
      <c r="E248" s="67" t="s">
        <v>539</v>
      </c>
      <c r="F248" s="53" t="s">
        <v>540</v>
      </c>
      <c r="G248" s="53" t="s">
        <v>36</v>
      </c>
      <c r="H248" s="53">
        <f>STOCK[[#This Row],[Precio Final]]</f>
        <v>38</v>
      </c>
      <c r="I248" s="53">
        <f>STOCK[[#This Row],[Precio Venta Ideal (x1.5)]]</f>
        <v>47.5833333333333</v>
      </c>
      <c r="J248" s="71">
        <v>1</v>
      </c>
      <c r="K248" s="71">
        <f>SUMIFS(VENTAS[Cantidad],VENTAS[Código del producto Vendido],STOCK[[#This Row],[Code]])</f>
        <v>1</v>
      </c>
      <c r="L248" s="71">
        <f>STOCK[[#This Row],[Entradas]]-STOCK[[#This Row],[Salidas]]</f>
        <v>0</v>
      </c>
      <c r="M248" s="53">
        <f>STOCK[[#This Row],[Precio Final]]*10%</f>
        <v>3.8</v>
      </c>
      <c r="N248" s="53">
        <v>452.2</v>
      </c>
      <c r="O248" s="53">
        <v>18</v>
      </c>
      <c r="P248" s="53">
        <v>25.1222222222222</v>
      </c>
      <c r="Q248" s="71">
        <v>350</v>
      </c>
      <c r="R248" s="53">
        <v>8</v>
      </c>
      <c r="S248" s="53">
        <f>STOCK[[#This Row],[Peso (g)]]*STOCK[[#This Row],[Precio Envío Kilogramo (USD)]]/1000</f>
        <v>2.8</v>
      </c>
      <c r="T248" s="53">
        <f>STOCK[[#This Row],[Costo Unitario (USD)]]+STOCK[[#This Row],[Costo Envío (USD)]]+STOCK[[#This Row],[Comisión 10%]]</f>
        <v>31.7222222222222</v>
      </c>
      <c r="U248" s="53">
        <f>STOCK[[#This Row],[Costo total]]*1.5</f>
        <v>47.5833333333333</v>
      </c>
      <c r="V248" s="53">
        <v>38</v>
      </c>
      <c r="W248" s="53">
        <f>STOCK[[#This Row],[Precio Final]]-STOCK[[#This Row],[Costo total]]</f>
        <v>6.2777777777778</v>
      </c>
      <c r="X248" s="53">
        <f>STOCK[[#This Row],[Ganancia Unitaria]]*STOCK[[#This Row],[Salidas]]</f>
        <v>6.2777777777778</v>
      </c>
      <c r="AA248" s="53">
        <f>STOCK[[#This Row],[Costo total]]*STOCK[[#This Row],[Entradas]]</f>
        <v>31.7222222222222</v>
      </c>
      <c r="AB248" s="53">
        <f>STOCK[[#This Row],[Stock Actual]]*STOCK[[#This Row],[Costo total]]</f>
        <v>0</v>
      </c>
    </row>
    <row r="249" s="54" customFormat="1" ht="50" customHeight="1" spans="1:28">
      <c r="A249" s="54" t="s">
        <v>541</v>
      </c>
      <c r="B249" s="66"/>
      <c r="C249" s="54" t="s">
        <v>32</v>
      </c>
      <c r="D249" s="54" t="s">
        <v>152</v>
      </c>
      <c r="E249" s="68" t="s">
        <v>542</v>
      </c>
      <c r="F249" s="54" t="s">
        <v>62</v>
      </c>
      <c r="G249" s="54" t="s">
        <v>36</v>
      </c>
      <c r="H249" s="54">
        <f>STOCK[[#This Row],[Precio Final]]</f>
        <v>20</v>
      </c>
      <c r="I249" s="54">
        <f>STOCK[[#This Row],[Precio Venta Ideal (x1.5)]]</f>
        <v>21.7833333333333</v>
      </c>
      <c r="J249" s="72">
        <v>1</v>
      </c>
      <c r="K249" s="72">
        <f>SUMIFS(VENTAS[Cantidad],VENTAS[Código del producto Vendido],STOCK[[#This Row],[Code]])</f>
        <v>1</v>
      </c>
      <c r="L249" s="72">
        <f>STOCK[[#This Row],[Entradas]]-STOCK[[#This Row],[Salidas]]</f>
        <v>0</v>
      </c>
      <c r="M249" s="54">
        <f>STOCK[[#This Row],[Precio Final]]*10%</f>
        <v>2</v>
      </c>
      <c r="N249" s="54">
        <v>211</v>
      </c>
      <c r="O249" s="54">
        <v>18</v>
      </c>
      <c r="P249" s="54">
        <v>11.7222222222222</v>
      </c>
      <c r="Q249" s="72">
        <v>100</v>
      </c>
      <c r="R249" s="54">
        <v>8</v>
      </c>
      <c r="S249" s="54">
        <f>STOCK[[#This Row],[Peso (g)]]*STOCK[[#This Row],[Precio Envío Kilogramo (USD)]]/1000</f>
        <v>0.8</v>
      </c>
      <c r="T249" s="53">
        <f>STOCK[[#This Row],[Costo Unitario (USD)]]+STOCK[[#This Row],[Costo Envío (USD)]]+STOCK[[#This Row],[Comisión 10%]]</f>
        <v>14.5222222222222</v>
      </c>
      <c r="U249" s="54">
        <f>STOCK[[#This Row],[Costo total]]*1.5</f>
        <v>21.7833333333333</v>
      </c>
      <c r="V249" s="54">
        <v>20</v>
      </c>
      <c r="W249" s="54">
        <f>STOCK[[#This Row],[Precio Final]]-STOCK[[#This Row],[Costo total]]</f>
        <v>5.4777777777778</v>
      </c>
      <c r="X249" s="54">
        <f>STOCK[[#This Row],[Ganancia Unitaria]]*STOCK[[#This Row],[Salidas]]</f>
        <v>5.4777777777778</v>
      </c>
      <c r="AA249" s="54">
        <f>STOCK[[#This Row],[Costo total]]*STOCK[[#This Row],[Entradas]]</f>
        <v>14.5222222222222</v>
      </c>
      <c r="AB249" s="54">
        <f>STOCK[[#This Row],[Stock Actual]]*STOCK[[#This Row],[Costo total]]</f>
        <v>0</v>
      </c>
    </row>
    <row r="250" s="53" customFormat="1" ht="50" customHeight="1" spans="1:28">
      <c r="A250" s="53" t="s">
        <v>543</v>
      </c>
      <c r="B250" s="66"/>
      <c r="C250" s="53" t="s">
        <v>32</v>
      </c>
      <c r="D250" s="53" t="s">
        <v>174</v>
      </c>
      <c r="E250" s="67" t="s">
        <v>544</v>
      </c>
      <c r="F250" s="53" t="s">
        <v>62</v>
      </c>
      <c r="G250" s="53" t="s">
        <v>36</v>
      </c>
      <c r="H250" s="53">
        <f>STOCK[[#This Row],[Precio Final]]</f>
        <v>15</v>
      </c>
      <c r="I250" s="53">
        <f>STOCK[[#This Row],[Precio Venta Ideal (x1.5)]]</f>
        <v>17.8566666666667</v>
      </c>
      <c r="J250" s="71">
        <v>1</v>
      </c>
      <c r="K250" s="71">
        <f>SUMIFS(VENTAS[Cantidad],VENTAS[Código del producto Vendido],STOCK[[#This Row],[Code]])</f>
        <v>1</v>
      </c>
      <c r="L250" s="71">
        <f>STOCK[[#This Row],[Entradas]]-STOCK[[#This Row],[Salidas]]</f>
        <v>0</v>
      </c>
      <c r="M250" s="53">
        <f>STOCK[[#This Row],[Precio Final]]*10%</f>
        <v>1.5</v>
      </c>
      <c r="N250" s="53">
        <v>170</v>
      </c>
      <c r="O250" s="53">
        <v>18</v>
      </c>
      <c r="P250" s="53">
        <v>9.44444444444444</v>
      </c>
      <c r="Q250" s="71">
        <v>120</v>
      </c>
      <c r="R250" s="53">
        <v>8</v>
      </c>
      <c r="S250" s="53">
        <f>STOCK[[#This Row],[Peso (g)]]*STOCK[[#This Row],[Precio Envío Kilogramo (USD)]]/1000</f>
        <v>0.96</v>
      </c>
      <c r="T250" s="53">
        <f>STOCK[[#This Row],[Costo Unitario (USD)]]+STOCK[[#This Row],[Costo Envío (USD)]]+STOCK[[#This Row],[Comisión 10%]]</f>
        <v>11.9044444444444</v>
      </c>
      <c r="U250" s="53">
        <f>STOCK[[#This Row],[Costo total]]*1.5</f>
        <v>17.8566666666667</v>
      </c>
      <c r="V250" s="53">
        <v>15</v>
      </c>
      <c r="W250" s="53">
        <f>STOCK[[#This Row],[Precio Final]]-STOCK[[#This Row],[Costo total]]</f>
        <v>3.09555555555556</v>
      </c>
      <c r="X250" s="53">
        <f>STOCK[[#This Row],[Ganancia Unitaria]]*STOCK[[#This Row],[Salidas]]</f>
        <v>3.09555555555556</v>
      </c>
      <c r="AA250" s="53">
        <f>STOCK[[#This Row],[Costo total]]*STOCK[[#This Row],[Entradas]]</f>
        <v>11.9044444444444</v>
      </c>
      <c r="AB250" s="53">
        <f>STOCK[[#This Row],[Stock Actual]]*STOCK[[#This Row],[Costo total]]</f>
        <v>0</v>
      </c>
    </row>
    <row r="251" s="54" customFormat="1" ht="50" customHeight="1" spans="1:28">
      <c r="A251" s="54" t="s">
        <v>545</v>
      </c>
      <c r="B251" s="66"/>
      <c r="C251" s="54" t="s">
        <v>32</v>
      </c>
      <c r="D251" s="54" t="s">
        <v>546</v>
      </c>
      <c r="E251" s="68" t="s">
        <v>547</v>
      </c>
      <c r="F251" s="54" t="s">
        <v>548</v>
      </c>
      <c r="G251" s="54" t="s">
        <v>36</v>
      </c>
      <c r="H251" s="54">
        <f>STOCK[[#This Row],[Precio Final]]</f>
        <v>8</v>
      </c>
      <c r="I251" s="54">
        <f>STOCK[[#This Row],[Precio Venta Ideal (x1.5)]]</f>
        <v>6.99666666666666</v>
      </c>
      <c r="J251" s="72">
        <v>1</v>
      </c>
      <c r="K251" s="72">
        <f>SUMIFS(VENTAS[Cantidad],VENTAS[Código del producto Vendido],STOCK[[#This Row],[Code]])</f>
        <v>1</v>
      </c>
      <c r="L251" s="72">
        <f>STOCK[[#This Row],[Entradas]]-STOCK[[#This Row],[Salidas]]</f>
        <v>0</v>
      </c>
      <c r="M251" s="54">
        <f>STOCK[[#This Row],[Precio Final]]*10%</f>
        <v>0.8</v>
      </c>
      <c r="N251" s="54">
        <v>62.36</v>
      </c>
      <c r="O251" s="54">
        <v>18</v>
      </c>
      <c r="P251" s="54">
        <v>3.46444444444444</v>
      </c>
      <c r="Q251" s="72">
        <v>50</v>
      </c>
      <c r="R251" s="54">
        <v>8</v>
      </c>
      <c r="S251" s="54">
        <f>STOCK[[#This Row],[Peso (g)]]*STOCK[[#This Row],[Precio Envío Kilogramo (USD)]]/1000</f>
        <v>0.4</v>
      </c>
      <c r="T251" s="53">
        <f>STOCK[[#This Row],[Costo Unitario (USD)]]+STOCK[[#This Row],[Costo Envío (USD)]]+STOCK[[#This Row],[Comisión 10%]]</f>
        <v>4.66444444444444</v>
      </c>
      <c r="U251" s="54">
        <f>STOCK[[#This Row],[Costo total]]*1.5</f>
        <v>6.99666666666666</v>
      </c>
      <c r="V251" s="54">
        <v>8</v>
      </c>
      <c r="W251" s="54">
        <f>STOCK[[#This Row],[Precio Final]]-STOCK[[#This Row],[Costo total]]</f>
        <v>3.33555555555556</v>
      </c>
      <c r="X251" s="54">
        <f>STOCK[[#This Row],[Ganancia Unitaria]]*STOCK[[#This Row],[Salidas]]</f>
        <v>3.33555555555556</v>
      </c>
      <c r="AA251" s="54">
        <f>STOCK[[#This Row],[Costo total]]*STOCK[[#This Row],[Entradas]]</f>
        <v>4.66444444444444</v>
      </c>
      <c r="AB251" s="54">
        <f>STOCK[[#This Row],[Stock Actual]]*STOCK[[#This Row],[Costo total]]</f>
        <v>0</v>
      </c>
    </row>
    <row r="252" s="53" customFormat="1" ht="50" customHeight="1" spans="1:28">
      <c r="A252" s="53" t="s">
        <v>549</v>
      </c>
      <c r="B252" s="66"/>
      <c r="C252" s="53" t="s">
        <v>32</v>
      </c>
      <c r="D252" s="53" t="s">
        <v>152</v>
      </c>
      <c r="E252" s="67" t="s">
        <v>550</v>
      </c>
      <c r="F252" s="53" t="s">
        <v>40</v>
      </c>
      <c r="G252" s="53" t="s">
        <v>36</v>
      </c>
      <c r="H252" s="53">
        <f>STOCK[[#This Row],[Precio Final]]</f>
        <v>13</v>
      </c>
      <c r="I252" s="53">
        <f>STOCK[[#This Row],[Precio Venta Ideal (x1.5)]]</f>
        <v>14.2141666666667</v>
      </c>
      <c r="J252" s="71">
        <v>1</v>
      </c>
      <c r="K252" s="71">
        <f>SUMIFS(VENTAS[Cantidad],VENTAS[Código del producto Vendido],STOCK[[#This Row],[Code]])</f>
        <v>1</v>
      </c>
      <c r="L252" s="71">
        <f>STOCK[[#This Row],[Entradas]]-STOCK[[#This Row],[Salidas]]</f>
        <v>0</v>
      </c>
      <c r="M252" s="53">
        <f>STOCK[[#This Row],[Precio Final]]*10%</f>
        <v>1.3</v>
      </c>
      <c r="N252" s="53">
        <v>132.77</v>
      </c>
      <c r="O252" s="53">
        <v>18</v>
      </c>
      <c r="P252" s="53">
        <v>7.37611111111111</v>
      </c>
      <c r="Q252" s="71">
        <v>100</v>
      </c>
      <c r="R252" s="53">
        <v>8</v>
      </c>
      <c r="S252" s="53">
        <f>STOCK[[#This Row],[Peso (g)]]*STOCK[[#This Row],[Precio Envío Kilogramo (USD)]]/1000</f>
        <v>0.8</v>
      </c>
      <c r="T252" s="53">
        <f>STOCK[[#This Row],[Costo Unitario (USD)]]+STOCK[[#This Row],[Costo Envío (USD)]]+STOCK[[#This Row],[Comisión 10%]]</f>
        <v>9.47611111111111</v>
      </c>
      <c r="U252" s="53">
        <f>STOCK[[#This Row],[Costo total]]*1.5</f>
        <v>14.2141666666667</v>
      </c>
      <c r="V252" s="53">
        <v>13</v>
      </c>
      <c r="W252" s="53">
        <f>STOCK[[#This Row],[Precio Final]]-STOCK[[#This Row],[Costo total]]</f>
        <v>3.52388888888889</v>
      </c>
      <c r="X252" s="53">
        <f>STOCK[[#This Row],[Ganancia Unitaria]]*STOCK[[#This Row],[Salidas]]</f>
        <v>3.52388888888889</v>
      </c>
      <c r="AA252" s="53">
        <f>STOCK[[#This Row],[Costo total]]*STOCK[[#This Row],[Entradas]]</f>
        <v>9.47611111111111</v>
      </c>
      <c r="AB252" s="53">
        <f>STOCK[[#This Row],[Stock Actual]]*STOCK[[#This Row],[Costo total]]</f>
        <v>0</v>
      </c>
    </row>
    <row r="253" s="54" customFormat="1" ht="50" customHeight="1" spans="1:28">
      <c r="A253" s="54" t="s">
        <v>551</v>
      </c>
      <c r="B253" s="66"/>
      <c r="C253" s="54" t="s">
        <v>32</v>
      </c>
      <c r="D253" s="54" t="s">
        <v>515</v>
      </c>
      <c r="E253" s="68" t="s">
        <v>552</v>
      </c>
      <c r="F253" s="54" t="s">
        <v>540</v>
      </c>
      <c r="G253" s="54" t="s">
        <v>36</v>
      </c>
      <c r="H253" s="54">
        <f>STOCK[[#This Row],[Precio Final]]</f>
        <v>45</v>
      </c>
      <c r="I253" s="54">
        <f>STOCK[[#This Row],[Precio Venta Ideal (x1.5)]]</f>
        <v>48.4291666666666</v>
      </c>
      <c r="J253" s="72">
        <v>1</v>
      </c>
      <c r="K253" s="72">
        <f>SUMIFS(VENTAS[Cantidad],VENTAS[Código del producto Vendido],STOCK[[#This Row],[Code]])</f>
        <v>1</v>
      </c>
      <c r="L253" s="72">
        <f>STOCK[[#This Row],[Entradas]]-STOCK[[#This Row],[Salidas]]</f>
        <v>0</v>
      </c>
      <c r="M253" s="54">
        <f>STOCK[[#This Row],[Precio Final]]*10%</f>
        <v>4.5</v>
      </c>
      <c r="N253" s="54">
        <v>442.55</v>
      </c>
      <c r="O253" s="54">
        <v>18</v>
      </c>
      <c r="P253" s="54">
        <v>24.5861111111111</v>
      </c>
      <c r="Q253" s="72">
        <v>400</v>
      </c>
      <c r="R253" s="54">
        <v>8</v>
      </c>
      <c r="S253" s="54">
        <f>STOCK[[#This Row],[Peso (g)]]*STOCK[[#This Row],[Precio Envío Kilogramo (USD)]]/1000</f>
        <v>3.2</v>
      </c>
      <c r="T253" s="53">
        <f>STOCK[[#This Row],[Costo Unitario (USD)]]+STOCK[[#This Row],[Costo Envío (USD)]]+STOCK[[#This Row],[Comisión 10%]]</f>
        <v>32.2861111111111</v>
      </c>
      <c r="U253" s="54">
        <f>STOCK[[#This Row],[Costo total]]*1.5</f>
        <v>48.4291666666666</v>
      </c>
      <c r="V253" s="54">
        <v>45</v>
      </c>
      <c r="W253" s="54">
        <f>STOCK[[#This Row],[Precio Final]]-STOCK[[#This Row],[Costo total]]</f>
        <v>12.7138888888889</v>
      </c>
      <c r="X253" s="54">
        <f>STOCK[[#This Row],[Ganancia Unitaria]]*STOCK[[#This Row],[Salidas]]</f>
        <v>12.7138888888889</v>
      </c>
      <c r="AA253" s="54">
        <f>STOCK[[#This Row],[Costo total]]*STOCK[[#This Row],[Entradas]]</f>
        <v>32.2861111111111</v>
      </c>
      <c r="AB253" s="54">
        <f>STOCK[[#This Row],[Stock Actual]]*STOCK[[#This Row],[Costo total]]</f>
        <v>0</v>
      </c>
    </row>
    <row r="254" s="53" customFormat="1" ht="50" customHeight="1" spans="1:28">
      <c r="A254" s="53" t="s">
        <v>553</v>
      </c>
      <c r="B254" s="66"/>
      <c r="C254" s="53" t="s">
        <v>32</v>
      </c>
      <c r="D254" s="53" t="s">
        <v>152</v>
      </c>
      <c r="E254" s="67" t="s">
        <v>554</v>
      </c>
      <c r="F254" s="53" t="s">
        <v>40</v>
      </c>
      <c r="G254" s="53" t="s">
        <v>36</v>
      </c>
      <c r="H254" s="53">
        <f>STOCK[[#This Row],[Precio Final]]</f>
        <v>15</v>
      </c>
      <c r="I254" s="53">
        <f>STOCK[[#This Row],[Precio Venta Ideal (x1.5)]]</f>
        <v>17.0841666666667</v>
      </c>
      <c r="J254" s="71">
        <v>1</v>
      </c>
      <c r="K254" s="71">
        <f>SUMIFS(VENTAS[Cantidad],VENTAS[Código del producto Vendido],STOCK[[#This Row],[Code]])</f>
        <v>1</v>
      </c>
      <c r="L254" s="71">
        <f>STOCK[[#This Row],[Entradas]]-STOCK[[#This Row],[Salidas]]</f>
        <v>0</v>
      </c>
      <c r="M254" s="53">
        <f>STOCK[[#This Row],[Precio Final]]*10%</f>
        <v>1.5</v>
      </c>
      <c r="N254" s="53">
        <v>163.61</v>
      </c>
      <c r="O254" s="53">
        <v>18</v>
      </c>
      <c r="P254" s="53">
        <v>9.08944444444445</v>
      </c>
      <c r="Q254" s="71">
        <v>100</v>
      </c>
      <c r="R254" s="53">
        <v>8</v>
      </c>
      <c r="S254" s="53">
        <f>STOCK[[#This Row],[Peso (g)]]*STOCK[[#This Row],[Precio Envío Kilogramo (USD)]]/1000</f>
        <v>0.8</v>
      </c>
      <c r="T254" s="53">
        <f>STOCK[[#This Row],[Costo Unitario (USD)]]+STOCK[[#This Row],[Costo Envío (USD)]]+STOCK[[#This Row],[Comisión 10%]]</f>
        <v>11.3894444444445</v>
      </c>
      <c r="U254" s="53">
        <f>STOCK[[#This Row],[Costo total]]*1.5</f>
        <v>17.0841666666667</v>
      </c>
      <c r="V254" s="53">
        <v>15</v>
      </c>
      <c r="W254" s="53">
        <f>STOCK[[#This Row],[Precio Final]]-STOCK[[#This Row],[Costo total]]</f>
        <v>3.61055555555555</v>
      </c>
      <c r="X254" s="53">
        <f>STOCK[[#This Row],[Ganancia Unitaria]]*STOCK[[#This Row],[Salidas]]</f>
        <v>3.61055555555555</v>
      </c>
      <c r="AA254" s="53">
        <f>STOCK[[#This Row],[Costo total]]*STOCK[[#This Row],[Entradas]]</f>
        <v>11.3894444444445</v>
      </c>
      <c r="AB254" s="53">
        <f>STOCK[[#This Row],[Stock Actual]]*STOCK[[#This Row],[Costo total]]</f>
        <v>0</v>
      </c>
    </row>
    <row r="255" s="54" customFormat="1" ht="50" customHeight="1" spans="1:29">
      <c r="A255" s="54" t="s">
        <v>555</v>
      </c>
      <c r="B255" s="66"/>
      <c r="C255" s="54" t="s">
        <v>32</v>
      </c>
      <c r="D255" s="53" t="s">
        <v>556</v>
      </c>
      <c r="E255" s="68" t="s">
        <v>557</v>
      </c>
      <c r="F255" s="54" t="s">
        <v>540</v>
      </c>
      <c r="G255" s="54" t="s">
        <v>36</v>
      </c>
      <c r="H255" s="54">
        <f>STOCK[[#This Row],[Precio Final]]</f>
        <v>45</v>
      </c>
      <c r="I255" s="54">
        <f>STOCK[[#This Row],[Precio Venta Ideal (x1.5)]]</f>
        <v>45.8025</v>
      </c>
      <c r="J255" s="72">
        <v>1</v>
      </c>
      <c r="K255" s="72">
        <f>SUMIFS(VENTAS[Cantidad],VENTAS[Código del producto Vendido],STOCK[[#This Row],[Code]])</f>
        <v>1</v>
      </c>
      <c r="L255" s="72">
        <f>STOCK[[#This Row],[Entradas]]-STOCK[[#This Row],[Salidas]]</f>
        <v>0</v>
      </c>
      <c r="M255" s="54">
        <f>STOCK[[#This Row],[Precio Final]]*10%</f>
        <v>4.5</v>
      </c>
      <c r="N255" s="54">
        <v>411.03</v>
      </c>
      <c r="O255" s="54">
        <v>18</v>
      </c>
      <c r="P255" s="54">
        <v>22.835</v>
      </c>
      <c r="Q255" s="72">
        <v>400</v>
      </c>
      <c r="R255" s="54">
        <v>8</v>
      </c>
      <c r="S255" s="54">
        <f>STOCK[[#This Row],[Peso (g)]]*STOCK[[#This Row],[Precio Envío Kilogramo (USD)]]/1000</f>
        <v>3.2</v>
      </c>
      <c r="T255" s="53">
        <f>STOCK[[#This Row],[Costo Unitario (USD)]]+STOCK[[#This Row],[Costo Envío (USD)]]+STOCK[[#This Row],[Comisión 10%]]</f>
        <v>30.535</v>
      </c>
      <c r="U255" s="54">
        <f>STOCK[[#This Row],[Costo total]]*1.5</f>
        <v>45.8025</v>
      </c>
      <c r="V255" s="54">
        <v>45</v>
      </c>
      <c r="W255" s="54">
        <f>STOCK[[#This Row],[Precio Final]]-STOCK[[#This Row],[Costo total]]</f>
        <v>14.465</v>
      </c>
      <c r="X255" s="54">
        <f>STOCK[[#This Row],[Ganancia Unitaria]]*STOCK[[#This Row],[Salidas]]</f>
        <v>14.465</v>
      </c>
      <c r="AA255" s="54">
        <f>STOCK[[#This Row],[Costo total]]*STOCK[[#This Row],[Entradas]]</f>
        <v>30.535</v>
      </c>
      <c r="AB255" s="54">
        <f>STOCK[[#This Row],[Stock Actual]]*STOCK[[#This Row],[Costo total]]</f>
        <v>0</v>
      </c>
      <c r="AC255" s="54">
        <v>25</v>
      </c>
    </row>
    <row r="256" s="53" customFormat="1" ht="50" customHeight="1" spans="1:28">
      <c r="A256" s="53" t="s">
        <v>558</v>
      </c>
      <c r="B256" s="66"/>
      <c r="C256" s="53" t="s">
        <v>32</v>
      </c>
      <c r="D256" s="53" t="s">
        <v>44</v>
      </c>
      <c r="E256" s="67" t="s">
        <v>559</v>
      </c>
      <c r="F256" s="53" t="s">
        <v>40</v>
      </c>
      <c r="G256" s="53" t="s">
        <v>36</v>
      </c>
      <c r="H256" s="53">
        <f>STOCK[[#This Row],[Precio Final]]</f>
        <v>55</v>
      </c>
      <c r="I256" s="53">
        <f>STOCK[[#This Row],[Precio Venta Ideal (x1.5)]]</f>
        <v>62.3291666666667</v>
      </c>
      <c r="J256" s="71">
        <v>1</v>
      </c>
      <c r="K256" s="71">
        <f>SUMIFS(VENTAS[Cantidad],VENTAS[Código del producto Vendido],STOCK[[#This Row],[Code]])</f>
        <v>0</v>
      </c>
      <c r="L256" s="71">
        <f>STOCK[[#This Row],[Entradas]]-STOCK[[#This Row],[Salidas]]</f>
        <v>1</v>
      </c>
      <c r="M256" s="53">
        <f>STOCK[[#This Row],[Precio Final]]*10%</f>
        <v>5.5</v>
      </c>
      <c r="N256" s="53">
        <v>572.63</v>
      </c>
      <c r="O256" s="53">
        <v>18</v>
      </c>
      <c r="P256" s="53">
        <v>31.8127777777778</v>
      </c>
      <c r="Q256" s="71">
        <v>530</v>
      </c>
      <c r="R256" s="53">
        <v>8</v>
      </c>
      <c r="S256" s="53">
        <f>STOCK[[#This Row],[Peso (g)]]*STOCK[[#This Row],[Precio Envío Kilogramo (USD)]]/1000</f>
        <v>4.24</v>
      </c>
      <c r="T256" s="53">
        <f>STOCK[[#This Row],[Costo Unitario (USD)]]+STOCK[[#This Row],[Costo Envío (USD)]]+STOCK[[#This Row],[Comisión 10%]]</f>
        <v>41.5527777777778</v>
      </c>
      <c r="U256" s="53">
        <f>STOCK[[#This Row],[Costo total]]*1.5</f>
        <v>62.3291666666667</v>
      </c>
      <c r="V256" s="53">
        <v>55</v>
      </c>
      <c r="W256" s="53">
        <f>STOCK[[#This Row],[Precio Final]]-STOCK[[#This Row],[Costo total]]</f>
        <v>13.4472222222222</v>
      </c>
      <c r="X256" s="53">
        <f>STOCK[[#This Row],[Ganancia Unitaria]]*STOCK[[#This Row],[Salidas]]</f>
        <v>0</v>
      </c>
      <c r="AA256" s="53">
        <f>STOCK[[#This Row],[Costo total]]*STOCK[[#This Row],[Entradas]]</f>
        <v>41.5527777777778</v>
      </c>
      <c r="AB256" s="53">
        <f>STOCK[[#This Row],[Stock Actual]]*STOCK[[#This Row],[Costo total]]</f>
        <v>41.5527777777778</v>
      </c>
    </row>
    <row r="257" s="54" customFormat="1" ht="50" customHeight="1" spans="1:28">
      <c r="A257" s="54" t="s">
        <v>560</v>
      </c>
      <c r="B257" s="66"/>
      <c r="C257" s="54" t="s">
        <v>32</v>
      </c>
      <c r="D257" s="54" t="s">
        <v>152</v>
      </c>
      <c r="E257" s="68" t="s">
        <v>561</v>
      </c>
      <c r="F257" s="54" t="s">
        <v>40</v>
      </c>
      <c r="G257" s="54" t="s">
        <v>36</v>
      </c>
      <c r="H257" s="54">
        <f>STOCK[[#This Row],[Precio Final]]</f>
        <v>15</v>
      </c>
      <c r="I257" s="54">
        <f>STOCK[[#This Row],[Precio Venta Ideal (x1.5)]]</f>
        <v>12.2483333333333</v>
      </c>
      <c r="J257" s="72">
        <v>1</v>
      </c>
      <c r="K257" s="72">
        <f>SUMIFS(VENTAS[Cantidad],VENTAS[Código del producto Vendido],STOCK[[#This Row],[Code]])</f>
        <v>1</v>
      </c>
      <c r="L257" s="72">
        <f>STOCK[[#This Row],[Entradas]]-STOCK[[#This Row],[Salidas]]</f>
        <v>0</v>
      </c>
      <c r="M257" s="54">
        <f>STOCK[[#This Row],[Precio Final]]*10%</f>
        <v>1.5</v>
      </c>
      <c r="N257" s="54">
        <v>109.9</v>
      </c>
      <c r="O257" s="54">
        <v>18</v>
      </c>
      <c r="P257" s="54">
        <v>6.10555555555556</v>
      </c>
      <c r="Q257" s="72">
        <v>70</v>
      </c>
      <c r="R257" s="54">
        <v>8</v>
      </c>
      <c r="S257" s="54">
        <f>STOCK[[#This Row],[Peso (g)]]*STOCK[[#This Row],[Precio Envío Kilogramo (USD)]]/1000</f>
        <v>0.56</v>
      </c>
      <c r="T257" s="53">
        <f>STOCK[[#This Row],[Costo Unitario (USD)]]+STOCK[[#This Row],[Costo Envío (USD)]]+STOCK[[#This Row],[Comisión 10%]]</f>
        <v>8.16555555555556</v>
      </c>
      <c r="U257" s="54">
        <f>STOCK[[#This Row],[Costo total]]*1.5</f>
        <v>12.2483333333333</v>
      </c>
      <c r="V257" s="54">
        <v>15</v>
      </c>
      <c r="W257" s="54">
        <f>STOCK[[#This Row],[Precio Final]]-STOCK[[#This Row],[Costo total]]</f>
        <v>6.83444444444444</v>
      </c>
      <c r="X257" s="54">
        <f>STOCK[[#This Row],[Ganancia Unitaria]]*STOCK[[#This Row],[Salidas]]</f>
        <v>6.83444444444444</v>
      </c>
      <c r="AA257" s="54">
        <f>STOCK[[#This Row],[Costo total]]*STOCK[[#This Row],[Entradas]]</f>
        <v>8.16555555555556</v>
      </c>
      <c r="AB257" s="54">
        <f>STOCK[[#This Row],[Stock Actual]]*STOCK[[#This Row],[Costo total]]</f>
        <v>0</v>
      </c>
    </row>
    <row r="258" s="53" customFormat="1" ht="50" customHeight="1" spans="1:28">
      <c r="A258" s="53" t="s">
        <v>562</v>
      </c>
      <c r="B258" s="66"/>
      <c r="C258" s="53" t="s">
        <v>32</v>
      </c>
      <c r="D258" s="53" t="s">
        <v>44</v>
      </c>
      <c r="E258" s="67" t="s">
        <v>563</v>
      </c>
      <c r="F258" s="53" t="s">
        <v>40</v>
      </c>
      <c r="G258" s="53" t="s">
        <v>36</v>
      </c>
      <c r="H258" s="53">
        <f>STOCK[[#This Row],[Precio Final]]</f>
        <v>45</v>
      </c>
      <c r="I258" s="53">
        <f>STOCK[[#This Row],[Precio Venta Ideal (x1.5)]]</f>
        <v>64.6075</v>
      </c>
      <c r="J258" s="71">
        <v>1</v>
      </c>
      <c r="K258" s="71">
        <f>SUMIFS(VENTAS[Cantidad],VENTAS[Código del producto Vendido],STOCK[[#This Row],[Code]])</f>
        <v>1</v>
      </c>
      <c r="L258" s="71">
        <f>STOCK[[#This Row],[Entradas]]-STOCK[[#This Row],[Salidas]]</f>
        <v>0</v>
      </c>
      <c r="M258" s="53">
        <f>STOCK[[#This Row],[Precio Final]]*10%</f>
        <v>4.5</v>
      </c>
      <c r="N258" s="53">
        <v>629.49</v>
      </c>
      <c r="O258" s="53">
        <v>18</v>
      </c>
      <c r="P258" s="53">
        <v>34.9716666666667</v>
      </c>
      <c r="Q258" s="71">
        <v>450</v>
      </c>
      <c r="R258" s="53">
        <v>8</v>
      </c>
      <c r="S258" s="53">
        <f>STOCK[[#This Row],[Peso (g)]]*STOCK[[#This Row],[Precio Envío Kilogramo (USD)]]/1000</f>
        <v>3.6</v>
      </c>
      <c r="T258" s="53">
        <f>STOCK[[#This Row],[Costo Unitario (USD)]]+STOCK[[#This Row],[Costo Envío (USD)]]+STOCK[[#This Row],[Comisión 10%]]</f>
        <v>43.0716666666667</v>
      </c>
      <c r="U258" s="53">
        <f>STOCK[[#This Row],[Costo total]]*1.5</f>
        <v>64.6075</v>
      </c>
      <c r="V258" s="53">
        <v>45</v>
      </c>
      <c r="W258" s="53">
        <f>STOCK[[#This Row],[Precio Final]]-STOCK[[#This Row],[Costo total]]</f>
        <v>1.9283333333333</v>
      </c>
      <c r="X258" s="53">
        <f>STOCK[[#This Row],[Ganancia Unitaria]]*STOCK[[#This Row],[Salidas]]</f>
        <v>1.9283333333333</v>
      </c>
      <c r="AA258" s="53">
        <f>STOCK[[#This Row],[Costo total]]*STOCK[[#This Row],[Entradas]]</f>
        <v>43.0716666666667</v>
      </c>
      <c r="AB258" s="53">
        <f>STOCK[[#This Row],[Stock Actual]]*STOCK[[#This Row],[Costo total]]</f>
        <v>0</v>
      </c>
    </row>
    <row r="259" s="54" customFormat="1" ht="50" customHeight="1" spans="1:28">
      <c r="A259" s="54" t="s">
        <v>564</v>
      </c>
      <c r="B259" s="66"/>
      <c r="C259" s="54" t="s">
        <v>32</v>
      </c>
      <c r="D259" s="54" t="s">
        <v>44</v>
      </c>
      <c r="E259" s="68" t="s">
        <v>565</v>
      </c>
      <c r="F259" s="54" t="s">
        <v>62</v>
      </c>
      <c r="G259" s="54" t="s">
        <v>36</v>
      </c>
      <c r="H259" s="54">
        <f>STOCK[[#This Row],[Precio Final]]</f>
        <v>20</v>
      </c>
      <c r="I259" s="54">
        <f>STOCK[[#This Row],[Precio Venta Ideal (x1.5)]]</f>
        <v>19.0833333333333</v>
      </c>
      <c r="J259" s="72">
        <v>3</v>
      </c>
      <c r="K259" s="72">
        <f>SUMIFS(VENTAS[Cantidad],VENTAS[Código del producto Vendido],STOCK[[#This Row],[Code]])</f>
        <v>3</v>
      </c>
      <c r="L259" s="72">
        <f>STOCK[[#This Row],[Entradas]]-STOCK[[#This Row],[Salidas]]</f>
        <v>0</v>
      </c>
      <c r="M259" s="54">
        <f>STOCK[[#This Row],[Precio Final]]*10%</f>
        <v>2</v>
      </c>
      <c r="N259" s="54">
        <v>166</v>
      </c>
      <c r="O259" s="54">
        <v>18</v>
      </c>
      <c r="P259" s="54">
        <v>9.22222222222222</v>
      </c>
      <c r="Q259" s="72">
        <v>150</v>
      </c>
      <c r="R259" s="54">
        <v>10</v>
      </c>
      <c r="S259" s="54">
        <f>STOCK[[#This Row],[Peso (g)]]*STOCK[[#This Row],[Precio Envío Kilogramo (USD)]]/1000</f>
        <v>1.5</v>
      </c>
      <c r="T259" s="53">
        <f>STOCK[[#This Row],[Costo Unitario (USD)]]+STOCK[[#This Row],[Costo Envío (USD)]]+STOCK[[#This Row],[Comisión 10%]]</f>
        <v>12.7222222222222</v>
      </c>
      <c r="U259" s="54">
        <f>STOCK[[#This Row],[Costo total]]*1.5</f>
        <v>19.0833333333333</v>
      </c>
      <c r="V259" s="54">
        <v>20</v>
      </c>
      <c r="W259" s="54">
        <f>STOCK[[#This Row],[Precio Final]]-STOCK[[#This Row],[Costo total]]</f>
        <v>7.27777777777778</v>
      </c>
      <c r="X259" s="54">
        <f>STOCK[[#This Row],[Ganancia Unitaria]]*STOCK[[#This Row],[Salidas]]</f>
        <v>21.8333333333333</v>
      </c>
      <c r="AA259" s="54">
        <f>STOCK[[#This Row],[Costo total]]*STOCK[[#This Row],[Entradas]]</f>
        <v>38.1666666666667</v>
      </c>
      <c r="AB259" s="54">
        <f>STOCK[[#This Row],[Stock Actual]]*STOCK[[#This Row],[Costo total]]</f>
        <v>0</v>
      </c>
    </row>
    <row r="260" s="53" customFormat="1" ht="50" customHeight="1" spans="1:28">
      <c r="A260" s="53" t="s">
        <v>566</v>
      </c>
      <c r="B260" s="66"/>
      <c r="C260" s="53" t="s">
        <v>32</v>
      </c>
      <c r="D260" s="53" t="s">
        <v>44</v>
      </c>
      <c r="E260" s="67" t="s">
        <v>567</v>
      </c>
      <c r="F260" s="53" t="s">
        <v>40</v>
      </c>
      <c r="G260" s="53" t="s">
        <v>36</v>
      </c>
      <c r="H260" s="53">
        <f>STOCK[[#This Row],[Precio Final]]</f>
        <v>20</v>
      </c>
      <c r="I260" s="53">
        <f>STOCK[[#This Row],[Precio Venta Ideal (x1.5)]]</f>
        <v>19.0833333333333</v>
      </c>
      <c r="J260" s="71">
        <v>3</v>
      </c>
      <c r="K260" s="71">
        <f>SUMIFS(VENTAS[Cantidad],VENTAS[Código del producto Vendido],STOCK[[#This Row],[Code]])</f>
        <v>3</v>
      </c>
      <c r="L260" s="71">
        <f>STOCK[[#This Row],[Entradas]]-STOCK[[#This Row],[Salidas]]</f>
        <v>0</v>
      </c>
      <c r="M260" s="53">
        <f>STOCK[[#This Row],[Precio Final]]*10%</f>
        <v>2</v>
      </c>
      <c r="N260" s="53">
        <v>166</v>
      </c>
      <c r="O260" s="53">
        <v>18</v>
      </c>
      <c r="P260" s="53">
        <v>9.22222222222222</v>
      </c>
      <c r="Q260" s="71">
        <v>150</v>
      </c>
      <c r="R260" s="53">
        <v>10</v>
      </c>
      <c r="S260" s="53">
        <f>STOCK[[#This Row],[Peso (g)]]*STOCK[[#This Row],[Precio Envío Kilogramo (USD)]]/1000</f>
        <v>1.5</v>
      </c>
      <c r="T260" s="53">
        <f>STOCK[[#This Row],[Costo Unitario (USD)]]+STOCK[[#This Row],[Costo Envío (USD)]]+STOCK[[#This Row],[Comisión 10%]]</f>
        <v>12.7222222222222</v>
      </c>
      <c r="U260" s="53">
        <f>STOCK[[#This Row],[Costo total]]*1.5</f>
        <v>19.0833333333333</v>
      </c>
      <c r="V260" s="53">
        <v>20</v>
      </c>
      <c r="W260" s="53">
        <f>STOCK[[#This Row],[Precio Final]]-STOCK[[#This Row],[Costo total]]</f>
        <v>7.27777777777778</v>
      </c>
      <c r="X260" s="53">
        <f>STOCK[[#This Row],[Ganancia Unitaria]]*STOCK[[#This Row],[Salidas]]</f>
        <v>21.8333333333333</v>
      </c>
      <c r="AA260" s="53">
        <f>STOCK[[#This Row],[Costo total]]*STOCK[[#This Row],[Entradas]]</f>
        <v>38.1666666666667</v>
      </c>
      <c r="AB260" s="53">
        <f>STOCK[[#This Row],[Stock Actual]]*STOCK[[#This Row],[Costo total]]</f>
        <v>0</v>
      </c>
    </row>
    <row r="261" s="54" customFormat="1" ht="50" customHeight="1" spans="1:28">
      <c r="A261" s="54" t="s">
        <v>568</v>
      </c>
      <c r="B261" s="66"/>
      <c r="C261" s="54" t="s">
        <v>32</v>
      </c>
      <c r="D261" s="54" t="s">
        <v>44</v>
      </c>
      <c r="E261" s="68" t="s">
        <v>569</v>
      </c>
      <c r="F261" s="54" t="s">
        <v>46</v>
      </c>
      <c r="G261" s="54" t="s">
        <v>36</v>
      </c>
      <c r="H261" s="54">
        <f>STOCK[[#This Row],[Precio Final]]</f>
        <v>20</v>
      </c>
      <c r="I261" s="54">
        <f>STOCK[[#This Row],[Precio Venta Ideal (x1.5)]]</f>
        <v>19.0833333333333</v>
      </c>
      <c r="J261" s="72">
        <v>3</v>
      </c>
      <c r="K261" s="72">
        <f>SUMIFS(VENTAS[Cantidad],VENTAS[Código del producto Vendido],STOCK[[#This Row],[Code]])</f>
        <v>3</v>
      </c>
      <c r="L261" s="72">
        <f>STOCK[[#This Row],[Entradas]]-STOCK[[#This Row],[Salidas]]</f>
        <v>0</v>
      </c>
      <c r="M261" s="54">
        <f>STOCK[[#This Row],[Precio Final]]*10%</f>
        <v>2</v>
      </c>
      <c r="N261" s="54">
        <v>166</v>
      </c>
      <c r="O261" s="54">
        <v>18</v>
      </c>
      <c r="P261" s="54">
        <v>9.22222222222222</v>
      </c>
      <c r="Q261" s="72">
        <v>150</v>
      </c>
      <c r="R261" s="54">
        <v>10</v>
      </c>
      <c r="S261" s="54">
        <f>STOCK[[#This Row],[Peso (g)]]*STOCK[[#This Row],[Precio Envío Kilogramo (USD)]]/1000</f>
        <v>1.5</v>
      </c>
      <c r="T261" s="53">
        <f>STOCK[[#This Row],[Costo Unitario (USD)]]+STOCK[[#This Row],[Costo Envío (USD)]]+STOCK[[#This Row],[Comisión 10%]]</f>
        <v>12.7222222222222</v>
      </c>
      <c r="U261" s="54">
        <f>STOCK[[#This Row],[Costo total]]*1.5</f>
        <v>19.0833333333333</v>
      </c>
      <c r="V261" s="54">
        <v>20</v>
      </c>
      <c r="W261" s="54">
        <f>STOCK[[#This Row],[Precio Final]]-STOCK[[#This Row],[Costo total]]</f>
        <v>7.27777777777778</v>
      </c>
      <c r="X261" s="54">
        <f>STOCK[[#This Row],[Ganancia Unitaria]]*STOCK[[#This Row],[Salidas]]</f>
        <v>21.8333333333333</v>
      </c>
      <c r="AA261" s="54">
        <f>STOCK[[#This Row],[Costo total]]*STOCK[[#This Row],[Entradas]]</f>
        <v>38.1666666666667</v>
      </c>
      <c r="AB261" s="54">
        <f>STOCK[[#This Row],[Stock Actual]]*STOCK[[#This Row],[Costo total]]</f>
        <v>0</v>
      </c>
    </row>
    <row r="262" s="53" customFormat="1" ht="50" customHeight="1" spans="1:28">
      <c r="A262" s="53" t="s">
        <v>570</v>
      </c>
      <c r="B262" s="66"/>
      <c r="C262" s="53" t="s">
        <v>32</v>
      </c>
      <c r="D262" s="53" t="s">
        <v>44</v>
      </c>
      <c r="E262" s="67" t="s">
        <v>571</v>
      </c>
      <c r="F262" s="53" t="s">
        <v>49</v>
      </c>
      <c r="G262" s="53" t="s">
        <v>36</v>
      </c>
      <c r="H262" s="53">
        <f>STOCK[[#This Row],[Precio Final]]</f>
        <v>20</v>
      </c>
      <c r="I262" s="53">
        <f>STOCK[[#This Row],[Precio Venta Ideal (x1.5)]]</f>
        <v>19.0833333333333</v>
      </c>
      <c r="J262" s="71">
        <v>3</v>
      </c>
      <c r="K262" s="71">
        <f>SUMIFS(VENTAS[Cantidad],VENTAS[Código del producto Vendido],STOCK[[#This Row],[Code]])</f>
        <v>3</v>
      </c>
      <c r="L262" s="71">
        <f>STOCK[[#This Row],[Entradas]]-STOCK[[#This Row],[Salidas]]</f>
        <v>0</v>
      </c>
      <c r="M262" s="53">
        <f>STOCK[[#This Row],[Precio Final]]*10%</f>
        <v>2</v>
      </c>
      <c r="N262" s="53">
        <v>166</v>
      </c>
      <c r="O262" s="53">
        <v>18</v>
      </c>
      <c r="P262" s="53">
        <v>9.22222222222222</v>
      </c>
      <c r="Q262" s="71">
        <v>150</v>
      </c>
      <c r="R262" s="53">
        <v>10</v>
      </c>
      <c r="S262" s="53">
        <f>STOCK[[#This Row],[Peso (g)]]*STOCK[[#This Row],[Precio Envío Kilogramo (USD)]]/1000</f>
        <v>1.5</v>
      </c>
      <c r="T262" s="53">
        <f>STOCK[[#This Row],[Costo Unitario (USD)]]+STOCK[[#This Row],[Costo Envío (USD)]]+STOCK[[#This Row],[Comisión 10%]]</f>
        <v>12.7222222222222</v>
      </c>
      <c r="U262" s="53">
        <f>STOCK[[#This Row],[Costo total]]*1.5</f>
        <v>19.0833333333333</v>
      </c>
      <c r="V262" s="53">
        <v>20</v>
      </c>
      <c r="W262" s="53">
        <f>STOCK[[#This Row],[Precio Final]]-STOCK[[#This Row],[Costo total]]</f>
        <v>7.27777777777778</v>
      </c>
      <c r="X262" s="53">
        <f>STOCK[[#This Row],[Ganancia Unitaria]]*STOCK[[#This Row],[Salidas]]</f>
        <v>21.8333333333333</v>
      </c>
      <c r="AA262" s="53">
        <f>STOCK[[#This Row],[Costo total]]*STOCK[[#This Row],[Entradas]]</f>
        <v>38.1666666666667</v>
      </c>
      <c r="AB262" s="53">
        <f>STOCK[[#This Row],[Stock Actual]]*STOCK[[#This Row],[Costo total]]</f>
        <v>0</v>
      </c>
    </row>
    <row r="263" s="54" customFormat="1" ht="50" customHeight="1" spans="1:28">
      <c r="A263" s="54" t="s">
        <v>572</v>
      </c>
      <c r="B263" s="66"/>
      <c r="C263" s="54" t="s">
        <v>32</v>
      </c>
      <c r="D263" s="54" t="s">
        <v>44</v>
      </c>
      <c r="E263" s="68" t="s">
        <v>573</v>
      </c>
      <c r="F263" s="54" t="s">
        <v>62</v>
      </c>
      <c r="G263" s="54" t="s">
        <v>36</v>
      </c>
      <c r="H263" s="54">
        <f>STOCK[[#This Row],[Precio Final]]</f>
        <v>20</v>
      </c>
      <c r="I263" s="54">
        <f>STOCK[[#This Row],[Precio Venta Ideal (x1.5)]]</f>
        <v>19.0833333333333</v>
      </c>
      <c r="J263" s="72">
        <v>3</v>
      </c>
      <c r="K263" s="72">
        <f>SUMIFS(VENTAS[Cantidad],VENTAS[Código del producto Vendido],STOCK[[#This Row],[Code]])</f>
        <v>3</v>
      </c>
      <c r="L263" s="72">
        <f>STOCK[[#This Row],[Entradas]]-STOCK[[#This Row],[Salidas]]</f>
        <v>0</v>
      </c>
      <c r="M263" s="54">
        <f>STOCK[[#This Row],[Precio Final]]*10%</f>
        <v>2</v>
      </c>
      <c r="N263" s="54">
        <v>166</v>
      </c>
      <c r="O263" s="54">
        <v>18</v>
      </c>
      <c r="P263" s="54">
        <v>9.22222222222222</v>
      </c>
      <c r="Q263" s="72">
        <v>150</v>
      </c>
      <c r="R263" s="54">
        <v>10</v>
      </c>
      <c r="S263" s="54">
        <f>STOCK[[#This Row],[Peso (g)]]*STOCK[[#This Row],[Precio Envío Kilogramo (USD)]]/1000</f>
        <v>1.5</v>
      </c>
      <c r="T263" s="53">
        <f>STOCK[[#This Row],[Costo Unitario (USD)]]+STOCK[[#This Row],[Costo Envío (USD)]]+STOCK[[#This Row],[Comisión 10%]]</f>
        <v>12.7222222222222</v>
      </c>
      <c r="U263" s="54">
        <f>STOCK[[#This Row],[Costo total]]*1.5</f>
        <v>19.0833333333333</v>
      </c>
      <c r="V263" s="54">
        <v>20</v>
      </c>
      <c r="W263" s="54">
        <f>STOCK[[#This Row],[Precio Final]]-STOCK[[#This Row],[Costo total]]</f>
        <v>7.27777777777778</v>
      </c>
      <c r="X263" s="54">
        <f>STOCK[[#This Row],[Ganancia Unitaria]]*STOCK[[#This Row],[Salidas]]</f>
        <v>21.8333333333333</v>
      </c>
      <c r="AA263" s="54">
        <f>STOCK[[#This Row],[Costo total]]*STOCK[[#This Row],[Entradas]]</f>
        <v>38.1666666666667</v>
      </c>
      <c r="AB263" s="54">
        <f>STOCK[[#This Row],[Stock Actual]]*STOCK[[#This Row],[Costo total]]</f>
        <v>0</v>
      </c>
    </row>
    <row r="264" s="53" customFormat="1" ht="50" customHeight="1" spans="1:28">
      <c r="A264" s="53" t="s">
        <v>574</v>
      </c>
      <c r="B264" s="66"/>
      <c r="C264" s="53" t="s">
        <v>32</v>
      </c>
      <c r="D264" s="53" t="s">
        <v>44</v>
      </c>
      <c r="E264" s="67" t="s">
        <v>575</v>
      </c>
      <c r="F264" s="53" t="s">
        <v>40</v>
      </c>
      <c r="G264" s="53" t="s">
        <v>36</v>
      </c>
      <c r="H264" s="53">
        <f>STOCK[[#This Row],[Precio Final]]</f>
        <v>20</v>
      </c>
      <c r="I264" s="53">
        <f>STOCK[[#This Row],[Precio Venta Ideal (x1.5)]]</f>
        <v>19.0833333333333</v>
      </c>
      <c r="J264" s="71">
        <v>3</v>
      </c>
      <c r="K264" s="71">
        <f>SUMIFS(VENTAS[Cantidad],VENTAS[Código del producto Vendido],STOCK[[#This Row],[Code]])</f>
        <v>3</v>
      </c>
      <c r="L264" s="71">
        <f>STOCK[[#This Row],[Entradas]]-STOCK[[#This Row],[Salidas]]</f>
        <v>0</v>
      </c>
      <c r="M264" s="53">
        <f>STOCK[[#This Row],[Precio Final]]*10%</f>
        <v>2</v>
      </c>
      <c r="N264" s="53">
        <v>166</v>
      </c>
      <c r="O264" s="53">
        <v>18</v>
      </c>
      <c r="P264" s="53">
        <v>9.22222222222222</v>
      </c>
      <c r="Q264" s="71">
        <v>150</v>
      </c>
      <c r="R264" s="53">
        <v>10</v>
      </c>
      <c r="S264" s="53">
        <f>STOCK[[#This Row],[Peso (g)]]*STOCK[[#This Row],[Precio Envío Kilogramo (USD)]]/1000</f>
        <v>1.5</v>
      </c>
      <c r="T264" s="53">
        <f>STOCK[[#This Row],[Costo Unitario (USD)]]+STOCK[[#This Row],[Costo Envío (USD)]]+STOCK[[#This Row],[Comisión 10%]]</f>
        <v>12.7222222222222</v>
      </c>
      <c r="U264" s="53">
        <f>STOCK[[#This Row],[Costo total]]*1.5</f>
        <v>19.0833333333333</v>
      </c>
      <c r="V264" s="53">
        <v>20</v>
      </c>
      <c r="W264" s="53">
        <f>STOCK[[#This Row],[Precio Final]]-STOCK[[#This Row],[Costo total]]</f>
        <v>7.27777777777778</v>
      </c>
      <c r="X264" s="53">
        <f>STOCK[[#This Row],[Ganancia Unitaria]]*STOCK[[#This Row],[Salidas]]</f>
        <v>21.8333333333333</v>
      </c>
      <c r="AA264" s="53">
        <f>STOCK[[#This Row],[Costo total]]*STOCK[[#This Row],[Entradas]]</f>
        <v>38.1666666666667</v>
      </c>
      <c r="AB264" s="53">
        <f>STOCK[[#This Row],[Stock Actual]]*STOCK[[#This Row],[Costo total]]</f>
        <v>0</v>
      </c>
    </row>
    <row r="265" s="54" customFormat="1" ht="50" customHeight="1" spans="1:28">
      <c r="A265" s="54" t="s">
        <v>576</v>
      </c>
      <c r="B265" s="66"/>
      <c r="C265" s="54" t="s">
        <v>32</v>
      </c>
      <c r="D265" s="54" t="s">
        <v>174</v>
      </c>
      <c r="E265" s="68" t="s">
        <v>577</v>
      </c>
      <c r="F265" s="54" t="s">
        <v>62</v>
      </c>
      <c r="G265" s="54" t="s">
        <v>36</v>
      </c>
      <c r="H265" s="54">
        <f>STOCK[[#This Row],[Precio Final]]</f>
        <v>10</v>
      </c>
      <c r="I265" s="54">
        <f>STOCK[[#This Row],[Precio Venta Ideal (x1.5)]]</f>
        <v>9.1375</v>
      </c>
      <c r="J265" s="72">
        <v>3</v>
      </c>
      <c r="K265" s="72">
        <f>SUMIFS(VENTAS[Cantidad],VENTAS[Código del producto Vendido],STOCK[[#This Row],[Code]])</f>
        <v>3</v>
      </c>
      <c r="L265" s="72">
        <f>STOCK[[#This Row],[Entradas]]-STOCK[[#This Row],[Salidas]]</f>
        <v>0</v>
      </c>
      <c r="M265" s="54">
        <f>STOCK[[#This Row],[Precio Final]]*10%</f>
        <v>1</v>
      </c>
      <c r="N265" s="54">
        <v>77.25</v>
      </c>
      <c r="O265" s="54">
        <v>18</v>
      </c>
      <c r="P265" s="54">
        <v>4.29166666666667</v>
      </c>
      <c r="Q265" s="72">
        <v>100</v>
      </c>
      <c r="R265" s="54">
        <v>8</v>
      </c>
      <c r="S265" s="54">
        <f>STOCK[[#This Row],[Peso (g)]]*STOCK[[#This Row],[Precio Envío Kilogramo (USD)]]/1000</f>
        <v>0.8</v>
      </c>
      <c r="T265" s="53">
        <f>STOCK[[#This Row],[Costo Unitario (USD)]]+STOCK[[#This Row],[Costo Envío (USD)]]+STOCK[[#This Row],[Comisión 10%]]</f>
        <v>6.09166666666667</v>
      </c>
      <c r="U265" s="54">
        <f>STOCK[[#This Row],[Costo total]]*1.5</f>
        <v>9.1375</v>
      </c>
      <c r="V265" s="54">
        <v>10</v>
      </c>
      <c r="W265" s="54">
        <f>STOCK[[#This Row],[Precio Final]]-STOCK[[#This Row],[Costo total]]</f>
        <v>3.90833333333333</v>
      </c>
      <c r="X265" s="54">
        <f>STOCK[[#This Row],[Ganancia Unitaria]]*STOCK[[#This Row],[Salidas]]</f>
        <v>11.725</v>
      </c>
      <c r="AA265" s="54">
        <f>STOCK[[#This Row],[Costo total]]*STOCK[[#This Row],[Entradas]]</f>
        <v>18.275</v>
      </c>
      <c r="AB265" s="54">
        <f>STOCK[[#This Row],[Stock Actual]]*STOCK[[#This Row],[Costo total]]</f>
        <v>0</v>
      </c>
    </row>
    <row r="266" s="53" customFormat="1" ht="50" customHeight="1" spans="1:28">
      <c r="A266" s="53" t="s">
        <v>578</v>
      </c>
      <c r="B266" s="66"/>
      <c r="C266" s="53" t="s">
        <v>32</v>
      </c>
      <c r="D266" s="53" t="s">
        <v>174</v>
      </c>
      <c r="E266" s="67" t="s">
        <v>579</v>
      </c>
      <c r="F266" s="53" t="s">
        <v>40</v>
      </c>
      <c r="G266" s="53" t="s">
        <v>36</v>
      </c>
      <c r="H266" s="53">
        <f>STOCK[[#This Row],[Precio Final]]</f>
        <v>10</v>
      </c>
      <c r="I266" s="53">
        <f>STOCK[[#This Row],[Precio Venta Ideal (x1.5)]]</f>
        <v>9.7</v>
      </c>
      <c r="J266" s="71">
        <v>3</v>
      </c>
      <c r="K266" s="71">
        <f>SUMIFS(VENTAS[Cantidad],VENTAS[Código del producto Vendido],STOCK[[#This Row],[Code]])</f>
        <v>3</v>
      </c>
      <c r="L266" s="71">
        <f>STOCK[[#This Row],[Entradas]]-STOCK[[#This Row],[Salidas]]</f>
        <v>0</v>
      </c>
      <c r="M266" s="53">
        <f>STOCK[[#This Row],[Precio Final]]*10%</f>
        <v>1</v>
      </c>
      <c r="N266" s="53">
        <v>84</v>
      </c>
      <c r="O266" s="53">
        <v>18</v>
      </c>
      <c r="P266" s="53">
        <v>4.66666666666667</v>
      </c>
      <c r="Q266" s="71">
        <v>100</v>
      </c>
      <c r="R266" s="53">
        <v>8</v>
      </c>
      <c r="S266" s="53">
        <f>STOCK[[#This Row],[Peso (g)]]*STOCK[[#This Row],[Precio Envío Kilogramo (USD)]]/1000</f>
        <v>0.8</v>
      </c>
      <c r="T266" s="53">
        <f>STOCK[[#This Row],[Costo Unitario (USD)]]+STOCK[[#This Row],[Costo Envío (USD)]]+STOCK[[#This Row],[Comisión 10%]]</f>
        <v>6.46666666666667</v>
      </c>
      <c r="U266" s="53">
        <f>STOCK[[#This Row],[Costo total]]*1.5</f>
        <v>9.7</v>
      </c>
      <c r="V266" s="53">
        <v>10</v>
      </c>
      <c r="W266" s="53">
        <f>STOCK[[#This Row],[Precio Final]]-STOCK[[#This Row],[Costo total]]</f>
        <v>3.53333333333333</v>
      </c>
      <c r="X266" s="53">
        <f>STOCK[[#This Row],[Ganancia Unitaria]]*STOCK[[#This Row],[Salidas]]</f>
        <v>10.6</v>
      </c>
      <c r="AA266" s="53">
        <f>STOCK[[#This Row],[Costo total]]*STOCK[[#This Row],[Entradas]]</f>
        <v>19.4</v>
      </c>
      <c r="AB266" s="53">
        <f>STOCK[[#This Row],[Stock Actual]]*STOCK[[#This Row],[Costo total]]</f>
        <v>0</v>
      </c>
    </row>
    <row r="267" s="54" customFormat="1" ht="50" customHeight="1" spans="1:28">
      <c r="A267" s="54" t="s">
        <v>580</v>
      </c>
      <c r="B267" s="66"/>
      <c r="C267" s="54" t="s">
        <v>32</v>
      </c>
      <c r="D267" s="54" t="s">
        <v>174</v>
      </c>
      <c r="E267" s="68" t="s">
        <v>581</v>
      </c>
      <c r="F267" s="54" t="s">
        <v>62</v>
      </c>
      <c r="G267" s="54" t="s">
        <v>36</v>
      </c>
      <c r="H267" s="54">
        <f>STOCK[[#This Row],[Precio Final]]</f>
        <v>10</v>
      </c>
      <c r="I267" s="54">
        <f>STOCK[[#This Row],[Precio Venta Ideal (x1.5)]]</f>
        <v>9.04</v>
      </c>
      <c r="J267" s="72">
        <v>3</v>
      </c>
      <c r="K267" s="72">
        <f>SUMIFS(VENTAS[Cantidad],VENTAS[Código del producto Vendido],STOCK[[#This Row],[Code]])</f>
        <v>3</v>
      </c>
      <c r="L267" s="72">
        <f>STOCK[[#This Row],[Entradas]]-STOCK[[#This Row],[Salidas]]</f>
        <v>0</v>
      </c>
      <c r="M267" s="54">
        <f>STOCK[[#This Row],[Precio Final]]*10%</f>
        <v>1</v>
      </c>
      <c r="N267" s="54">
        <v>84</v>
      </c>
      <c r="O267" s="54">
        <v>18</v>
      </c>
      <c r="P267" s="54">
        <v>4.66666666666667</v>
      </c>
      <c r="Q267" s="72">
        <v>45</v>
      </c>
      <c r="R267" s="54">
        <v>8</v>
      </c>
      <c r="S267" s="54">
        <f>STOCK[[#This Row],[Peso (g)]]*STOCK[[#This Row],[Precio Envío Kilogramo (USD)]]/1000</f>
        <v>0.36</v>
      </c>
      <c r="T267" s="53">
        <f>STOCK[[#This Row],[Costo Unitario (USD)]]+STOCK[[#This Row],[Costo Envío (USD)]]+STOCK[[#This Row],[Comisión 10%]]</f>
        <v>6.02666666666667</v>
      </c>
      <c r="U267" s="54">
        <f>STOCK[[#This Row],[Costo total]]*1.5</f>
        <v>9.04</v>
      </c>
      <c r="V267" s="54">
        <v>10</v>
      </c>
      <c r="W267" s="54">
        <f>STOCK[[#This Row],[Precio Final]]-STOCK[[#This Row],[Costo total]]</f>
        <v>3.97333333333333</v>
      </c>
      <c r="X267" s="54">
        <f>STOCK[[#This Row],[Ganancia Unitaria]]*STOCK[[#This Row],[Salidas]]</f>
        <v>11.92</v>
      </c>
      <c r="AA267" s="54">
        <f>STOCK[[#This Row],[Costo total]]*STOCK[[#This Row],[Entradas]]</f>
        <v>18.08</v>
      </c>
      <c r="AB267" s="54">
        <f>STOCK[[#This Row],[Stock Actual]]*STOCK[[#This Row],[Costo total]]</f>
        <v>0</v>
      </c>
    </row>
    <row r="268" s="53" customFormat="1" ht="50" customHeight="1" spans="1:28">
      <c r="A268" s="53" t="s">
        <v>582</v>
      </c>
      <c r="B268" s="66"/>
      <c r="C268" s="53" t="s">
        <v>32</v>
      </c>
      <c r="D268" s="53" t="s">
        <v>174</v>
      </c>
      <c r="E268" s="67" t="s">
        <v>583</v>
      </c>
      <c r="F268" s="53" t="s">
        <v>49</v>
      </c>
      <c r="G268" s="53" t="s">
        <v>36</v>
      </c>
      <c r="H268" s="53">
        <f>STOCK[[#This Row],[Precio Final]]</f>
        <v>10</v>
      </c>
      <c r="I268" s="53">
        <f>STOCK[[#This Row],[Precio Venta Ideal (x1.5)]]</f>
        <v>9.04</v>
      </c>
      <c r="J268" s="71">
        <v>3</v>
      </c>
      <c r="K268" s="71">
        <f>SUMIFS(VENTAS[Cantidad],VENTAS[Código del producto Vendido],STOCK[[#This Row],[Code]])</f>
        <v>3</v>
      </c>
      <c r="L268" s="71">
        <f>STOCK[[#This Row],[Entradas]]-STOCK[[#This Row],[Salidas]]</f>
        <v>0</v>
      </c>
      <c r="M268" s="53">
        <f>STOCK[[#This Row],[Precio Final]]*10%</f>
        <v>1</v>
      </c>
      <c r="N268" s="53">
        <v>84</v>
      </c>
      <c r="O268" s="53">
        <v>18</v>
      </c>
      <c r="P268" s="53">
        <v>4.66666666666667</v>
      </c>
      <c r="Q268" s="71">
        <v>45</v>
      </c>
      <c r="R268" s="53">
        <v>8</v>
      </c>
      <c r="S268" s="53">
        <f>STOCK[[#This Row],[Peso (g)]]*STOCK[[#This Row],[Precio Envío Kilogramo (USD)]]/1000</f>
        <v>0.36</v>
      </c>
      <c r="T268" s="53">
        <f>STOCK[[#This Row],[Costo Unitario (USD)]]+STOCK[[#This Row],[Costo Envío (USD)]]+STOCK[[#This Row],[Comisión 10%]]</f>
        <v>6.02666666666667</v>
      </c>
      <c r="U268" s="53">
        <f>STOCK[[#This Row],[Costo total]]*1.5</f>
        <v>9.04</v>
      </c>
      <c r="V268" s="53">
        <v>10</v>
      </c>
      <c r="W268" s="53">
        <f>STOCK[[#This Row],[Precio Final]]-STOCK[[#This Row],[Costo total]]</f>
        <v>3.97333333333333</v>
      </c>
      <c r="X268" s="53">
        <f>STOCK[[#This Row],[Ganancia Unitaria]]*STOCK[[#This Row],[Salidas]]</f>
        <v>11.92</v>
      </c>
      <c r="AA268" s="53">
        <f>STOCK[[#This Row],[Costo total]]*STOCK[[#This Row],[Entradas]]</f>
        <v>18.08</v>
      </c>
      <c r="AB268" s="53">
        <f>STOCK[[#This Row],[Stock Actual]]*STOCK[[#This Row],[Costo total]]</f>
        <v>0</v>
      </c>
    </row>
    <row r="269" s="54" customFormat="1" ht="50" customHeight="1" spans="1:28">
      <c r="A269" s="54" t="s">
        <v>584</v>
      </c>
      <c r="B269" s="66"/>
      <c r="C269" s="54" t="s">
        <v>32</v>
      </c>
      <c r="D269" s="54" t="s">
        <v>174</v>
      </c>
      <c r="E269" s="68" t="s">
        <v>585</v>
      </c>
      <c r="F269" s="54" t="s">
        <v>586</v>
      </c>
      <c r="G269" s="54" t="s">
        <v>36</v>
      </c>
      <c r="H269" s="54">
        <f>STOCK[[#This Row],[Precio Final]]</f>
        <v>9</v>
      </c>
      <c r="I269" s="54">
        <f>STOCK[[#This Row],[Precio Venta Ideal (x1.5)]]</f>
        <v>9.14</v>
      </c>
      <c r="J269" s="72">
        <v>4</v>
      </c>
      <c r="K269" s="72">
        <f>SUMIFS(VENTAS[Cantidad],VENTAS[Código del producto Vendido],STOCK[[#This Row],[Code]])</f>
        <v>4</v>
      </c>
      <c r="L269" s="72">
        <f>STOCK[[#This Row],[Entradas]]-STOCK[[#This Row],[Salidas]]</f>
        <v>0</v>
      </c>
      <c r="M269" s="54">
        <f>STOCK[[#This Row],[Precio Final]]*10%</f>
        <v>0.9</v>
      </c>
      <c r="N269" s="54">
        <v>87</v>
      </c>
      <c r="O269" s="54">
        <v>18</v>
      </c>
      <c r="P269" s="54">
        <v>4.83333333333333</v>
      </c>
      <c r="Q269" s="72">
        <v>45</v>
      </c>
      <c r="R269" s="54">
        <v>8</v>
      </c>
      <c r="S269" s="54">
        <f>STOCK[[#This Row],[Peso (g)]]*STOCK[[#This Row],[Precio Envío Kilogramo (USD)]]/1000</f>
        <v>0.36</v>
      </c>
      <c r="T269" s="53">
        <f>STOCK[[#This Row],[Costo Unitario (USD)]]+STOCK[[#This Row],[Costo Envío (USD)]]+STOCK[[#This Row],[Comisión 10%]]</f>
        <v>6.09333333333333</v>
      </c>
      <c r="U269" s="54">
        <f>STOCK[[#This Row],[Costo total]]*1.5</f>
        <v>9.14</v>
      </c>
      <c r="V269" s="54">
        <v>9</v>
      </c>
      <c r="W269" s="54">
        <f>STOCK[[#This Row],[Precio Final]]-STOCK[[#This Row],[Costo total]]</f>
        <v>2.90666666666667</v>
      </c>
      <c r="X269" s="54">
        <f>STOCK[[#This Row],[Ganancia Unitaria]]*STOCK[[#This Row],[Salidas]]</f>
        <v>11.6266666666667</v>
      </c>
      <c r="AA269" s="54">
        <f>STOCK[[#This Row],[Costo total]]*STOCK[[#This Row],[Entradas]]</f>
        <v>24.3733333333333</v>
      </c>
      <c r="AB269" s="54">
        <f>STOCK[[#This Row],[Stock Actual]]*STOCK[[#This Row],[Costo total]]</f>
        <v>0</v>
      </c>
    </row>
    <row r="270" s="53" customFormat="1" ht="50" customHeight="1" spans="1:29">
      <c r="A270" s="53" t="s">
        <v>587</v>
      </c>
      <c r="B270" s="66"/>
      <c r="C270" s="53" t="s">
        <v>32</v>
      </c>
      <c r="D270" s="53" t="s">
        <v>294</v>
      </c>
      <c r="E270" s="67" t="s">
        <v>585</v>
      </c>
      <c r="F270" s="53" t="s">
        <v>62</v>
      </c>
      <c r="G270" s="53" t="s">
        <v>36</v>
      </c>
      <c r="H270" s="53">
        <f>STOCK[[#This Row],[Precio Final]]</f>
        <v>12</v>
      </c>
      <c r="I270" s="53">
        <f>STOCK[[#This Row],[Precio Venta Ideal (x1.5)]]</f>
        <v>9.59</v>
      </c>
      <c r="J270" s="71">
        <v>4</v>
      </c>
      <c r="K270" s="71">
        <f>SUMIFS(VENTAS[Cantidad],VENTAS[Código del producto Vendido],STOCK[[#This Row],[Code]])</f>
        <v>4</v>
      </c>
      <c r="L270" s="71">
        <f>STOCK[[#This Row],[Entradas]]-STOCK[[#This Row],[Salidas]]</f>
        <v>0</v>
      </c>
      <c r="M270" s="53">
        <f>STOCK[[#This Row],[Precio Final]]*10%</f>
        <v>1.2</v>
      </c>
      <c r="N270" s="53">
        <v>87</v>
      </c>
      <c r="O270" s="53">
        <v>18</v>
      </c>
      <c r="P270" s="53">
        <v>4.83333333333333</v>
      </c>
      <c r="Q270" s="71">
        <v>45</v>
      </c>
      <c r="R270" s="53">
        <v>8</v>
      </c>
      <c r="S270" s="53">
        <f>STOCK[[#This Row],[Peso (g)]]*STOCK[[#This Row],[Precio Envío Kilogramo (USD)]]/1000</f>
        <v>0.36</v>
      </c>
      <c r="T270" s="53">
        <f>STOCK[[#This Row],[Costo Unitario (USD)]]+STOCK[[#This Row],[Costo Envío (USD)]]+STOCK[[#This Row],[Comisión 10%]]</f>
        <v>6.39333333333333</v>
      </c>
      <c r="U270" s="53">
        <f>STOCK[[#This Row],[Costo total]]*1.5</f>
        <v>9.59</v>
      </c>
      <c r="V270" s="53">
        <v>12</v>
      </c>
      <c r="W270" s="53">
        <f>STOCK[[#This Row],[Precio Final]]-STOCK[[#This Row],[Costo total]]</f>
        <v>5.60666666666667</v>
      </c>
      <c r="X270" s="53">
        <f>STOCK[[#This Row],[Ganancia Unitaria]]*STOCK[[#This Row],[Salidas]]</f>
        <v>22.4266666666667</v>
      </c>
      <c r="AA270" s="53">
        <f>STOCK[[#This Row],[Costo total]]*STOCK[[#This Row],[Entradas]]</f>
        <v>25.5733333333333</v>
      </c>
      <c r="AB270" s="53">
        <f>STOCK[[#This Row],[Stock Actual]]*STOCK[[#This Row],[Costo total]]</f>
        <v>0</v>
      </c>
      <c r="AC270" s="53">
        <v>9</v>
      </c>
    </row>
    <row r="271" s="54" customFormat="1" ht="50" customHeight="1" spans="1:29">
      <c r="A271" s="54" t="s">
        <v>588</v>
      </c>
      <c r="B271" s="66"/>
      <c r="C271" s="54" t="s">
        <v>32</v>
      </c>
      <c r="D271" s="53" t="s">
        <v>294</v>
      </c>
      <c r="E271" s="68" t="s">
        <v>589</v>
      </c>
      <c r="F271" s="54" t="s">
        <v>40</v>
      </c>
      <c r="G271" s="54" t="s">
        <v>36</v>
      </c>
      <c r="H271" s="54">
        <f>STOCK[[#This Row],[Precio Final]]</f>
        <v>12</v>
      </c>
      <c r="I271" s="54">
        <f>STOCK[[#This Row],[Precio Venta Ideal (x1.5)]]</f>
        <v>10.4025</v>
      </c>
      <c r="J271" s="72">
        <v>3</v>
      </c>
      <c r="K271" s="72">
        <f>SUMIFS(VENTAS[Cantidad],VENTAS[Código del producto Vendido],STOCK[[#This Row],[Code]])</f>
        <v>2</v>
      </c>
      <c r="L271" s="72">
        <f>STOCK[[#This Row],[Entradas]]-STOCK[[#This Row],[Salidas]]</f>
        <v>1</v>
      </c>
      <c r="M271" s="54">
        <f>STOCK[[#This Row],[Precio Final]]*10%</f>
        <v>1.2</v>
      </c>
      <c r="N271" s="54">
        <v>96.75</v>
      </c>
      <c r="O271" s="54">
        <v>18</v>
      </c>
      <c r="P271" s="54">
        <v>5.375</v>
      </c>
      <c r="Q271" s="72">
        <v>45</v>
      </c>
      <c r="R271" s="54">
        <v>8</v>
      </c>
      <c r="S271" s="54">
        <f>STOCK[[#This Row],[Peso (g)]]*STOCK[[#This Row],[Precio Envío Kilogramo (USD)]]/1000</f>
        <v>0.36</v>
      </c>
      <c r="T271" s="53">
        <f>STOCK[[#This Row],[Costo Unitario (USD)]]+STOCK[[#This Row],[Costo Envío (USD)]]+STOCK[[#This Row],[Comisión 10%]]</f>
        <v>6.935</v>
      </c>
      <c r="U271" s="54">
        <f>STOCK[[#This Row],[Costo total]]*1.5</f>
        <v>10.4025</v>
      </c>
      <c r="V271" s="54">
        <v>12</v>
      </c>
      <c r="W271" s="54">
        <f>STOCK[[#This Row],[Precio Final]]-STOCK[[#This Row],[Costo total]]</f>
        <v>5.065</v>
      </c>
      <c r="X271" s="54">
        <f>STOCK[[#This Row],[Ganancia Unitaria]]*STOCK[[#This Row],[Salidas]]</f>
        <v>10.13</v>
      </c>
      <c r="AA271" s="54">
        <f>STOCK[[#This Row],[Costo total]]*STOCK[[#This Row],[Entradas]]</f>
        <v>20.805</v>
      </c>
      <c r="AB271" s="54">
        <f>STOCK[[#This Row],[Stock Actual]]*STOCK[[#This Row],[Costo total]]</f>
        <v>6.935</v>
      </c>
      <c r="AC271" s="54">
        <v>9</v>
      </c>
    </row>
    <row r="272" s="53" customFormat="1" ht="50" customHeight="1" spans="1:28">
      <c r="A272" s="53" t="s">
        <v>590</v>
      </c>
      <c r="B272" s="66"/>
      <c r="C272" s="53" t="s">
        <v>32</v>
      </c>
      <c r="D272" s="53" t="s">
        <v>294</v>
      </c>
      <c r="E272" s="67" t="s">
        <v>591</v>
      </c>
      <c r="F272" s="53" t="s">
        <v>62</v>
      </c>
      <c r="G272" s="53" t="s">
        <v>36</v>
      </c>
      <c r="H272" s="53">
        <f>STOCK[[#This Row],[Precio Final]]</f>
        <v>15</v>
      </c>
      <c r="I272" s="53">
        <f>STOCK[[#This Row],[Precio Venta Ideal (x1.5)]]</f>
        <v>10.8525</v>
      </c>
      <c r="J272" s="71">
        <v>1</v>
      </c>
      <c r="K272" s="71">
        <f>SUMIFS(VENTAS[Cantidad],VENTAS[Código del producto Vendido],STOCK[[#This Row],[Code]])</f>
        <v>1</v>
      </c>
      <c r="L272" s="71">
        <f>STOCK[[#This Row],[Entradas]]-STOCK[[#This Row],[Salidas]]</f>
        <v>0</v>
      </c>
      <c r="M272" s="53">
        <f>STOCK[[#This Row],[Precio Final]]*10%</f>
        <v>1.5</v>
      </c>
      <c r="N272" s="53">
        <v>96.75</v>
      </c>
      <c r="O272" s="53">
        <v>18</v>
      </c>
      <c r="P272" s="53">
        <v>5.375</v>
      </c>
      <c r="Q272" s="71">
        <v>45</v>
      </c>
      <c r="R272" s="53">
        <v>8</v>
      </c>
      <c r="S272" s="53">
        <f>STOCK[[#This Row],[Peso (g)]]*STOCK[[#This Row],[Precio Envío Kilogramo (USD)]]/1000</f>
        <v>0.36</v>
      </c>
      <c r="T272" s="53">
        <f>STOCK[[#This Row],[Costo Unitario (USD)]]+STOCK[[#This Row],[Costo Envío (USD)]]+STOCK[[#This Row],[Comisión 10%]]</f>
        <v>7.235</v>
      </c>
      <c r="U272" s="53">
        <f>STOCK[[#This Row],[Costo total]]*1.5</f>
        <v>10.8525</v>
      </c>
      <c r="V272" s="53">
        <v>15</v>
      </c>
      <c r="W272" s="53">
        <f>STOCK[[#This Row],[Precio Final]]-STOCK[[#This Row],[Costo total]]</f>
        <v>7.765</v>
      </c>
      <c r="X272" s="53">
        <f>STOCK[[#This Row],[Ganancia Unitaria]]*STOCK[[#This Row],[Salidas]]</f>
        <v>7.765</v>
      </c>
      <c r="AA272" s="53">
        <f>STOCK[[#This Row],[Costo total]]*STOCK[[#This Row],[Entradas]]</f>
        <v>7.235</v>
      </c>
      <c r="AB272" s="53">
        <f>STOCK[[#This Row],[Stock Actual]]*STOCK[[#This Row],[Costo total]]</f>
        <v>0</v>
      </c>
    </row>
    <row r="273" s="54" customFormat="1" ht="50" customHeight="1" spans="1:28">
      <c r="A273" s="54" t="s">
        <v>592</v>
      </c>
      <c r="B273" s="66"/>
      <c r="C273" s="54" t="s">
        <v>32</v>
      </c>
      <c r="D273" s="53" t="s">
        <v>294</v>
      </c>
      <c r="E273" s="68" t="s">
        <v>593</v>
      </c>
      <c r="F273" s="54" t="s">
        <v>49</v>
      </c>
      <c r="G273" s="54" t="s">
        <v>36</v>
      </c>
      <c r="H273" s="54">
        <f>STOCK[[#This Row],[Precio Final]]</f>
        <v>15</v>
      </c>
      <c r="I273" s="54">
        <f>STOCK[[#This Row],[Precio Venta Ideal (x1.5)]]</f>
        <v>10.8525</v>
      </c>
      <c r="J273" s="72">
        <v>3</v>
      </c>
      <c r="K273" s="72">
        <f>SUMIFS(VENTAS[Cantidad],VENTAS[Código del producto Vendido],STOCK[[#This Row],[Code]])</f>
        <v>3</v>
      </c>
      <c r="L273" s="72">
        <f>STOCK[[#This Row],[Entradas]]-STOCK[[#This Row],[Salidas]]</f>
        <v>0</v>
      </c>
      <c r="M273" s="54">
        <f>STOCK[[#This Row],[Precio Final]]*10%</f>
        <v>1.5</v>
      </c>
      <c r="N273" s="54">
        <v>96.75</v>
      </c>
      <c r="O273" s="54">
        <v>18</v>
      </c>
      <c r="P273" s="54">
        <v>5.375</v>
      </c>
      <c r="Q273" s="72">
        <v>45</v>
      </c>
      <c r="R273" s="54">
        <v>8</v>
      </c>
      <c r="S273" s="54">
        <f>STOCK[[#This Row],[Peso (g)]]*STOCK[[#This Row],[Precio Envío Kilogramo (USD)]]/1000</f>
        <v>0.36</v>
      </c>
      <c r="T273" s="53">
        <f>STOCK[[#This Row],[Costo Unitario (USD)]]+STOCK[[#This Row],[Costo Envío (USD)]]+STOCK[[#This Row],[Comisión 10%]]</f>
        <v>7.235</v>
      </c>
      <c r="U273" s="54">
        <f>STOCK[[#This Row],[Costo total]]*1.5</f>
        <v>10.8525</v>
      </c>
      <c r="V273" s="54">
        <v>15</v>
      </c>
      <c r="W273" s="54">
        <f>STOCK[[#This Row],[Precio Final]]-STOCK[[#This Row],[Costo total]]</f>
        <v>7.765</v>
      </c>
      <c r="X273" s="54">
        <f>STOCK[[#This Row],[Ganancia Unitaria]]*STOCK[[#This Row],[Salidas]]</f>
        <v>23.295</v>
      </c>
      <c r="AA273" s="54">
        <f>STOCK[[#This Row],[Costo total]]*STOCK[[#This Row],[Entradas]]</f>
        <v>21.705</v>
      </c>
      <c r="AB273" s="54">
        <f>STOCK[[#This Row],[Stock Actual]]*STOCK[[#This Row],[Costo total]]</f>
        <v>0</v>
      </c>
    </row>
    <row r="274" s="53" customFormat="1" ht="50" customHeight="1" spans="1:29">
      <c r="A274" s="53" t="s">
        <v>594</v>
      </c>
      <c r="B274" s="66"/>
      <c r="C274" s="53" t="s">
        <v>32</v>
      </c>
      <c r="D274" s="53" t="s">
        <v>294</v>
      </c>
      <c r="E274" s="67" t="s">
        <v>595</v>
      </c>
      <c r="F274" s="53" t="s">
        <v>40</v>
      </c>
      <c r="G274" s="53" t="s">
        <v>36</v>
      </c>
      <c r="H274" s="53">
        <f>STOCK[[#This Row],[Precio Final]]</f>
        <v>12</v>
      </c>
      <c r="I274" s="53">
        <f>STOCK[[#This Row],[Precio Venta Ideal (x1.5)]]</f>
        <v>9.4025</v>
      </c>
      <c r="J274" s="71">
        <v>3</v>
      </c>
      <c r="K274" s="71">
        <f>SUMIFS(VENTAS[Cantidad],VENTAS[Código del producto Vendido],STOCK[[#This Row],[Code]])</f>
        <v>0</v>
      </c>
      <c r="L274" s="71">
        <f>STOCK[[#This Row],[Entradas]]-STOCK[[#This Row],[Salidas]]</f>
        <v>3</v>
      </c>
      <c r="M274" s="53">
        <f>STOCK[[#This Row],[Precio Final]]*10%</f>
        <v>1.2</v>
      </c>
      <c r="N274" s="53">
        <v>84.75</v>
      </c>
      <c r="O274" s="53">
        <v>18</v>
      </c>
      <c r="P274" s="53">
        <v>4.70833333333333</v>
      </c>
      <c r="Q274" s="71">
        <v>45</v>
      </c>
      <c r="R274" s="53">
        <v>8</v>
      </c>
      <c r="S274" s="53">
        <f>STOCK[[#This Row],[Peso (g)]]*STOCK[[#This Row],[Precio Envío Kilogramo (USD)]]/1000</f>
        <v>0.36</v>
      </c>
      <c r="T274" s="53">
        <f>STOCK[[#This Row],[Costo Unitario (USD)]]+STOCK[[#This Row],[Costo Envío (USD)]]+STOCK[[#This Row],[Comisión 10%]]</f>
        <v>6.26833333333333</v>
      </c>
      <c r="U274" s="53">
        <f>STOCK[[#This Row],[Costo total]]*1.5</f>
        <v>9.4025</v>
      </c>
      <c r="V274" s="53">
        <v>12</v>
      </c>
      <c r="W274" s="53">
        <f>STOCK[[#This Row],[Precio Final]]-STOCK[[#This Row],[Costo total]]</f>
        <v>5.73166666666667</v>
      </c>
      <c r="X274" s="53">
        <f>STOCK[[#This Row],[Ganancia Unitaria]]*STOCK[[#This Row],[Salidas]]</f>
        <v>0</v>
      </c>
      <c r="AA274" s="53">
        <f>STOCK[[#This Row],[Costo total]]*STOCK[[#This Row],[Entradas]]</f>
        <v>18.805</v>
      </c>
      <c r="AB274" s="53">
        <f>STOCK[[#This Row],[Stock Actual]]*STOCK[[#This Row],[Costo total]]</f>
        <v>18.805</v>
      </c>
      <c r="AC274" s="53">
        <v>9</v>
      </c>
    </row>
    <row r="275" s="54" customFormat="1" ht="50" customHeight="1" spans="1:28">
      <c r="A275" s="54" t="s">
        <v>596</v>
      </c>
      <c r="B275" s="66"/>
      <c r="C275" s="54" t="s">
        <v>32</v>
      </c>
      <c r="D275" s="54" t="s">
        <v>174</v>
      </c>
      <c r="E275" s="68" t="s">
        <v>595</v>
      </c>
      <c r="F275" s="54" t="s">
        <v>62</v>
      </c>
      <c r="G275" s="54" t="s">
        <v>36</v>
      </c>
      <c r="H275" s="54">
        <f>STOCK[[#This Row],[Precio Final]]</f>
        <v>9</v>
      </c>
      <c r="I275" s="54">
        <f>STOCK[[#This Row],[Precio Venta Ideal (x1.5)]]</f>
        <v>8.9525</v>
      </c>
      <c r="J275" s="72">
        <v>4</v>
      </c>
      <c r="K275" s="72">
        <f>SUMIFS(VENTAS[Cantidad],VENTAS[Código del producto Vendido],STOCK[[#This Row],[Code]])</f>
        <v>4</v>
      </c>
      <c r="L275" s="72">
        <f>STOCK[[#This Row],[Entradas]]-STOCK[[#This Row],[Salidas]]</f>
        <v>0</v>
      </c>
      <c r="M275" s="54">
        <f>STOCK[[#This Row],[Precio Final]]*10%</f>
        <v>0.9</v>
      </c>
      <c r="N275" s="54">
        <v>84.75</v>
      </c>
      <c r="O275" s="54">
        <v>18</v>
      </c>
      <c r="P275" s="54">
        <v>4.70833333333333</v>
      </c>
      <c r="Q275" s="72">
        <v>45</v>
      </c>
      <c r="R275" s="54">
        <v>8</v>
      </c>
      <c r="S275" s="54">
        <f>STOCK[[#This Row],[Peso (g)]]*STOCK[[#This Row],[Precio Envío Kilogramo (USD)]]/1000</f>
        <v>0.36</v>
      </c>
      <c r="T275" s="53">
        <f>STOCK[[#This Row],[Costo Unitario (USD)]]+STOCK[[#This Row],[Costo Envío (USD)]]+STOCK[[#This Row],[Comisión 10%]]</f>
        <v>5.96833333333333</v>
      </c>
      <c r="U275" s="54">
        <f>STOCK[[#This Row],[Costo total]]*1.5</f>
        <v>8.9525</v>
      </c>
      <c r="V275" s="54">
        <v>9</v>
      </c>
      <c r="W275" s="54">
        <f>STOCK[[#This Row],[Precio Final]]-STOCK[[#This Row],[Costo total]]</f>
        <v>3.03166666666667</v>
      </c>
      <c r="X275" s="54">
        <f>STOCK[[#This Row],[Ganancia Unitaria]]*STOCK[[#This Row],[Salidas]]</f>
        <v>12.1266666666667</v>
      </c>
      <c r="AA275" s="54">
        <f>STOCK[[#This Row],[Costo total]]*STOCK[[#This Row],[Entradas]]</f>
        <v>23.8733333333333</v>
      </c>
      <c r="AB275" s="54">
        <f>STOCK[[#This Row],[Stock Actual]]*STOCK[[#This Row],[Costo total]]</f>
        <v>0</v>
      </c>
    </row>
    <row r="276" s="53" customFormat="1" ht="50" customHeight="1" spans="1:29">
      <c r="A276" s="53" t="s">
        <v>597</v>
      </c>
      <c r="B276" s="66"/>
      <c r="C276" s="53" t="s">
        <v>32</v>
      </c>
      <c r="D276" s="53" t="s">
        <v>294</v>
      </c>
      <c r="E276" s="67" t="s">
        <v>595</v>
      </c>
      <c r="F276" s="53" t="s">
        <v>49</v>
      </c>
      <c r="G276" s="53" t="s">
        <v>36</v>
      </c>
      <c r="H276" s="53">
        <f>STOCK[[#This Row],[Precio Final]]</f>
        <v>12</v>
      </c>
      <c r="I276" s="53">
        <f>STOCK[[#This Row],[Precio Venta Ideal (x1.5)]]</f>
        <v>9.4025</v>
      </c>
      <c r="J276" s="71">
        <v>3</v>
      </c>
      <c r="K276" s="71">
        <f>SUMIFS(VENTAS[Cantidad],VENTAS[Código del producto Vendido],STOCK[[#This Row],[Code]])</f>
        <v>3</v>
      </c>
      <c r="L276" s="71">
        <f>STOCK[[#This Row],[Entradas]]-STOCK[[#This Row],[Salidas]]</f>
        <v>0</v>
      </c>
      <c r="M276" s="53">
        <f>STOCK[[#This Row],[Precio Final]]*10%</f>
        <v>1.2</v>
      </c>
      <c r="N276" s="53">
        <v>84.75</v>
      </c>
      <c r="O276" s="53">
        <v>18</v>
      </c>
      <c r="P276" s="53">
        <v>4.70833333333333</v>
      </c>
      <c r="Q276" s="71">
        <v>45</v>
      </c>
      <c r="R276" s="53">
        <v>8</v>
      </c>
      <c r="S276" s="53">
        <f>STOCK[[#This Row],[Peso (g)]]*STOCK[[#This Row],[Precio Envío Kilogramo (USD)]]/1000</f>
        <v>0.36</v>
      </c>
      <c r="T276" s="53">
        <f>STOCK[[#This Row],[Costo Unitario (USD)]]+STOCK[[#This Row],[Costo Envío (USD)]]+STOCK[[#This Row],[Comisión 10%]]</f>
        <v>6.26833333333333</v>
      </c>
      <c r="U276" s="53">
        <f>STOCK[[#This Row],[Costo total]]*1.5</f>
        <v>9.4025</v>
      </c>
      <c r="V276" s="53">
        <v>12</v>
      </c>
      <c r="W276" s="53">
        <f>STOCK[[#This Row],[Precio Final]]-STOCK[[#This Row],[Costo total]]</f>
        <v>5.73166666666667</v>
      </c>
      <c r="X276" s="53">
        <f>STOCK[[#This Row],[Ganancia Unitaria]]*STOCK[[#This Row],[Salidas]]</f>
        <v>17.195</v>
      </c>
      <c r="AA276" s="53">
        <f>STOCK[[#This Row],[Costo total]]*STOCK[[#This Row],[Entradas]]</f>
        <v>18.805</v>
      </c>
      <c r="AB276" s="53">
        <f>STOCK[[#This Row],[Stock Actual]]*STOCK[[#This Row],[Costo total]]</f>
        <v>0</v>
      </c>
      <c r="AC276" s="53">
        <v>9</v>
      </c>
    </row>
    <row r="277" s="54" customFormat="1" ht="50" customHeight="1" spans="1:29">
      <c r="A277" s="54" t="s">
        <v>598</v>
      </c>
      <c r="B277" s="66"/>
      <c r="C277" s="54" t="s">
        <v>32</v>
      </c>
      <c r="D277" s="53" t="s">
        <v>294</v>
      </c>
      <c r="E277" s="68" t="s">
        <v>599</v>
      </c>
      <c r="F277" s="54" t="s">
        <v>40</v>
      </c>
      <c r="G277" s="54" t="s">
        <v>36</v>
      </c>
      <c r="H277" s="54">
        <f>STOCK[[#This Row],[Precio Final]]</f>
        <v>12</v>
      </c>
      <c r="I277" s="54">
        <f>STOCK[[#This Row],[Precio Venta Ideal (x1.5)]]</f>
        <v>10.1525</v>
      </c>
      <c r="J277" s="72">
        <v>3</v>
      </c>
      <c r="K277" s="72">
        <f>SUMIFS(VENTAS[Cantidad],VENTAS[Código del producto Vendido],STOCK[[#This Row],[Code]])</f>
        <v>2</v>
      </c>
      <c r="L277" s="72">
        <f>STOCK[[#This Row],[Entradas]]-STOCK[[#This Row],[Salidas]]</f>
        <v>1</v>
      </c>
      <c r="M277" s="54">
        <f>STOCK[[#This Row],[Precio Final]]*10%</f>
        <v>1.2</v>
      </c>
      <c r="N277" s="54">
        <v>93.75</v>
      </c>
      <c r="O277" s="54">
        <v>18</v>
      </c>
      <c r="P277" s="54">
        <v>5.20833333333333</v>
      </c>
      <c r="Q277" s="72">
        <v>45</v>
      </c>
      <c r="R277" s="54">
        <v>8</v>
      </c>
      <c r="S277" s="54">
        <f>STOCK[[#This Row],[Peso (g)]]*STOCK[[#This Row],[Precio Envío Kilogramo (USD)]]/1000</f>
        <v>0.36</v>
      </c>
      <c r="T277" s="53">
        <f>STOCK[[#This Row],[Costo Unitario (USD)]]+STOCK[[#This Row],[Costo Envío (USD)]]+STOCK[[#This Row],[Comisión 10%]]</f>
        <v>6.76833333333333</v>
      </c>
      <c r="U277" s="54">
        <f>STOCK[[#This Row],[Costo total]]*1.5</f>
        <v>10.1525</v>
      </c>
      <c r="V277" s="54">
        <v>12</v>
      </c>
      <c r="W277" s="54">
        <f>STOCK[[#This Row],[Precio Final]]-STOCK[[#This Row],[Costo total]]</f>
        <v>5.23166666666667</v>
      </c>
      <c r="X277" s="54">
        <f>STOCK[[#This Row],[Ganancia Unitaria]]*STOCK[[#This Row],[Salidas]]</f>
        <v>10.4633333333333</v>
      </c>
      <c r="AA277" s="54">
        <f>STOCK[[#This Row],[Costo total]]*STOCK[[#This Row],[Entradas]]</f>
        <v>20.305</v>
      </c>
      <c r="AB277" s="54">
        <f>STOCK[[#This Row],[Stock Actual]]*STOCK[[#This Row],[Costo total]]</f>
        <v>6.76833333333333</v>
      </c>
      <c r="AC277" s="54">
        <v>9</v>
      </c>
    </row>
    <row r="278" s="53" customFormat="1" ht="50" customHeight="1" spans="1:29">
      <c r="A278" s="53" t="s">
        <v>600</v>
      </c>
      <c r="B278" s="66"/>
      <c r="C278" s="53" t="s">
        <v>32</v>
      </c>
      <c r="D278" s="53" t="s">
        <v>294</v>
      </c>
      <c r="E278" s="67" t="s">
        <v>599</v>
      </c>
      <c r="F278" s="53" t="s">
        <v>62</v>
      </c>
      <c r="G278" s="53" t="s">
        <v>36</v>
      </c>
      <c r="H278" s="53">
        <f>STOCK[[#This Row],[Precio Final]]</f>
        <v>12</v>
      </c>
      <c r="I278" s="53">
        <f>STOCK[[#This Row],[Precio Venta Ideal (x1.5)]]</f>
        <v>10.1525</v>
      </c>
      <c r="J278" s="71">
        <v>3</v>
      </c>
      <c r="K278" s="71">
        <f>SUMIFS(VENTAS[Cantidad],VENTAS[Código del producto Vendido],STOCK[[#This Row],[Code]])</f>
        <v>2</v>
      </c>
      <c r="L278" s="71">
        <f>STOCK[[#This Row],[Entradas]]-STOCK[[#This Row],[Salidas]]</f>
        <v>1</v>
      </c>
      <c r="M278" s="53">
        <f>STOCK[[#This Row],[Precio Final]]*10%</f>
        <v>1.2</v>
      </c>
      <c r="N278" s="53">
        <v>93.75</v>
      </c>
      <c r="O278" s="53">
        <v>18</v>
      </c>
      <c r="P278" s="53">
        <v>5.20833333333333</v>
      </c>
      <c r="Q278" s="71">
        <v>45</v>
      </c>
      <c r="R278" s="53">
        <v>8</v>
      </c>
      <c r="S278" s="53">
        <f>STOCK[[#This Row],[Peso (g)]]*STOCK[[#This Row],[Precio Envío Kilogramo (USD)]]/1000</f>
        <v>0.36</v>
      </c>
      <c r="T278" s="53">
        <f>STOCK[[#This Row],[Costo Unitario (USD)]]+STOCK[[#This Row],[Costo Envío (USD)]]+STOCK[[#This Row],[Comisión 10%]]</f>
        <v>6.76833333333333</v>
      </c>
      <c r="U278" s="53">
        <f>STOCK[[#This Row],[Costo total]]*1.5</f>
        <v>10.1525</v>
      </c>
      <c r="V278" s="53">
        <v>12</v>
      </c>
      <c r="W278" s="53">
        <f>STOCK[[#This Row],[Precio Final]]-STOCK[[#This Row],[Costo total]]</f>
        <v>5.23166666666667</v>
      </c>
      <c r="X278" s="53">
        <f>STOCK[[#This Row],[Ganancia Unitaria]]*STOCK[[#This Row],[Salidas]]</f>
        <v>10.4633333333333</v>
      </c>
      <c r="AA278" s="53">
        <f>STOCK[[#This Row],[Costo total]]*STOCK[[#This Row],[Entradas]]</f>
        <v>20.305</v>
      </c>
      <c r="AB278" s="53">
        <f>STOCK[[#This Row],[Stock Actual]]*STOCK[[#This Row],[Costo total]]</f>
        <v>6.76833333333333</v>
      </c>
      <c r="AC278" s="53">
        <v>9</v>
      </c>
    </row>
    <row r="279" s="54" customFormat="1" ht="50" customHeight="1" spans="1:29">
      <c r="A279" s="54" t="s">
        <v>601</v>
      </c>
      <c r="B279" s="66"/>
      <c r="C279" s="54" t="s">
        <v>32</v>
      </c>
      <c r="D279" s="54" t="s">
        <v>294</v>
      </c>
      <c r="E279" s="68" t="s">
        <v>599</v>
      </c>
      <c r="F279" s="54" t="s">
        <v>49</v>
      </c>
      <c r="G279" s="54" t="s">
        <v>36</v>
      </c>
      <c r="H279" s="54">
        <f>STOCK[[#This Row],[Precio Final]]</f>
        <v>12</v>
      </c>
      <c r="I279" s="54">
        <f>STOCK[[#This Row],[Precio Venta Ideal (x1.5)]]</f>
        <v>10.1525</v>
      </c>
      <c r="J279" s="72">
        <v>3</v>
      </c>
      <c r="K279" s="72">
        <f>SUMIFS(VENTAS[Cantidad],VENTAS[Código del producto Vendido],STOCK[[#This Row],[Code]])</f>
        <v>2</v>
      </c>
      <c r="L279" s="72">
        <f>STOCK[[#This Row],[Entradas]]-STOCK[[#This Row],[Salidas]]</f>
        <v>1</v>
      </c>
      <c r="M279" s="54">
        <f>STOCK[[#This Row],[Precio Final]]*10%</f>
        <v>1.2</v>
      </c>
      <c r="N279" s="54">
        <v>93.75</v>
      </c>
      <c r="O279" s="54">
        <v>18</v>
      </c>
      <c r="P279" s="54">
        <v>5.20833333333333</v>
      </c>
      <c r="Q279" s="72">
        <v>45</v>
      </c>
      <c r="R279" s="54">
        <v>8</v>
      </c>
      <c r="S279" s="54">
        <f>STOCK[[#This Row],[Peso (g)]]*STOCK[[#This Row],[Precio Envío Kilogramo (USD)]]/1000</f>
        <v>0.36</v>
      </c>
      <c r="T279" s="53">
        <f>STOCK[[#This Row],[Costo Unitario (USD)]]+STOCK[[#This Row],[Costo Envío (USD)]]+STOCK[[#This Row],[Comisión 10%]]</f>
        <v>6.76833333333333</v>
      </c>
      <c r="U279" s="54">
        <f>STOCK[[#This Row],[Costo total]]*1.5</f>
        <v>10.1525</v>
      </c>
      <c r="V279" s="54">
        <v>12</v>
      </c>
      <c r="W279" s="54">
        <f>STOCK[[#This Row],[Precio Final]]-STOCK[[#This Row],[Costo total]]</f>
        <v>5.23166666666667</v>
      </c>
      <c r="X279" s="54">
        <f>STOCK[[#This Row],[Ganancia Unitaria]]*STOCK[[#This Row],[Salidas]]</f>
        <v>10.4633333333333</v>
      </c>
      <c r="AA279" s="54">
        <f>STOCK[[#This Row],[Costo total]]*STOCK[[#This Row],[Entradas]]</f>
        <v>20.305</v>
      </c>
      <c r="AB279" s="54">
        <f>STOCK[[#This Row],[Stock Actual]]*STOCK[[#This Row],[Costo total]]</f>
        <v>6.76833333333333</v>
      </c>
      <c r="AC279" s="54">
        <v>9</v>
      </c>
    </row>
    <row r="280" s="53" customFormat="1" ht="50" customHeight="1" spans="1:29">
      <c r="A280" s="53" t="s">
        <v>602</v>
      </c>
      <c r="B280" s="66"/>
      <c r="C280" s="53" t="s">
        <v>32</v>
      </c>
      <c r="D280" s="53" t="s">
        <v>44</v>
      </c>
      <c r="E280" s="67" t="s">
        <v>603</v>
      </c>
      <c r="F280" s="53" t="s">
        <v>40</v>
      </c>
      <c r="G280" s="53" t="s">
        <v>36</v>
      </c>
      <c r="H280" s="53">
        <f>STOCK[[#This Row],[Precio Final]]</f>
        <v>20</v>
      </c>
      <c r="I280" s="53">
        <f>STOCK[[#This Row],[Precio Venta Ideal (x1.5)]]</f>
        <v>19.0833333333333</v>
      </c>
      <c r="J280" s="71">
        <v>4</v>
      </c>
      <c r="K280" s="71">
        <f>SUMIFS(VENTAS[Cantidad],VENTAS[Código del producto Vendido],STOCK[[#This Row],[Code]])</f>
        <v>2</v>
      </c>
      <c r="L280" s="71">
        <f>STOCK[[#This Row],[Entradas]]-STOCK[[#This Row],[Salidas]]</f>
        <v>2</v>
      </c>
      <c r="M280" s="53">
        <f>STOCK[[#This Row],[Precio Final]]*10%</f>
        <v>2</v>
      </c>
      <c r="N280" s="53">
        <v>166</v>
      </c>
      <c r="O280" s="53">
        <v>18</v>
      </c>
      <c r="P280" s="53">
        <v>9.22222222222222</v>
      </c>
      <c r="Q280" s="71">
        <v>150</v>
      </c>
      <c r="R280" s="53">
        <v>10</v>
      </c>
      <c r="S280" s="53">
        <f>STOCK[[#This Row],[Peso (g)]]*STOCK[[#This Row],[Precio Envío Kilogramo (USD)]]/1000</f>
        <v>1.5</v>
      </c>
      <c r="T280" s="53">
        <f>STOCK[[#This Row],[Costo Unitario (USD)]]+STOCK[[#This Row],[Costo Envío (USD)]]+STOCK[[#This Row],[Comisión 10%]]</f>
        <v>12.7222222222222</v>
      </c>
      <c r="U280" s="53">
        <f>STOCK[[#This Row],[Costo total]]*1.5</f>
        <v>19.0833333333333</v>
      </c>
      <c r="V280" s="53">
        <v>20</v>
      </c>
      <c r="W280" s="53">
        <f>STOCK[[#This Row],[Precio Final]]-STOCK[[#This Row],[Costo total]]</f>
        <v>7.27777777777778</v>
      </c>
      <c r="X280" s="53">
        <f>STOCK[[#This Row],[Ganancia Unitaria]]*STOCK[[#This Row],[Salidas]]</f>
        <v>14.5555555555556</v>
      </c>
      <c r="AA280" s="53">
        <f>STOCK[[#This Row],[Costo total]]*STOCK[[#This Row],[Entradas]]</f>
        <v>50.8888888888889</v>
      </c>
      <c r="AB280" s="53">
        <f>STOCK[[#This Row],[Stock Actual]]*STOCK[[#This Row],[Costo total]]</f>
        <v>25.4444444444444</v>
      </c>
      <c r="AC280" s="53">
        <v>18</v>
      </c>
    </row>
    <row r="281" s="54" customFormat="1" ht="50" customHeight="1" spans="1:29">
      <c r="A281" s="54" t="s">
        <v>604</v>
      </c>
      <c r="B281" s="66"/>
      <c r="C281" s="54" t="s">
        <v>32</v>
      </c>
      <c r="D281" s="54" t="s">
        <v>44</v>
      </c>
      <c r="E281" s="68" t="s">
        <v>603</v>
      </c>
      <c r="F281" s="54" t="s">
        <v>62</v>
      </c>
      <c r="G281" s="54" t="s">
        <v>36</v>
      </c>
      <c r="H281" s="54">
        <f>STOCK[[#This Row],[Precio Final]]</f>
        <v>20</v>
      </c>
      <c r="I281" s="54">
        <f>STOCK[[#This Row],[Precio Venta Ideal (x1.5)]]</f>
        <v>19.0833333333333</v>
      </c>
      <c r="J281" s="72">
        <v>3</v>
      </c>
      <c r="K281" s="72">
        <f>SUMIFS(VENTAS[Cantidad],VENTAS[Código del producto Vendido],STOCK[[#This Row],[Code]])</f>
        <v>2</v>
      </c>
      <c r="L281" s="72">
        <f>STOCK[[#This Row],[Entradas]]-STOCK[[#This Row],[Salidas]]</f>
        <v>1</v>
      </c>
      <c r="M281" s="54">
        <f>STOCK[[#This Row],[Precio Final]]*10%</f>
        <v>2</v>
      </c>
      <c r="N281" s="54">
        <v>166</v>
      </c>
      <c r="O281" s="54">
        <v>18</v>
      </c>
      <c r="P281" s="54">
        <v>9.22222222222222</v>
      </c>
      <c r="Q281" s="72">
        <v>150</v>
      </c>
      <c r="R281" s="54">
        <v>10</v>
      </c>
      <c r="S281" s="54">
        <f>STOCK[[#This Row],[Peso (g)]]*STOCK[[#This Row],[Precio Envío Kilogramo (USD)]]/1000</f>
        <v>1.5</v>
      </c>
      <c r="T281" s="53">
        <f>STOCK[[#This Row],[Costo Unitario (USD)]]+STOCK[[#This Row],[Costo Envío (USD)]]+STOCK[[#This Row],[Comisión 10%]]</f>
        <v>12.7222222222222</v>
      </c>
      <c r="U281" s="54">
        <f>STOCK[[#This Row],[Costo total]]*1.5</f>
        <v>19.0833333333333</v>
      </c>
      <c r="V281" s="54">
        <v>20</v>
      </c>
      <c r="W281" s="54">
        <f>STOCK[[#This Row],[Precio Final]]-STOCK[[#This Row],[Costo total]]</f>
        <v>7.27777777777778</v>
      </c>
      <c r="X281" s="54">
        <f>STOCK[[#This Row],[Ganancia Unitaria]]*STOCK[[#This Row],[Salidas]]</f>
        <v>14.5555555555556</v>
      </c>
      <c r="AA281" s="54">
        <f>STOCK[[#This Row],[Costo total]]*STOCK[[#This Row],[Entradas]]</f>
        <v>38.1666666666667</v>
      </c>
      <c r="AB281" s="54">
        <f>STOCK[[#This Row],[Stock Actual]]*STOCK[[#This Row],[Costo total]]</f>
        <v>12.7222222222222</v>
      </c>
      <c r="AC281" s="54">
        <v>18</v>
      </c>
    </row>
    <row r="282" s="53" customFormat="1" ht="50" customHeight="1" spans="1:29">
      <c r="A282" s="53" t="s">
        <v>605</v>
      </c>
      <c r="B282" s="66"/>
      <c r="C282" s="53" t="s">
        <v>32</v>
      </c>
      <c r="D282" s="53" t="s">
        <v>44</v>
      </c>
      <c r="E282" s="67" t="s">
        <v>603</v>
      </c>
      <c r="F282" s="53" t="s">
        <v>49</v>
      </c>
      <c r="G282" s="53" t="s">
        <v>36</v>
      </c>
      <c r="H282" s="53">
        <f>STOCK[[#This Row],[Precio Final]]</f>
        <v>20</v>
      </c>
      <c r="I282" s="53">
        <f>STOCK[[#This Row],[Precio Venta Ideal (x1.5)]]</f>
        <v>19.0833333333333</v>
      </c>
      <c r="J282" s="71">
        <v>4</v>
      </c>
      <c r="K282" s="71">
        <f>SUMIFS(VENTAS[Cantidad],VENTAS[Código del producto Vendido],STOCK[[#This Row],[Code]])</f>
        <v>2</v>
      </c>
      <c r="L282" s="71">
        <f>STOCK[[#This Row],[Entradas]]-STOCK[[#This Row],[Salidas]]</f>
        <v>2</v>
      </c>
      <c r="M282" s="53">
        <f>STOCK[[#This Row],[Precio Final]]*10%</f>
        <v>2</v>
      </c>
      <c r="N282" s="53">
        <v>166</v>
      </c>
      <c r="O282" s="53">
        <v>18</v>
      </c>
      <c r="P282" s="53">
        <v>9.22222222222222</v>
      </c>
      <c r="Q282" s="71">
        <v>150</v>
      </c>
      <c r="R282" s="53">
        <v>10</v>
      </c>
      <c r="S282" s="53">
        <f>STOCK[[#This Row],[Peso (g)]]*STOCK[[#This Row],[Precio Envío Kilogramo (USD)]]/1000</f>
        <v>1.5</v>
      </c>
      <c r="T282" s="53">
        <f>STOCK[[#This Row],[Costo Unitario (USD)]]+STOCK[[#This Row],[Costo Envío (USD)]]+STOCK[[#This Row],[Comisión 10%]]</f>
        <v>12.7222222222222</v>
      </c>
      <c r="U282" s="53">
        <f>STOCK[[#This Row],[Costo total]]*1.5</f>
        <v>19.0833333333333</v>
      </c>
      <c r="V282" s="53">
        <v>20</v>
      </c>
      <c r="W282" s="53">
        <f>STOCK[[#This Row],[Precio Final]]-STOCK[[#This Row],[Costo total]]</f>
        <v>7.27777777777778</v>
      </c>
      <c r="X282" s="53">
        <f>STOCK[[#This Row],[Ganancia Unitaria]]*STOCK[[#This Row],[Salidas]]</f>
        <v>14.5555555555556</v>
      </c>
      <c r="AA282" s="53">
        <f>STOCK[[#This Row],[Costo total]]*STOCK[[#This Row],[Entradas]]</f>
        <v>50.8888888888889</v>
      </c>
      <c r="AB282" s="53">
        <f>STOCK[[#This Row],[Stock Actual]]*STOCK[[#This Row],[Costo total]]</f>
        <v>25.4444444444444</v>
      </c>
      <c r="AC282" s="53">
        <v>18</v>
      </c>
    </row>
    <row r="283" s="54" customFormat="1" ht="50" customHeight="1" spans="1:28">
      <c r="A283" s="54" t="s">
        <v>606</v>
      </c>
      <c r="B283" s="66"/>
      <c r="C283" s="54" t="s">
        <v>32</v>
      </c>
      <c r="D283" s="54" t="s">
        <v>44</v>
      </c>
      <c r="E283" s="68" t="s">
        <v>607</v>
      </c>
      <c r="F283" s="54" t="s">
        <v>46</v>
      </c>
      <c r="G283" s="54" t="s">
        <v>36</v>
      </c>
      <c r="H283" s="54">
        <f>STOCK[[#This Row],[Precio Final]]</f>
        <v>20</v>
      </c>
      <c r="I283" s="54">
        <f>STOCK[[#This Row],[Precio Venta Ideal (x1.5)]]</f>
        <v>19.0833333333333</v>
      </c>
      <c r="J283" s="72">
        <v>1</v>
      </c>
      <c r="K283" s="72">
        <f>SUMIFS(VENTAS[Cantidad],VENTAS[Código del producto Vendido],STOCK[[#This Row],[Code]])</f>
        <v>1</v>
      </c>
      <c r="L283" s="72">
        <f>STOCK[[#This Row],[Entradas]]-STOCK[[#This Row],[Salidas]]</f>
        <v>0</v>
      </c>
      <c r="M283" s="54">
        <f>STOCK[[#This Row],[Precio Final]]*10%</f>
        <v>2</v>
      </c>
      <c r="N283" s="54">
        <v>166</v>
      </c>
      <c r="O283" s="54">
        <v>18</v>
      </c>
      <c r="P283" s="54">
        <v>9.22222222222222</v>
      </c>
      <c r="Q283" s="72">
        <v>150</v>
      </c>
      <c r="R283" s="54">
        <v>10</v>
      </c>
      <c r="S283" s="54">
        <f>STOCK[[#This Row],[Peso (g)]]*STOCK[[#This Row],[Precio Envío Kilogramo (USD)]]/1000</f>
        <v>1.5</v>
      </c>
      <c r="T283" s="53">
        <f>STOCK[[#This Row],[Costo Unitario (USD)]]+STOCK[[#This Row],[Costo Envío (USD)]]+STOCK[[#This Row],[Comisión 10%]]</f>
        <v>12.7222222222222</v>
      </c>
      <c r="U283" s="54">
        <f>STOCK[[#This Row],[Costo total]]*1.5</f>
        <v>19.0833333333333</v>
      </c>
      <c r="V283" s="54">
        <v>20</v>
      </c>
      <c r="W283" s="54">
        <f>STOCK[[#This Row],[Precio Final]]-STOCK[[#This Row],[Costo total]]</f>
        <v>7.27777777777778</v>
      </c>
      <c r="X283" s="54">
        <f>STOCK[[#This Row],[Ganancia Unitaria]]*STOCK[[#This Row],[Salidas]]</f>
        <v>7.27777777777778</v>
      </c>
      <c r="AA283" s="54">
        <f>STOCK[[#This Row],[Costo total]]*STOCK[[#This Row],[Entradas]]</f>
        <v>12.7222222222222</v>
      </c>
      <c r="AB283" s="54">
        <f>STOCK[[#This Row],[Stock Actual]]*STOCK[[#This Row],[Costo total]]</f>
        <v>0</v>
      </c>
    </row>
    <row r="284" s="53" customFormat="1" ht="50" customHeight="1" spans="1:29">
      <c r="A284" s="53" t="s">
        <v>608</v>
      </c>
      <c r="B284" s="66"/>
      <c r="C284" s="53" t="s">
        <v>32</v>
      </c>
      <c r="D284" s="53" t="s">
        <v>174</v>
      </c>
      <c r="E284" s="67" t="s">
        <v>609</v>
      </c>
      <c r="F284" s="53" t="s">
        <v>62</v>
      </c>
      <c r="G284" s="53" t="s">
        <v>36</v>
      </c>
      <c r="H284" s="53">
        <f>STOCK[[#This Row],[Precio Final]]</f>
        <v>10</v>
      </c>
      <c r="I284" s="53">
        <f>STOCK[[#This Row],[Precio Venta Ideal (x1.5)]]</f>
        <v>10.1025</v>
      </c>
      <c r="J284" s="71">
        <v>5</v>
      </c>
      <c r="K284" s="71">
        <f>SUMIFS(VENTAS[Cantidad],VENTAS[Código del producto Vendido],STOCK[[#This Row],[Code]])</f>
        <v>0</v>
      </c>
      <c r="L284" s="71">
        <f>STOCK[[#This Row],[Entradas]]-STOCK[[#This Row],[Salidas]]</f>
        <v>5</v>
      </c>
      <c r="M284" s="53">
        <f>STOCK[[#This Row],[Precio Final]]*10%</f>
        <v>1</v>
      </c>
      <c r="N284" s="53">
        <v>96.75</v>
      </c>
      <c r="O284" s="53">
        <v>18</v>
      </c>
      <c r="P284" s="53">
        <v>5.375</v>
      </c>
      <c r="Q284" s="71">
        <v>45</v>
      </c>
      <c r="R284" s="53">
        <v>8</v>
      </c>
      <c r="S284" s="53">
        <f>STOCK[[#This Row],[Peso (g)]]*STOCK[[#This Row],[Precio Envío Kilogramo (USD)]]/1000</f>
        <v>0.36</v>
      </c>
      <c r="T284" s="53">
        <f>STOCK[[#This Row],[Costo Unitario (USD)]]+STOCK[[#This Row],[Costo Envío (USD)]]+STOCK[[#This Row],[Comisión 10%]]</f>
        <v>6.735</v>
      </c>
      <c r="U284" s="53">
        <f>STOCK[[#This Row],[Costo total]]*1.5</f>
        <v>10.1025</v>
      </c>
      <c r="V284" s="53">
        <v>10</v>
      </c>
      <c r="W284" s="53">
        <f>STOCK[[#This Row],[Precio Final]]-STOCK[[#This Row],[Costo total]]</f>
        <v>3.265</v>
      </c>
      <c r="X284" s="53">
        <f>STOCK[[#This Row],[Ganancia Unitaria]]*STOCK[[#This Row],[Salidas]]</f>
        <v>0</v>
      </c>
      <c r="AA284" s="53">
        <f>STOCK[[#This Row],[Costo total]]*STOCK[[#This Row],[Entradas]]</f>
        <v>33.675</v>
      </c>
      <c r="AB284" s="53">
        <f>STOCK[[#This Row],[Stock Actual]]*STOCK[[#This Row],[Costo total]]</f>
        <v>33.675</v>
      </c>
      <c r="AC284" s="53">
        <v>9</v>
      </c>
    </row>
    <row r="285" s="54" customFormat="1" ht="50" customHeight="1" spans="1:28">
      <c r="A285" s="54" t="s">
        <v>610</v>
      </c>
      <c r="B285" s="66"/>
      <c r="C285" s="54" t="s">
        <v>32</v>
      </c>
      <c r="D285" s="54" t="s">
        <v>44</v>
      </c>
      <c r="E285" s="68" t="s">
        <v>611</v>
      </c>
      <c r="F285" s="54" t="s">
        <v>46</v>
      </c>
      <c r="G285" s="54" t="s">
        <v>36</v>
      </c>
      <c r="H285" s="54">
        <f>STOCK[[#This Row],[Precio Final]]</f>
        <v>25</v>
      </c>
      <c r="I285" s="54">
        <f>STOCK[[#This Row],[Precio Venta Ideal (x1.5)]]</f>
        <v>19.8333333333333</v>
      </c>
      <c r="J285" s="72">
        <v>3</v>
      </c>
      <c r="K285" s="72">
        <f>SUMIFS(VENTAS[Cantidad],VENTAS[Código del producto Vendido],STOCK[[#This Row],[Code]])</f>
        <v>3</v>
      </c>
      <c r="L285" s="72">
        <f>STOCK[[#This Row],[Entradas]]-STOCK[[#This Row],[Salidas]]</f>
        <v>0</v>
      </c>
      <c r="M285" s="54">
        <f>STOCK[[#This Row],[Precio Final]]*10%</f>
        <v>2.5</v>
      </c>
      <c r="N285" s="54">
        <v>166</v>
      </c>
      <c r="O285" s="54">
        <v>18</v>
      </c>
      <c r="P285" s="54">
        <v>9.22222222222222</v>
      </c>
      <c r="Q285" s="72">
        <v>150</v>
      </c>
      <c r="R285" s="54">
        <v>10</v>
      </c>
      <c r="S285" s="54">
        <f>STOCK[[#This Row],[Peso (g)]]*STOCK[[#This Row],[Precio Envío Kilogramo (USD)]]/1000</f>
        <v>1.5</v>
      </c>
      <c r="T285" s="53">
        <f>STOCK[[#This Row],[Costo Unitario (USD)]]+STOCK[[#This Row],[Costo Envío (USD)]]+STOCK[[#This Row],[Comisión 10%]]</f>
        <v>13.2222222222222</v>
      </c>
      <c r="U285" s="54">
        <f>STOCK[[#This Row],[Costo total]]*1.5</f>
        <v>19.8333333333333</v>
      </c>
      <c r="V285" s="54">
        <v>25</v>
      </c>
      <c r="W285" s="54">
        <f>STOCK[[#This Row],[Precio Final]]-STOCK[[#This Row],[Costo total]]</f>
        <v>11.7777777777778</v>
      </c>
      <c r="X285" s="54">
        <f>STOCK[[#This Row],[Ganancia Unitaria]]*STOCK[[#This Row],[Salidas]]</f>
        <v>35.3333333333333</v>
      </c>
      <c r="AA285" s="54">
        <f>STOCK[[#This Row],[Costo total]]*STOCK[[#This Row],[Entradas]]</f>
        <v>39.6666666666667</v>
      </c>
      <c r="AB285" s="54">
        <f>STOCK[[#This Row],[Stock Actual]]*STOCK[[#This Row],[Costo total]]</f>
        <v>0</v>
      </c>
    </row>
    <row r="286" s="53" customFormat="1" ht="50" customHeight="1" spans="1:28">
      <c r="A286" s="53" t="s">
        <v>612</v>
      </c>
      <c r="B286" s="66"/>
      <c r="C286" s="53" t="s">
        <v>32</v>
      </c>
      <c r="D286" s="53" t="s">
        <v>44</v>
      </c>
      <c r="E286" s="67" t="s">
        <v>613</v>
      </c>
      <c r="F286" s="53" t="s">
        <v>46</v>
      </c>
      <c r="G286" s="53" t="s">
        <v>36</v>
      </c>
      <c r="H286" s="53">
        <f>STOCK[[#This Row],[Precio Final]]</f>
        <v>25</v>
      </c>
      <c r="I286" s="53">
        <f>STOCK[[#This Row],[Precio Venta Ideal (x1.5)]]</f>
        <v>19.8333333333333</v>
      </c>
      <c r="J286" s="71">
        <v>3</v>
      </c>
      <c r="K286" s="71">
        <f>SUMIFS(VENTAS[Cantidad],VENTAS[Código del producto Vendido],STOCK[[#This Row],[Code]])</f>
        <v>3</v>
      </c>
      <c r="L286" s="71">
        <f>STOCK[[#This Row],[Entradas]]-STOCK[[#This Row],[Salidas]]</f>
        <v>0</v>
      </c>
      <c r="M286" s="53">
        <f>STOCK[[#This Row],[Precio Final]]*10%</f>
        <v>2.5</v>
      </c>
      <c r="N286" s="53">
        <v>166</v>
      </c>
      <c r="O286" s="53">
        <v>18</v>
      </c>
      <c r="P286" s="53">
        <v>9.22222222222222</v>
      </c>
      <c r="Q286" s="71">
        <v>150</v>
      </c>
      <c r="R286" s="53">
        <v>10</v>
      </c>
      <c r="S286" s="53">
        <f>STOCK[[#This Row],[Peso (g)]]*STOCK[[#This Row],[Precio Envío Kilogramo (USD)]]/1000</f>
        <v>1.5</v>
      </c>
      <c r="T286" s="53">
        <f>STOCK[[#This Row],[Costo Unitario (USD)]]+STOCK[[#This Row],[Costo Envío (USD)]]+STOCK[[#This Row],[Comisión 10%]]</f>
        <v>13.2222222222222</v>
      </c>
      <c r="U286" s="53">
        <f>STOCK[[#This Row],[Costo total]]*1.5</f>
        <v>19.8333333333333</v>
      </c>
      <c r="V286" s="53">
        <v>25</v>
      </c>
      <c r="W286" s="53">
        <f>STOCK[[#This Row],[Precio Final]]-STOCK[[#This Row],[Costo total]]</f>
        <v>11.7777777777778</v>
      </c>
      <c r="X286" s="53">
        <f>STOCK[[#This Row],[Ganancia Unitaria]]*STOCK[[#This Row],[Salidas]]</f>
        <v>35.3333333333333</v>
      </c>
      <c r="AA286" s="53">
        <f>STOCK[[#This Row],[Costo total]]*STOCK[[#This Row],[Entradas]]</f>
        <v>39.6666666666667</v>
      </c>
      <c r="AB286" s="53">
        <f>STOCK[[#This Row],[Stock Actual]]*STOCK[[#This Row],[Costo total]]</f>
        <v>0</v>
      </c>
    </row>
    <row r="287" s="54" customFormat="1" ht="50" customHeight="1" spans="1:28">
      <c r="A287" s="54" t="s">
        <v>614</v>
      </c>
      <c r="B287" s="66"/>
      <c r="C287" s="54" t="s">
        <v>32</v>
      </c>
      <c r="D287" s="54" t="s">
        <v>174</v>
      </c>
      <c r="E287" s="68" t="s">
        <v>615</v>
      </c>
      <c r="F287" s="54" t="s">
        <v>62</v>
      </c>
      <c r="G287" s="54" t="s">
        <v>36</v>
      </c>
      <c r="H287" s="54">
        <f>STOCK[[#This Row],[Precio Final]]</f>
        <v>15</v>
      </c>
      <c r="I287" s="54">
        <f>STOCK[[#This Row],[Precio Venta Ideal (x1.5)]]</f>
        <v>10.8525</v>
      </c>
      <c r="J287" s="72">
        <v>3</v>
      </c>
      <c r="K287" s="72">
        <f>SUMIFS(VENTAS[Cantidad],VENTAS[Código del producto Vendido],STOCK[[#This Row],[Code]])</f>
        <v>3</v>
      </c>
      <c r="L287" s="72">
        <f>STOCK[[#This Row],[Entradas]]-STOCK[[#This Row],[Salidas]]</f>
        <v>0</v>
      </c>
      <c r="M287" s="54">
        <f>STOCK[[#This Row],[Precio Final]]*10%</f>
        <v>1.5</v>
      </c>
      <c r="N287" s="54">
        <v>96.75</v>
      </c>
      <c r="O287" s="54">
        <v>18</v>
      </c>
      <c r="P287" s="54">
        <v>5.375</v>
      </c>
      <c r="Q287" s="72">
        <v>45</v>
      </c>
      <c r="R287" s="54">
        <v>8</v>
      </c>
      <c r="S287" s="54">
        <f>STOCK[[#This Row],[Peso (g)]]*STOCK[[#This Row],[Precio Envío Kilogramo (USD)]]/1000</f>
        <v>0.36</v>
      </c>
      <c r="T287" s="53">
        <f>STOCK[[#This Row],[Costo Unitario (USD)]]+STOCK[[#This Row],[Costo Envío (USD)]]+STOCK[[#This Row],[Comisión 10%]]</f>
        <v>7.235</v>
      </c>
      <c r="U287" s="54">
        <f>STOCK[[#This Row],[Costo total]]*1.5</f>
        <v>10.8525</v>
      </c>
      <c r="V287" s="54">
        <v>15</v>
      </c>
      <c r="W287" s="54">
        <f>STOCK[[#This Row],[Precio Final]]-STOCK[[#This Row],[Costo total]]</f>
        <v>7.765</v>
      </c>
      <c r="X287" s="54">
        <f>STOCK[[#This Row],[Ganancia Unitaria]]*STOCK[[#This Row],[Salidas]]</f>
        <v>23.295</v>
      </c>
      <c r="AA287" s="54">
        <f>STOCK[[#This Row],[Costo total]]*STOCK[[#This Row],[Entradas]]</f>
        <v>21.705</v>
      </c>
      <c r="AB287" s="54">
        <f>STOCK[[#This Row],[Stock Actual]]*STOCK[[#This Row],[Costo total]]</f>
        <v>0</v>
      </c>
    </row>
    <row r="288" s="53" customFormat="1" ht="50" customHeight="1" spans="1:28">
      <c r="A288" s="53" t="s">
        <v>616</v>
      </c>
      <c r="B288" s="66"/>
      <c r="C288" s="53" t="s">
        <v>32</v>
      </c>
      <c r="D288" s="53" t="s">
        <v>174</v>
      </c>
      <c r="E288" s="67" t="s">
        <v>615</v>
      </c>
      <c r="F288" s="53" t="s">
        <v>40</v>
      </c>
      <c r="G288" s="53" t="s">
        <v>36</v>
      </c>
      <c r="H288" s="53">
        <f>STOCK[[#This Row],[Precio Final]]</f>
        <v>15</v>
      </c>
      <c r="I288" s="53">
        <f>STOCK[[#This Row],[Precio Venta Ideal (x1.5)]]</f>
        <v>10.8525</v>
      </c>
      <c r="J288" s="71">
        <v>3</v>
      </c>
      <c r="K288" s="71">
        <f>SUMIFS(VENTAS[Cantidad],VENTAS[Código del producto Vendido],STOCK[[#This Row],[Code]])</f>
        <v>3</v>
      </c>
      <c r="L288" s="71">
        <f>STOCK[[#This Row],[Entradas]]-STOCK[[#This Row],[Salidas]]</f>
        <v>0</v>
      </c>
      <c r="M288" s="53">
        <f>STOCK[[#This Row],[Precio Final]]*10%</f>
        <v>1.5</v>
      </c>
      <c r="N288" s="53">
        <v>96.75</v>
      </c>
      <c r="O288" s="53">
        <v>18</v>
      </c>
      <c r="P288" s="53">
        <v>5.375</v>
      </c>
      <c r="Q288" s="71">
        <v>45</v>
      </c>
      <c r="R288" s="53">
        <v>8</v>
      </c>
      <c r="S288" s="53">
        <f>STOCK[[#This Row],[Peso (g)]]*STOCK[[#This Row],[Precio Envío Kilogramo (USD)]]/1000</f>
        <v>0.36</v>
      </c>
      <c r="T288" s="53">
        <f>STOCK[[#This Row],[Costo Unitario (USD)]]+STOCK[[#This Row],[Costo Envío (USD)]]+STOCK[[#This Row],[Comisión 10%]]</f>
        <v>7.235</v>
      </c>
      <c r="U288" s="53">
        <f>STOCK[[#This Row],[Costo total]]*1.5</f>
        <v>10.8525</v>
      </c>
      <c r="V288" s="53">
        <v>15</v>
      </c>
      <c r="W288" s="53">
        <f>STOCK[[#This Row],[Precio Final]]-STOCK[[#This Row],[Costo total]]</f>
        <v>7.765</v>
      </c>
      <c r="X288" s="53">
        <f>STOCK[[#This Row],[Ganancia Unitaria]]*STOCK[[#This Row],[Salidas]]</f>
        <v>23.295</v>
      </c>
      <c r="AA288" s="53">
        <f>STOCK[[#This Row],[Costo total]]*STOCK[[#This Row],[Entradas]]</f>
        <v>21.705</v>
      </c>
      <c r="AB288" s="53">
        <f>STOCK[[#This Row],[Stock Actual]]*STOCK[[#This Row],[Costo total]]</f>
        <v>0</v>
      </c>
    </row>
    <row r="289" s="54" customFormat="1" ht="50" customHeight="1" spans="1:29">
      <c r="A289" s="54" t="s">
        <v>617</v>
      </c>
      <c r="B289" s="66"/>
      <c r="C289" s="54" t="s">
        <v>32</v>
      </c>
      <c r="D289" s="54" t="s">
        <v>351</v>
      </c>
      <c r="E289" s="68" t="s">
        <v>618</v>
      </c>
      <c r="F289" s="54" t="s">
        <v>525</v>
      </c>
      <c r="G289" s="54" t="s">
        <v>36</v>
      </c>
      <c r="H289" s="54">
        <f>STOCK[[#This Row],[Precio Final]]</f>
        <v>12</v>
      </c>
      <c r="I289" s="54">
        <f>STOCK[[#This Row],[Precio Venta Ideal (x1.5)]]</f>
        <v>8.025</v>
      </c>
      <c r="J289" s="72">
        <v>6</v>
      </c>
      <c r="K289" s="72">
        <f>SUMIFS(VENTAS[Cantidad],VENTAS[Código del producto Vendido],STOCK[[#This Row],[Code]])</f>
        <v>4</v>
      </c>
      <c r="L289" s="72">
        <f>STOCK[[#This Row],[Entradas]]-STOCK[[#This Row],[Salidas]]</f>
        <v>2</v>
      </c>
      <c r="M289" s="54">
        <f>STOCK[[#This Row],[Precio Final]]*10%</f>
        <v>1.2</v>
      </c>
      <c r="N289" s="54">
        <v>67.5</v>
      </c>
      <c r="O289" s="54">
        <v>18</v>
      </c>
      <c r="P289" s="54">
        <v>3.75</v>
      </c>
      <c r="Q289" s="72">
        <v>50</v>
      </c>
      <c r="R289" s="54">
        <v>8</v>
      </c>
      <c r="S289" s="54">
        <f>STOCK[[#This Row],[Peso (g)]]*STOCK[[#This Row],[Precio Envío Kilogramo (USD)]]/1000</f>
        <v>0.4</v>
      </c>
      <c r="T289" s="53">
        <f>STOCK[[#This Row],[Costo Unitario (USD)]]+STOCK[[#This Row],[Costo Envío (USD)]]+STOCK[[#This Row],[Comisión 10%]]</f>
        <v>5.35</v>
      </c>
      <c r="U289" s="54">
        <f>STOCK[[#This Row],[Costo total]]*1.5</f>
        <v>8.025</v>
      </c>
      <c r="V289" s="54">
        <v>12</v>
      </c>
      <c r="W289" s="54">
        <f>STOCK[[#This Row],[Precio Final]]-STOCK[[#This Row],[Costo total]]</f>
        <v>6.65</v>
      </c>
      <c r="X289" s="54">
        <f>STOCK[[#This Row],[Ganancia Unitaria]]*STOCK[[#This Row],[Salidas]]</f>
        <v>26.6</v>
      </c>
      <c r="AA289" s="54">
        <f>STOCK[[#This Row],[Costo total]]*STOCK[[#This Row],[Entradas]]</f>
        <v>32.1</v>
      </c>
      <c r="AB289" s="54">
        <f>STOCK[[#This Row],[Stock Actual]]*STOCK[[#This Row],[Costo total]]</f>
        <v>10.7</v>
      </c>
      <c r="AC289" s="54">
        <v>7</v>
      </c>
    </row>
    <row r="290" s="53" customFormat="1" ht="50" customHeight="1" spans="1:28">
      <c r="A290" s="53" t="s">
        <v>619</v>
      </c>
      <c r="B290" s="66"/>
      <c r="C290" s="53" t="s">
        <v>32</v>
      </c>
      <c r="D290" s="53" t="s">
        <v>44</v>
      </c>
      <c r="E290" s="67" t="s">
        <v>620</v>
      </c>
      <c r="F290" s="53" t="s">
        <v>40</v>
      </c>
      <c r="G290" s="53" t="s">
        <v>36</v>
      </c>
      <c r="H290" s="53">
        <f>STOCK[[#This Row],[Precio Final]]</f>
        <v>15</v>
      </c>
      <c r="I290" s="53">
        <f>STOCK[[#This Row],[Precio Venta Ideal (x1.5)]]</f>
        <v>18.3333333333333</v>
      </c>
      <c r="J290" s="71">
        <v>3</v>
      </c>
      <c r="K290" s="71">
        <f>SUMIFS(VENTAS[Cantidad],VENTAS[Código del producto Vendido],STOCK[[#This Row],[Code]])</f>
        <v>3</v>
      </c>
      <c r="L290" s="71">
        <f>STOCK[[#This Row],[Entradas]]-STOCK[[#This Row],[Salidas]]</f>
        <v>0</v>
      </c>
      <c r="M290" s="53">
        <f>STOCK[[#This Row],[Precio Final]]*10%</f>
        <v>1.5</v>
      </c>
      <c r="N290" s="53">
        <v>166</v>
      </c>
      <c r="O290" s="53">
        <v>18</v>
      </c>
      <c r="P290" s="53">
        <v>9.22222222222222</v>
      </c>
      <c r="Q290" s="71">
        <v>150</v>
      </c>
      <c r="R290" s="53">
        <v>10</v>
      </c>
      <c r="S290" s="53">
        <f>STOCK[[#This Row],[Peso (g)]]*STOCK[[#This Row],[Precio Envío Kilogramo (USD)]]/1000</f>
        <v>1.5</v>
      </c>
      <c r="T290" s="53">
        <f>STOCK[[#This Row],[Costo Unitario (USD)]]+STOCK[[#This Row],[Costo Envío (USD)]]+STOCK[[#This Row],[Comisión 10%]]</f>
        <v>12.2222222222222</v>
      </c>
      <c r="U290" s="53">
        <f>STOCK[[#This Row],[Costo total]]*1.5</f>
        <v>18.3333333333333</v>
      </c>
      <c r="V290" s="53">
        <v>15</v>
      </c>
      <c r="W290" s="53">
        <f>STOCK[[#This Row],[Precio Final]]-STOCK[[#This Row],[Costo total]]</f>
        <v>2.77777777777778</v>
      </c>
      <c r="X290" s="53">
        <f>STOCK[[#This Row],[Ganancia Unitaria]]*STOCK[[#This Row],[Salidas]]</f>
        <v>8.33333333333334</v>
      </c>
      <c r="AA290" s="53">
        <f>STOCK[[#This Row],[Costo total]]*STOCK[[#This Row],[Entradas]]</f>
        <v>36.6666666666667</v>
      </c>
      <c r="AB290" s="53">
        <f>STOCK[[#This Row],[Stock Actual]]*STOCK[[#This Row],[Costo total]]</f>
        <v>0</v>
      </c>
    </row>
    <row r="291" s="54" customFormat="1" ht="50" customHeight="1" spans="1:28">
      <c r="A291" s="54" t="s">
        <v>621</v>
      </c>
      <c r="B291" s="66"/>
      <c r="C291" s="54" t="s">
        <v>32</v>
      </c>
      <c r="D291" s="54" t="s">
        <v>44</v>
      </c>
      <c r="E291" s="68" t="s">
        <v>622</v>
      </c>
      <c r="F291" s="54" t="s">
        <v>46</v>
      </c>
      <c r="G291" s="54" t="s">
        <v>36</v>
      </c>
      <c r="H291" s="54">
        <f>STOCK[[#This Row],[Precio Final]]</f>
        <v>16</v>
      </c>
      <c r="I291" s="54">
        <f>STOCK[[#This Row],[Precio Venta Ideal (x1.5)]]</f>
        <v>18.4833333333333</v>
      </c>
      <c r="J291" s="72">
        <v>3</v>
      </c>
      <c r="K291" s="72">
        <f>SUMIFS(VENTAS[Cantidad],VENTAS[Código del producto Vendido],STOCK[[#This Row],[Code]])</f>
        <v>3</v>
      </c>
      <c r="L291" s="72">
        <f>STOCK[[#This Row],[Entradas]]-STOCK[[#This Row],[Salidas]]</f>
        <v>0</v>
      </c>
      <c r="M291" s="54">
        <f>STOCK[[#This Row],[Precio Final]]*10%</f>
        <v>1.6</v>
      </c>
      <c r="N291" s="54">
        <v>166</v>
      </c>
      <c r="O291" s="54">
        <v>18</v>
      </c>
      <c r="P291" s="54">
        <v>9.22222222222222</v>
      </c>
      <c r="Q291" s="72">
        <v>150</v>
      </c>
      <c r="R291" s="54">
        <v>10</v>
      </c>
      <c r="S291" s="54">
        <f>STOCK[[#This Row],[Peso (g)]]*STOCK[[#This Row],[Precio Envío Kilogramo (USD)]]/1000</f>
        <v>1.5</v>
      </c>
      <c r="T291" s="53">
        <f>STOCK[[#This Row],[Costo Unitario (USD)]]+STOCK[[#This Row],[Costo Envío (USD)]]+STOCK[[#This Row],[Comisión 10%]]</f>
        <v>12.3222222222222</v>
      </c>
      <c r="U291" s="54">
        <f>STOCK[[#This Row],[Costo total]]*1.5</f>
        <v>18.4833333333333</v>
      </c>
      <c r="V291" s="54">
        <v>16</v>
      </c>
      <c r="W291" s="54">
        <f>STOCK[[#This Row],[Precio Final]]-STOCK[[#This Row],[Costo total]]</f>
        <v>3.67777777777778</v>
      </c>
      <c r="X291" s="54">
        <f>STOCK[[#This Row],[Ganancia Unitaria]]*STOCK[[#This Row],[Salidas]]</f>
        <v>11.0333333333333</v>
      </c>
      <c r="AA291" s="54">
        <f>STOCK[[#This Row],[Costo total]]*STOCK[[#This Row],[Entradas]]</f>
        <v>36.9666666666667</v>
      </c>
      <c r="AB291" s="54">
        <f>STOCK[[#This Row],[Stock Actual]]*STOCK[[#This Row],[Costo total]]</f>
        <v>0</v>
      </c>
    </row>
    <row r="292" s="53" customFormat="1" ht="50" customHeight="1" spans="1:28">
      <c r="A292" s="53" t="s">
        <v>623</v>
      </c>
      <c r="B292" s="66"/>
      <c r="C292" s="53" t="s">
        <v>32</v>
      </c>
      <c r="D292" s="53" t="s">
        <v>44</v>
      </c>
      <c r="E292" s="67" t="s">
        <v>624</v>
      </c>
      <c r="F292" s="53" t="s">
        <v>46</v>
      </c>
      <c r="G292" s="53" t="s">
        <v>36</v>
      </c>
      <c r="H292" s="53">
        <f>STOCK[[#This Row],[Precio Final]]</f>
        <v>216</v>
      </c>
      <c r="I292" s="53">
        <f>STOCK[[#This Row],[Precio Venta Ideal (x1.5)]]</f>
        <v>48.4833333333333</v>
      </c>
      <c r="J292" s="71">
        <v>3</v>
      </c>
      <c r="K292" s="71">
        <f>SUMIFS(VENTAS[Cantidad],VENTAS[Código del producto Vendido],STOCK[[#This Row],[Code]])</f>
        <v>3</v>
      </c>
      <c r="L292" s="71">
        <f>STOCK[[#This Row],[Entradas]]-STOCK[[#This Row],[Salidas]]</f>
        <v>0</v>
      </c>
      <c r="M292" s="53">
        <f>STOCK[[#This Row],[Precio Final]]*10%</f>
        <v>21.6</v>
      </c>
      <c r="N292" s="53">
        <v>166</v>
      </c>
      <c r="O292" s="53">
        <v>18</v>
      </c>
      <c r="P292" s="53">
        <v>9.22222222222222</v>
      </c>
      <c r="Q292" s="71">
        <v>150</v>
      </c>
      <c r="R292" s="53">
        <v>10</v>
      </c>
      <c r="S292" s="53">
        <f>STOCK[[#This Row],[Peso (g)]]*STOCK[[#This Row],[Precio Envío Kilogramo (USD)]]/1000</f>
        <v>1.5</v>
      </c>
      <c r="T292" s="53">
        <f>STOCK[[#This Row],[Costo Unitario (USD)]]+STOCK[[#This Row],[Costo Envío (USD)]]+STOCK[[#This Row],[Comisión 10%]]</f>
        <v>32.3222222222222</v>
      </c>
      <c r="U292" s="53">
        <f>STOCK[[#This Row],[Costo total]]*1.5</f>
        <v>48.4833333333333</v>
      </c>
      <c r="V292" s="53">
        <v>216</v>
      </c>
      <c r="W292" s="53">
        <f>STOCK[[#This Row],[Precio Final]]-STOCK[[#This Row],[Costo total]]</f>
        <v>183.677777777778</v>
      </c>
      <c r="X292" s="53">
        <f>STOCK[[#This Row],[Ganancia Unitaria]]*STOCK[[#This Row],[Salidas]]</f>
        <v>551.033333333333</v>
      </c>
      <c r="AA292" s="53">
        <f>STOCK[[#This Row],[Costo total]]*STOCK[[#This Row],[Entradas]]</f>
        <v>96.9666666666667</v>
      </c>
      <c r="AB292" s="53">
        <f>STOCK[[#This Row],[Stock Actual]]*STOCK[[#This Row],[Costo total]]</f>
        <v>0</v>
      </c>
    </row>
    <row r="293" s="54" customFormat="1" ht="50" customHeight="1" spans="1:28">
      <c r="A293" s="54" t="s">
        <v>625</v>
      </c>
      <c r="B293" s="66"/>
      <c r="C293" s="54" t="s">
        <v>32</v>
      </c>
      <c r="D293" s="54" t="s">
        <v>44</v>
      </c>
      <c r="E293" s="68" t="s">
        <v>626</v>
      </c>
      <c r="F293" s="54" t="s">
        <v>46</v>
      </c>
      <c r="G293" s="54" t="s">
        <v>36</v>
      </c>
      <c r="H293" s="54">
        <f>STOCK[[#This Row],[Precio Final]]</f>
        <v>16</v>
      </c>
      <c r="I293" s="54">
        <f>STOCK[[#This Row],[Precio Venta Ideal (x1.5)]]</f>
        <v>18.4833333333333</v>
      </c>
      <c r="J293" s="72">
        <v>3</v>
      </c>
      <c r="K293" s="72">
        <f>SUMIFS(VENTAS[Cantidad],VENTAS[Código del producto Vendido],STOCK[[#This Row],[Code]])</f>
        <v>3</v>
      </c>
      <c r="L293" s="72">
        <f>STOCK[[#This Row],[Entradas]]-STOCK[[#This Row],[Salidas]]</f>
        <v>0</v>
      </c>
      <c r="M293" s="54">
        <f>STOCK[[#This Row],[Precio Final]]*10%</f>
        <v>1.6</v>
      </c>
      <c r="N293" s="54">
        <v>166</v>
      </c>
      <c r="O293" s="54">
        <v>18</v>
      </c>
      <c r="P293" s="54">
        <v>9.22222222222222</v>
      </c>
      <c r="Q293" s="72">
        <v>150</v>
      </c>
      <c r="R293" s="54">
        <v>10</v>
      </c>
      <c r="S293" s="54">
        <f>STOCK[[#This Row],[Peso (g)]]*STOCK[[#This Row],[Precio Envío Kilogramo (USD)]]/1000</f>
        <v>1.5</v>
      </c>
      <c r="T293" s="53">
        <f>STOCK[[#This Row],[Costo Unitario (USD)]]+STOCK[[#This Row],[Costo Envío (USD)]]+STOCK[[#This Row],[Comisión 10%]]</f>
        <v>12.3222222222222</v>
      </c>
      <c r="U293" s="54">
        <f>STOCK[[#This Row],[Costo total]]*1.5</f>
        <v>18.4833333333333</v>
      </c>
      <c r="V293" s="54">
        <v>16</v>
      </c>
      <c r="W293" s="54">
        <f>STOCK[[#This Row],[Precio Final]]-STOCK[[#This Row],[Costo total]]</f>
        <v>3.67777777777778</v>
      </c>
      <c r="X293" s="54">
        <f>STOCK[[#This Row],[Ganancia Unitaria]]*STOCK[[#This Row],[Salidas]]</f>
        <v>11.0333333333333</v>
      </c>
      <c r="AA293" s="54">
        <f>STOCK[[#This Row],[Costo total]]*STOCK[[#This Row],[Entradas]]</f>
        <v>36.9666666666667</v>
      </c>
      <c r="AB293" s="54">
        <f>STOCK[[#This Row],[Stock Actual]]*STOCK[[#This Row],[Costo total]]</f>
        <v>0</v>
      </c>
    </row>
    <row r="294" s="53" customFormat="1" ht="50" customHeight="1" spans="1:28">
      <c r="A294" s="53" t="s">
        <v>627</v>
      </c>
      <c r="B294" s="66"/>
      <c r="C294" s="53" t="s">
        <v>32</v>
      </c>
      <c r="D294" s="53" t="s">
        <v>44</v>
      </c>
      <c r="E294" s="67" t="s">
        <v>628</v>
      </c>
      <c r="F294" s="53" t="s">
        <v>187</v>
      </c>
      <c r="G294" s="53" t="s">
        <v>36</v>
      </c>
      <c r="H294" s="53">
        <f>STOCK[[#This Row],[Precio Final]]</f>
        <v>20</v>
      </c>
      <c r="I294" s="53">
        <f>STOCK[[#This Row],[Precio Venta Ideal (x1.5)]]</f>
        <v>19.0833333333333</v>
      </c>
      <c r="J294" s="71">
        <v>3</v>
      </c>
      <c r="K294" s="71">
        <f>SUMIFS(VENTAS[Cantidad],VENTAS[Código del producto Vendido],STOCK[[#This Row],[Code]])</f>
        <v>3</v>
      </c>
      <c r="L294" s="71">
        <f>STOCK[[#This Row],[Entradas]]-STOCK[[#This Row],[Salidas]]</f>
        <v>0</v>
      </c>
      <c r="M294" s="53">
        <f>STOCK[[#This Row],[Precio Final]]*10%</f>
        <v>2</v>
      </c>
      <c r="N294" s="53">
        <v>166</v>
      </c>
      <c r="O294" s="53">
        <v>18</v>
      </c>
      <c r="P294" s="53">
        <v>9.22222222222222</v>
      </c>
      <c r="Q294" s="71">
        <v>150</v>
      </c>
      <c r="R294" s="53">
        <v>10</v>
      </c>
      <c r="S294" s="53">
        <f>STOCK[[#This Row],[Peso (g)]]*STOCK[[#This Row],[Precio Envío Kilogramo (USD)]]/1000</f>
        <v>1.5</v>
      </c>
      <c r="T294" s="53">
        <f>STOCK[[#This Row],[Costo Unitario (USD)]]+STOCK[[#This Row],[Costo Envío (USD)]]+STOCK[[#This Row],[Comisión 10%]]</f>
        <v>12.7222222222222</v>
      </c>
      <c r="U294" s="53">
        <f>STOCK[[#This Row],[Costo total]]*1.5</f>
        <v>19.0833333333333</v>
      </c>
      <c r="V294" s="53">
        <v>20</v>
      </c>
      <c r="W294" s="53">
        <f>STOCK[[#This Row],[Precio Final]]-STOCK[[#This Row],[Costo total]]</f>
        <v>7.27777777777778</v>
      </c>
      <c r="X294" s="53">
        <f>STOCK[[#This Row],[Ganancia Unitaria]]*STOCK[[#This Row],[Salidas]]</f>
        <v>21.8333333333333</v>
      </c>
      <c r="AA294" s="53">
        <f>STOCK[[#This Row],[Costo total]]*STOCK[[#This Row],[Entradas]]</f>
        <v>38.1666666666667</v>
      </c>
      <c r="AB294" s="53">
        <f>STOCK[[#This Row],[Stock Actual]]*STOCK[[#This Row],[Costo total]]</f>
        <v>0</v>
      </c>
    </row>
    <row r="295" s="54" customFormat="1" ht="50" customHeight="1" spans="1:29">
      <c r="A295" s="54" t="s">
        <v>629</v>
      </c>
      <c r="B295" s="66"/>
      <c r="C295" s="54" t="s">
        <v>32</v>
      </c>
      <c r="D295" s="54" t="s">
        <v>216</v>
      </c>
      <c r="E295" s="68" t="s">
        <v>630</v>
      </c>
      <c r="F295" s="54" t="s">
        <v>62</v>
      </c>
      <c r="G295" s="54" t="s">
        <v>36</v>
      </c>
      <c r="H295" s="54">
        <f>STOCK[[#This Row],[Precio Final]]</f>
        <v>20</v>
      </c>
      <c r="I295" s="54">
        <f>STOCK[[#This Row],[Precio Venta Ideal (x1.5)]]</f>
        <v>19.0833333333333</v>
      </c>
      <c r="J295" s="72">
        <v>2</v>
      </c>
      <c r="K295" s="72">
        <f>SUMIFS(VENTAS[Cantidad],VENTAS[Código del producto Vendido],STOCK[[#This Row],[Code]])</f>
        <v>0</v>
      </c>
      <c r="L295" s="72">
        <f>STOCK[[#This Row],[Entradas]]-STOCK[[#This Row],[Salidas]]</f>
        <v>2</v>
      </c>
      <c r="M295" s="54">
        <f>STOCK[[#This Row],[Precio Final]]*10%</f>
        <v>2</v>
      </c>
      <c r="N295" s="54">
        <v>166</v>
      </c>
      <c r="O295" s="54">
        <v>18</v>
      </c>
      <c r="P295" s="54">
        <v>9.22222222222222</v>
      </c>
      <c r="Q295" s="72">
        <v>150</v>
      </c>
      <c r="R295" s="54">
        <v>10</v>
      </c>
      <c r="S295" s="54">
        <f>STOCK[[#This Row],[Peso (g)]]*STOCK[[#This Row],[Precio Envío Kilogramo (USD)]]/1000</f>
        <v>1.5</v>
      </c>
      <c r="T295" s="53">
        <f>STOCK[[#This Row],[Costo Unitario (USD)]]+STOCK[[#This Row],[Costo Envío (USD)]]+STOCK[[#This Row],[Comisión 10%]]</f>
        <v>12.7222222222222</v>
      </c>
      <c r="U295" s="54">
        <f>STOCK[[#This Row],[Costo total]]*1.5</f>
        <v>19.0833333333333</v>
      </c>
      <c r="V295" s="54">
        <v>20</v>
      </c>
      <c r="W295" s="54">
        <f>STOCK[[#This Row],[Precio Final]]-STOCK[[#This Row],[Costo total]]</f>
        <v>7.27777777777778</v>
      </c>
      <c r="X295" s="54">
        <f>STOCK[[#This Row],[Ganancia Unitaria]]*STOCK[[#This Row],[Salidas]]</f>
        <v>0</v>
      </c>
      <c r="AA295" s="54">
        <f>STOCK[[#This Row],[Costo total]]*STOCK[[#This Row],[Entradas]]</f>
        <v>25.4444444444444</v>
      </c>
      <c r="AB295" s="54">
        <f>STOCK[[#This Row],[Stock Actual]]*STOCK[[#This Row],[Costo total]]</f>
        <v>25.4444444444444</v>
      </c>
      <c r="AC295" s="54">
        <v>15</v>
      </c>
    </row>
    <row r="296" s="53" customFormat="1" ht="50" customHeight="1" spans="1:28">
      <c r="A296" s="53" t="s">
        <v>631</v>
      </c>
      <c r="B296" s="66"/>
      <c r="C296" s="53" t="s">
        <v>32</v>
      </c>
      <c r="D296" s="53" t="s">
        <v>44</v>
      </c>
      <c r="E296" s="67" t="s">
        <v>632</v>
      </c>
      <c r="F296" s="53" t="s">
        <v>40</v>
      </c>
      <c r="G296" s="53" t="s">
        <v>36</v>
      </c>
      <c r="H296" s="53">
        <f>STOCK[[#This Row],[Precio Final]]</f>
        <v>20</v>
      </c>
      <c r="I296" s="53">
        <f>STOCK[[#This Row],[Precio Venta Ideal (x1.5)]]</f>
        <v>19.0833333333333</v>
      </c>
      <c r="J296" s="71">
        <v>3</v>
      </c>
      <c r="K296" s="71">
        <f>SUMIFS(VENTAS[Cantidad],VENTAS[Código del producto Vendido],STOCK[[#This Row],[Code]])</f>
        <v>3</v>
      </c>
      <c r="L296" s="71">
        <f>STOCK[[#This Row],[Entradas]]-STOCK[[#This Row],[Salidas]]</f>
        <v>0</v>
      </c>
      <c r="M296" s="53">
        <f>STOCK[[#This Row],[Precio Final]]*10%</f>
        <v>2</v>
      </c>
      <c r="N296" s="53">
        <v>166</v>
      </c>
      <c r="O296" s="53">
        <v>18</v>
      </c>
      <c r="P296" s="53">
        <v>9.22222222222222</v>
      </c>
      <c r="Q296" s="71">
        <v>150</v>
      </c>
      <c r="R296" s="53">
        <v>10</v>
      </c>
      <c r="S296" s="53">
        <f>STOCK[[#This Row],[Peso (g)]]*STOCK[[#This Row],[Precio Envío Kilogramo (USD)]]/1000</f>
        <v>1.5</v>
      </c>
      <c r="T296" s="53">
        <f>STOCK[[#This Row],[Costo Unitario (USD)]]+STOCK[[#This Row],[Costo Envío (USD)]]+STOCK[[#This Row],[Comisión 10%]]</f>
        <v>12.7222222222222</v>
      </c>
      <c r="U296" s="53">
        <f>STOCK[[#This Row],[Costo total]]*1.5</f>
        <v>19.0833333333333</v>
      </c>
      <c r="V296" s="53">
        <v>20</v>
      </c>
      <c r="W296" s="53">
        <f>STOCK[[#This Row],[Precio Final]]-STOCK[[#This Row],[Costo total]]</f>
        <v>7.27777777777778</v>
      </c>
      <c r="X296" s="53">
        <f>STOCK[[#This Row],[Ganancia Unitaria]]*STOCK[[#This Row],[Salidas]]</f>
        <v>21.8333333333333</v>
      </c>
      <c r="AA296" s="53">
        <f>STOCK[[#This Row],[Costo total]]*STOCK[[#This Row],[Entradas]]</f>
        <v>38.1666666666667</v>
      </c>
      <c r="AB296" s="53">
        <f>STOCK[[#This Row],[Stock Actual]]*STOCK[[#This Row],[Costo total]]</f>
        <v>0</v>
      </c>
    </row>
    <row r="297" s="54" customFormat="1" ht="50" customHeight="1" spans="1:28">
      <c r="A297" s="54" t="s">
        <v>633</v>
      </c>
      <c r="B297" s="66"/>
      <c r="C297" s="54" t="s">
        <v>32</v>
      </c>
      <c r="D297" s="54" t="s">
        <v>44</v>
      </c>
      <c r="E297" s="68" t="s">
        <v>632</v>
      </c>
      <c r="F297" s="54" t="s">
        <v>62</v>
      </c>
      <c r="G297" s="54" t="s">
        <v>36</v>
      </c>
      <c r="H297" s="54">
        <f>STOCK[[#This Row],[Precio Final]]</f>
        <v>15</v>
      </c>
      <c r="I297" s="54">
        <f>STOCK[[#This Row],[Precio Venta Ideal (x1.5)]]</f>
        <v>18.3333333333333</v>
      </c>
      <c r="J297" s="72">
        <v>3</v>
      </c>
      <c r="K297" s="72">
        <f>SUMIFS(VENTAS[Cantidad],VENTAS[Código del producto Vendido],STOCK[[#This Row],[Code]])</f>
        <v>3</v>
      </c>
      <c r="L297" s="72">
        <f>STOCK[[#This Row],[Entradas]]-STOCK[[#This Row],[Salidas]]</f>
        <v>0</v>
      </c>
      <c r="M297" s="54">
        <f>STOCK[[#This Row],[Precio Final]]*10%</f>
        <v>1.5</v>
      </c>
      <c r="N297" s="54">
        <v>166</v>
      </c>
      <c r="O297" s="54">
        <v>18</v>
      </c>
      <c r="P297" s="54">
        <v>9.22222222222222</v>
      </c>
      <c r="Q297" s="72">
        <v>150</v>
      </c>
      <c r="R297" s="54">
        <v>10</v>
      </c>
      <c r="S297" s="54">
        <f>STOCK[[#This Row],[Peso (g)]]*STOCK[[#This Row],[Precio Envío Kilogramo (USD)]]/1000</f>
        <v>1.5</v>
      </c>
      <c r="T297" s="53">
        <f>STOCK[[#This Row],[Costo Unitario (USD)]]+STOCK[[#This Row],[Costo Envío (USD)]]+STOCK[[#This Row],[Comisión 10%]]</f>
        <v>12.2222222222222</v>
      </c>
      <c r="U297" s="54">
        <f>STOCK[[#This Row],[Costo total]]*1.5</f>
        <v>18.3333333333333</v>
      </c>
      <c r="V297" s="54">
        <v>15</v>
      </c>
      <c r="W297" s="54">
        <f>STOCK[[#This Row],[Precio Final]]-STOCK[[#This Row],[Costo total]]</f>
        <v>2.77777777777778</v>
      </c>
      <c r="X297" s="54">
        <f>STOCK[[#This Row],[Ganancia Unitaria]]*STOCK[[#This Row],[Salidas]]</f>
        <v>8.33333333333334</v>
      </c>
      <c r="AA297" s="54">
        <f>STOCK[[#This Row],[Costo total]]*STOCK[[#This Row],[Entradas]]</f>
        <v>36.6666666666667</v>
      </c>
      <c r="AB297" s="54">
        <f>STOCK[[#This Row],[Stock Actual]]*STOCK[[#This Row],[Costo total]]</f>
        <v>0</v>
      </c>
    </row>
    <row r="298" s="53" customFormat="1" ht="50" customHeight="1" spans="1:28">
      <c r="A298" s="53" t="s">
        <v>634</v>
      </c>
      <c r="B298" s="66"/>
      <c r="C298" s="53" t="s">
        <v>32</v>
      </c>
      <c r="D298" s="53" t="s">
        <v>44</v>
      </c>
      <c r="E298" s="67" t="s">
        <v>632</v>
      </c>
      <c r="F298" s="53" t="s">
        <v>46</v>
      </c>
      <c r="G298" s="53" t="s">
        <v>36</v>
      </c>
      <c r="H298" s="53">
        <f>STOCK[[#This Row],[Precio Final]]</f>
        <v>16</v>
      </c>
      <c r="I298" s="53">
        <f>STOCK[[#This Row],[Precio Venta Ideal (x1.5)]]</f>
        <v>18.4833333333333</v>
      </c>
      <c r="J298" s="71">
        <v>3</v>
      </c>
      <c r="K298" s="71">
        <f>SUMIFS(VENTAS[Cantidad],VENTAS[Código del producto Vendido],STOCK[[#This Row],[Code]])</f>
        <v>3</v>
      </c>
      <c r="L298" s="71">
        <f>STOCK[[#This Row],[Entradas]]-STOCK[[#This Row],[Salidas]]</f>
        <v>0</v>
      </c>
      <c r="M298" s="53">
        <f>STOCK[[#This Row],[Precio Final]]*10%</f>
        <v>1.6</v>
      </c>
      <c r="N298" s="53">
        <v>166</v>
      </c>
      <c r="O298" s="53">
        <v>18</v>
      </c>
      <c r="P298" s="53">
        <v>9.22222222222222</v>
      </c>
      <c r="Q298" s="71">
        <v>150</v>
      </c>
      <c r="R298" s="53">
        <v>10</v>
      </c>
      <c r="S298" s="53">
        <f>STOCK[[#This Row],[Peso (g)]]*STOCK[[#This Row],[Precio Envío Kilogramo (USD)]]/1000</f>
        <v>1.5</v>
      </c>
      <c r="T298" s="53">
        <f>STOCK[[#This Row],[Costo Unitario (USD)]]+STOCK[[#This Row],[Costo Envío (USD)]]+STOCK[[#This Row],[Comisión 10%]]</f>
        <v>12.3222222222222</v>
      </c>
      <c r="U298" s="53">
        <f>STOCK[[#This Row],[Costo total]]*1.5</f>
        <v>18.4833333333333</v>
      </c>
      <c r="V298" s="53">
        <v>16</v>
      </c>
      <c r="W298" s="53">
        <f>STOCK[[#This Row],[Precio Final]]-STOCK[[#This Row],[Costo total]]</f>
        <v>3.67777777777778</v>
      </c>
      <c r="X298" s="53">
        <f>STOCK[[#This Row],[Ganancia Unitaria]]*STOCK[[#This Row],[Salidas]]</f>
        <v>11.0333333333333</v>
      </c>
      <c r="AA298" s="53">
        <f>STOCK[[#This Row],[Costo total]]*STOCK[[#This Row],[Entradas]]</f>
        <v>36.9666666666667</v>
      </c>
      <c r="AB298" s="53">
        <f>STOCK[[#This Row],[Stock Actual]]*STOCK[[#This Row],[Costo total]]</f>
        <v>0</v>
      </c>
    </row>
    <row r="299" s="54" customFormat="1" ht="50" customHeight="1" spans="1:28">
      <c r="A299" s="54" t="s">
        <v>635</v>
      </c>
      <c r="B299" s="66"/>
      <c r="C299" s="54" t="s">
        <v>32</v>
      </c>
      <c r="D299" s="54" t="s">
        <v>44</v>
      </c>
      <c r="E299" s="68" t="s">
        <v>636</v>
      </c>
      <c r="F299" s="54" t="s">
        <v>40</v>
      </c>
      <c r="G299" s="54" t="s">
        <v>36</v>
      </c>
      <c r="H299" s="54">
        <f>STOCK[[#This Row],[Precio Final]]</f>
        <v>16</v>
      </c>
      <c r="I299" s="54">
        <f>STOCK[[#This Row],[Precio Venta Ideal (x1.5)]]</f>
        <v>18.4833333333333</v>
      </c>
      <c r="J299" s="72">
        <v>4</v>
      </c>
      <c r="K299" s="72">
        <f>SUMIFS(VENTAS[Cantidad],VENTAS[Código del producto Vendido],STOCK[[#This Row],[Code]])</f>
        <v>4</v>
      </c>
      <c r="L299" s="72">
        <f>STOCK[[#This Row],[Entradas]]-STOCK[[#This Row],[Salidas]]</f>
        <v>0</v>
      </c>
      <c r="M299" s="54">
        <f>STOCK[[#This Row],[Precio Final]]*10%</f>
        <v>1.6</v>
      </c>
      <c r="N299" s="54">
        <v>166</v>
      </c>
      <c r="O299" s="54">
        <v>18</v>
      </c>
      <c r="P299" s="54">
        <v>9.22222222222222</v>
      </c>
      <c r="Q299" s="72">
        <v>150</v>
      </c>
      <c r="R299" s="54">
        <v>10</v>
      </c>
      <c r="S299" s="54">
        <f>STOCK[[#This Row],[Peso (g)]]*STOCK[[#This Row],[Precio Envío Kilogramo (USD)]]/1000</f>
        <v>1.5</v>
      </c>
      <c r="T299" s="53">
        <f>STOCK[[#This Row],[Costo Unitario (USD)]]+STOCK[[#This Row],[Costo Envío (USD)]]+STOCK[[#This Row],[Comisión 10%]]</f>
        <v>12.3222222222222</v>
      </c>
      <c r="U299" s="54">
        <f>STOCK[[#This Row],[Costo total]]*1.5</f>
        <v>18.4833333333333</v>
      </c>
      <c r="V299" s="54">
        <v>16</v>
      </c>
      <c r="W299" s="54">
        <f>STOCK[[#This Row],[Precio Final]]-STOCK[[#This Row],[Costo total]]</f>
        <v>3.67777777777778</v>
      </c>
      <c r="X299" s="54">
        <f>STOCK[[#This Row],[Ganancia Unitaria]]*STOCK[[#This Row],[Salidas]]</f>
        <v>14.7111111111111</v>
      </c>
      <c r="AA299" s="54">
        <f>STOCK[[#This Row],[Costo total]]*STOCK[[#This Row],[Entradas]]</f>
        <v>49.2888888888889</v>
      </c>
      <c r="AB299" s="54">
        <f>STOCK[[#This Row],[Stock Actual]]*STOCK[[#This Row],[Costo total]]</f>
        <v>0</v>
      </c>
    </row>
    <row r="300" s="53" customFormat="1" ht="50" customHeight="1" spans="1:28">
      <c r="A300" s="53" t="s">
        <v>637</v>
      </c>
      <c r="B300" s="66"/>
      <c r="C300" s="53" t="s">
        <v>32</v>
      </c>
      <c r="D300" s="53" t="s">
        <v>44</v>
      </c>
      <c r="E300" s="67" t="s">
        <v>636</v>
      </c>
      <c r="F300" s="53" t="s">
        <v>62</v>
      </c>
      <c r="G300" s="53" t="s">
        <v>36</v>
      </c>
      <c r="H300" s="53">
        <f>STOCK[[#This Row],[Precio Final]]</f>
        <v>20</v>
      </c>
      <c r="I300" s="53">
        <f>STOCK[[#This Row],[Precio Venta Ideal (x1.5)]]</f>
        <v>19.0833333333333</v>
      </c>
      <c r="J300" s="71">
        <v>2</v>
      </c>
      <c r="K300" s="71">
        <f>SUMIFS(VENTAS[Cantidad],VENTAS[Código del producto Vendido],STOCK[[#This Row],[Code]])</f>
        <v>2</v>
      </c>
      <c r="L300" s="71">
        <f>STOCK[[#This Row],[Entradas]]-STOCK[[#This Row],[Salidas]]</f>
        <v>0</v>
      </c>
      <c r="M300" s="53">
        <f>STOCK[[#This Row],[Precio Final]]*10%</f>
        <v>2</v>
      </c>
      <c r="N300" s="53">
        <v>166</v>
      </c>
      <c r="O300" s="53">
        <v>18</v>
      </c>
      <c r="P300" s="53">
        <v>9.22222222222222</v>
      </c>
      <c r="Q300" s="71">
        <v>150</v>
      </c>
      <c r="R300" s="53">
        <v>10</v>
      </c>
      <c r="S300" s="53">
        <f>STOCK[[#This Row],[Peso (g)]]*STOCK[[#This Row],[Precio Envío Kilogramo (USD)]]/1000</f>
        <v>1.5</v>
      </c>
      <c r="T300" s="53">
        <f>STOCK[[#This Row],[Costo Unitario (USD)]]+STOCK[[#This Row],[Costo Envío (USD)]]+STOCK[[#This Row],[Comisión 10%]]</f>
        <v>12.7222222222222</v>
      </c>
      <c r="U300" s="53">
        <f>STOCK[[#This Row],[Costo total]]*1.5</f>
        <v>19.0833333333333</v>
      </c>
      <c r="V300" s="53">
        <v>20</v>
      </c>
      <c r="W300" s="53">
        <f>STOCK[[#This Row],[Precio Final]]-STOCK[[#This Row],[Costo total]]</f>
        <v>7.27777777777778</v>
      </c>
      <c r="X300" s="53">
        <f>STOCK[[#This Row],[Ganancia Unitaria]]*STOCK[[#This Row],[Salidas]]</f>
        <v>14.5555555555556</v>
      </c>
      <c r="AA300" s="53">
        <f>STOCK[[#This Row],[Costo total]]*STOCK[[#This Row],[Entradas]]</f>
        <v>25.4444444444444</v>
      </c>
      <c r="AB300" s="53">
        <f>STOCK[[#This Row],[Stock Actual]]*STOCK[[#This Row],[Costo total]]</f>
        <v>0</v>
      </c>
    </row>
    <row r="301" s="54" customFormat="1" ht="50" customHeight="1" spans="1:28">
      <c r="A301" s="54" t="s">
        <v>638</v>
      </c>
      <c r="B301" s="66"/>
      <c r="C301" s="54" t="s">
        <v>32</v>
      </c>
      <c r="D301" s="54" t="s">
        <v>44</v>
      </c>
      <c r="E301" s="68" t="s">
        <v>639</v>
      </c>
      <c r="F301" s="54" t="s">
        <v>46</v>
      </c>
      <c r="G301" s="54" t="s">
        <v>36</v>
      </c>
      <c r="H301" s="54">
        <f>STOCK[[#This Row],[Precio Final]]</f>
        <v>20</v>
      </c>
      <c r="I301" s="54">
        <f>STOCK[[#This Row],[Precio Venta Ideal (x1.5)]]</f>
        <v>19.0833333333333</v>
      </c>
      <c r="J301" s="72">
        <v>4</v>
      </c>
      <c r="K301" s="72">
        <f>SUMIFS(VENTAS[Cantidad],VENTAS[Código del producto Vendido],STOCK[[#This Row],[Code]])</f>
        <v>4</v>
      </c>
      <c r="L301" s="72">
        <f>STOCK[[#This Row],[Entradas]]-STOCK[[#This Row],[Salidas]]</f>
        <v>0</v>
      </c>
      <c r="M301" s="54">
        <f>STOCK[[#This Row],[Precio Final]]*10%</f>
        <v>2</v>
      </c>
      <c r="N301" s="54">
        <v>166</v>
      </c>
      <c r="O301" s="54">
        <v>18</v>
      </c>
      <c r="P301" s="54">
        <v>9.22222222222222</v>
      </c>
      <c r="Q301" s="72">
        <v>150</v>
      </c>
      <c r="R301" s="54">
        <v>10</v>
      </c>
      <c r="S301" s="54">
        <f>STOCK[[#This Row],[Peso (g)]]*STOCK[[#This Row],[Precio Envío Kilogramo (USD)]]/1000</f>
        <v>1.5</v>
      </c>
      <c r="T301" s="53">
        <f>STOCK[[#This Row],[Costo Unitario (USD)]]+STOCK[[#This Row],[Costo Envío (USD)]]+STOCK[[#This Row],[Comisión 10%]]</f>
        <v>12.7222222222222</v>
      </c>
      <c r="U301" s="54">
        <f>STOCK[[#This Row],[Costo total]]*1.5</f>
        <v>19.0833333333333</v>
      </c>
      <c r="V301" s="54">
        <v>20</v>
      </c>
      <c r="W301" s="54">
        <f>STOCK[[#This Row],[Precio Final]]-STOCK[[#This Row],[Costo total]]</f>
        <v>7.27777777777778</v>
      </c>
      <c r="X301" s="54">
        <f>STOCK[[#This Row],[Ganancia Unitaria]]*STOCK[[#This Row],[Salidas]]</f>
        <v>29.1111111111111</v>
      </c>
      <c r="AA301" s="54">
        <f>STOCK[[#This Row],[Costo total]]*STOCK[[#This Row],[Entradas]]</f>
        <v>50.8888888888889</v>
      </c>
      <c r="AB301" s="54">
        <f>STOCK[[#This Row],[Stock Actual]]*STOCK[[#This Row],[Costo total]]</f>
        <v>0</v>
      </c>
    </row>
    <row r="302" s="53" customFormat="1" ht="50" customHeight="1" spans="1:28">
      <c r="A302" s="53" t="s">
        <v>640</v>
      </c>
      <c r="B302" s="66"/>
      <c r="C302" s="53" t="s">
        <v>32</v>
      </c>
      <c r="D302" s="53" t="s">
        <v>44</v>
      </c>
      <c r="E302" s="67" t="s">
        <v>641</v>
      </c>
      <c r="F302" s="53" t="s">
        <v>62</v>
      </c>
      <c r="G302" s="53" t="s">
        <v>36</v>
      </c>
      <c r="H302" s="53">
        <f>STOCK[[#This Row],[Precio Final]]</f>
        <v>20</v>
      </c>
      <c r="I302" s="53">
        <f>STOCK[[#This Row],[Precio Venta Ideal (x1.5)]]</f>
        <v>19.0833333333333</v>
      </c>
      <c r="J302" s="71">
        <v>4</v>
      </c>
      <c r="K302" s="71">
        <f>SUMIFS(VENTAS[Cantidad],VENTAS[Código del producto Vendido],STOCK[[#This Row],[Code]])</f>
        <v>4</v>
      </c>
      <c r="L302" s="71">
        <f>STOCK[[#This Row],[Entradas]]-STOCK[[#This Row],[Salidas]]</f>
        <v>0</v>
      </c>
      <c r="M302" s="53">
        <f>STOCK[[#This Row],[Precio Final]]*10%</f>
        <v>2</v>
      </c>
      <c r="N302" s="53">
        <v>166</v>
      </c>
      <c r="O302" s="53">
        <v>18</v>
      </c>
      <c r="P302" s="53">
        <v>9.22222222222222</v>
      </c>
      <c r="Q302" s="71">
        <v>150</v>
      </c>
      <c r="R302" s="53">
        <v>10</v>
      </c>
      <c r="S302" s="53">
        <f>STOCK[[#This Row],[Peso (g)]]*STOCK[[#This Row],[Precio Envío Kilogramo (USD)]]/1000</f>
        <v>1.5</v>
      </c>
      <c r="T302" s="53">
        <f>STOCK[[#This Row],[Costo Unitario (USD)]]+STOCK[[#This Row],[Costo Envío (USD)]]+STOCK[[#This Row],[Comisión 10%]]</f>
        <v>12.7222222222222</v>
      </c>
      <c r="U302" s="53">
        <f>STOCK[[#This Row],[Costo total]]*1.5</f>
        <v>19.0833333333333</v>
      </c>
      <c r="V302" s="53">
        <v>20</v>
      </c>
      <c r="W302" s="53">
        <f>STOCK[[#This Row],[Precio Final]]-STOCK[[#This Row],[Costo total]]</f>
        <v>7.27777777777778</v>
      </c>
      <c r="X302" s="53">
        <f>STOCK[[#This Row],[Ganancia Unitaria]]*STOCK[[#This Row],[Salidas]]</f>
        <v>29.1111111111111</v>
      </c>
      <c r="AA302" s="53">
        <f>STOCK[[#This Row],[Costo total]]*STOCK[[#This Row],[Entradas]]</f>
        <v>50.8888888888889</v>
      </c>
      <c r="AB302" s="53">
        <f>STOCK[[#This Row],[Stock Actual]]*STOCK[[#This Row],[Costo total]]</f>
        <v>0</v>
      </c>
    </row>
    <row r="303" s="54" customFormat="1" ht="50" customHeight="1" spans="1:28">
      <c r="A303" s="54" t="s">
        <v>642</v>
      </c>
      <c r="B303" s="66"/>
      <c r="C303" s="54" t="s">
        <v>32</v>
      </c>
      <c r="D303" s="54" t="s">
        <v>44</v>
      </c>
      <c r="E303" s="68" t="s">
        <v>641</v>
      </c>
      <c r="F303" s="54" t="s">
        <v>40</v>
      </c>
      <c r="G303" s="54" t="s">
        <v>36</v>
      </c>
      <c r="H303" s="54">
        <f>STOCK[[#This Row],[Precio Final]]</f>
        <v>16</v>
      </c>
      <c r="I303" s="54">
        <f>STOCK[[#This Row],[Precio Venta Ideal (x1.5)]]</f>
        <v>18.4833333333333</v>
      </c>
      <c r="J303" s="72">
        <v>3</v>
      </c>
      <c r="K303" s="72">
        <f>SUMIFS(VENTAS[Cantidad],VENTAS[Código del producto Vendido],STOCK[[#This Row],[Code]])</f>
        <v>3</v>
      </c>
      <c r="L303" s="72">
        <f>STOCK[[#This Row],[Entradas]]-STOCK[[#This Row],[Salidas]]</f>
        <v>0</v>
      </c>
      <c r="M303" s="54">
        <f>STOCK[[#This Row],[Precio Final]]*10%</f>
        <v>1.6</v>
      </c>
      <c r="N303" s="54">
        <v>166</v>
      </c>
      <c r="O303" s="54">
        <v>18</v>
      </c>
      <c r="P303" s="54">
        <v>9.22222222222222</v>
      </c>
      <c r="Q303" s="72">
        <v>150</v>
      </c>
      <c r="R303" s="54">
        <v>10</v>
      </c>
      <c r="S303" s="54">
        <f>STOCK[[#This Row],[Peso (g)]]*STOCK[[#This Row],[Precio Envío Kilogramo (USD)]]/1000</f>
        <v>1.5</v>
      </c>
      <c r="T303" s="53">
        <f>STOCK[[#This Row],[Costo Unitario (USD)]]+STOCK[[#This Row],[Costo Envío (USD)]]+STOCK[[#This Row],[Comisión 10%]]</f>
        <v>12.3222222222222</v>
      </c>
      <c r="U303" s="54">
        <f>STOCK[[#This Row],[Costo total]]*1.5</f>
        <v>18.4833333333333</v>
      </c>
      <c r="V303" s="54">
        <v>16</v>
      </c>
      <c r="W303" s="54">
        <f>STOCK[[#This Row],[Precio Final]]-STOCK[[#This Row],[Costo total]]</f>
        <v>3.67777777777778</v>
      </c>
      <c r="X303" s="54">
        <f>STOCK[[#This Row],[Ganancia Unitaria]]*STOCK[[#This Row],[Salidas]]</f>
        <v>11.0333333333333</v>
      </c>
      <c r="AA303" s="54">
        <f>STOCK[[#This Row],[Costo total]]*STOCK[[#This Row],[Entradas]]</f>
        <v>36.9666666666667</v>
      </c>
      <c r="AB303" s="54">
        <f>STOCK[[#This Row],[Stock Actual]]*STOCK[[#This Row],[Costo total]]</f>
        <v>0</v>
      </c>
    </row>
    <row r="304" s="53" customFormat="1" ht="50" customHeight="1" spans="1:28">
      <c r="A304" s="53" t="s">
        <v>643</v>
      </c>
      <c r="B304" s="66"/>
      <c r="C304" s="53" t="s">
        <v>32</v>
      </c>
      <c r="D304" s="53" t="s">
        <v>44</v>
      </c>
      <c r="E304" s="67" t="s">
        <v>644</v>
      </c>
      <c r="F304" s="53" t="s">
        <v>62</v>
      </c>
      <c r="G304" s="53" t="s">
        <v>36</v>
      </c>
      <c r="H304" s="53">
        <f>STOCK[[#This Row],[Precio Final]]</f>
        <v>15</v>
      </c>
      <c r="I304" s="53">
        <f>STOCK[[#This Row],[Precio Venta Ideal (x1.5)]]</f>
        <v>18.3333333333333</v>
      </c>
      <c r="J304" s="71">
        <v>4</v>
      </c>
      <c r="K304" s="71">
        <f>SUMIFS(VENTAS[Cantidad],VENTAS[Código del producto Vendido],STOCK[[#This Row],[Code]])</f>
        <v>4</v>
      </c>
      <c r="L304" s="71">
        <f>STOCK[[#This Row],[Entradas]]-STOCK[[#This Row],[Salidas]]</f>
        <v>0</v>
      </c>
      <c r="M304" s="53">
        <f>STOCK[[#This Row],[Precio Final]]*10%</f>
        <v>1.5</v>
      </c>
      <c r="N304" s="53">
        <v>166</v>
      </c>
      <c r="O304" s="53">
        <v>18</v>
      </c>
      <c r="P304" s="53">
        <v>9.22222222222222</v>
      </c>
      <c r="Q304" s="71">
        <v>150</v>
      </c>
      <c r="R304" s="53">
        <v>10</v>
      </c>
      <c r="S304" s="53">
        <f>STOCK[[#This Row],[Peso (g)]]*STOCK[[#This Row],[Precio Envío Kilogramo (USD)]]/1000</f>
        <v>1.5</v>
      </c>
      <c r="T304" s="53">
        <f>STOCK[[#This Row],[Costo Unitario (USD)]]+STOCK[[#This Row],[Costo Envío (USD)]]+STOCK[[#This Row],[Comisión 10%]]</f>
        <v>12.2222222222222</v>
      </c>
      <c r="U304" s="53">
        <f>STOCK[[#This Row],[Costo total]]*1.5</f>
        <v>18.3333333333333</v>
      </c>
      <c r="V304" s="53">
        <v>15</v>
      </c>
      <c r="W304" s="53">
        <f>STOCK[[#This Row],[Precio Final]]-STOCK[[#This Row],[Costo total]]</f>
        <v>2.77777777777778</v>
      </c>
      <c r="X304" s="53">
        <f>STOCK[[#This Row],[Ganancia Unitaria]]*STOCK[[#This Row],[Salidas]]</f>
        <v>11.1111111111111</v>
      </c>
      <c r="AA304" s="53">
        <f>STOCK[[#This Row],[Costo total]]*STOCK[[#This Row],[Entradas]]</f>
        <v>48.8888888888889</v>
      </c>
      <c r="AB304" s="53">
        <f>STOCK[[#This Row],[Stock Actual]]*STOCK[[#This Row],[Costo total]]</f>
        <v>0</v>
      </c>
    </row>
    <row r="305" s="54" customFormat="1" ht="50" customHeight="1" spans="1:29">
      <c r="A305" s="54" t="s">
        <v>645</v>
      </c>
      <c r="B305" s="66"/>
      <c r="C305" s="54" t="s">
        <v>32</v>
      </c>
      <c r="D305" s="54" t="s">
        <v>216</v>
      </c>
      <c r="E305" s="68" t="s">
        <v>646</v>
      </c>
      <c r="F305" s="54" t="s">
        <v>40</v>
      </c>
      <c r="G305" s="54" t="s">
        <v>36</v>
      </c>
      <c r="H305" s="54">
        <f>STOCK[[#This Row],[Precio Final]]</f>
        <v>20</v>
      </c>
      <c r="I305" s="54">
        <f>STOCK[[#This Row],[Precio Venta Ideal (x1.5)]]</f>
        <v>19.0833333333333</v>
      </c>
      <c r="J305" s="72">
        <v>5</v>
      </c>
      <c r="K305" s="72">
        <f>SUMIFS(VENTAS[Cantidad],VENTAS[Código del producto Vendido],STOCK[[#This Row],[Code]])</f>
        <v>2</v>
      </c>
      <c r="L305" s="72">
        <f>STOCK[[#This Row],[Entradas]]-STOCK[[#This Row],[Salidas]]</f>
        <v>3</v>
      </c>
      <c r="M305" s="54">
        <f>STOCK[[#This Row],[Precio Final]]*10%</f>
        <v>2</v>
      </c>
      <c r="N305" s="54">
        <v>166</v>
      </c>
      <c r="O305" s="54">
        <v>18</v>
      </c>
      <c r="P305" s="54">
        <v>9.22222222222222</v>
      </c>
      <c r="Q305" s="72">
        <v>150</v>
      </c>
      <c r="R305" s="54">
        <v>10</v>
      </c>
      <c r="S305" s="54">
        <f>STOCK[[#This Row],[Peso (g)]]*STOCK[[#This Row],[Precio Envío Kilogramo (USD)]]/1000</f>
        <v>1.5</v>
      </c>
      <c r="T305" s="53">
        <f>STOCK[[#This Row],[Costo Unitario (USD)]]+STOCK[[#This Row],[Costo Envío (USD)]]+STOCK[[#This Row],[Comisión 10%]]</f>
        <v>12.7222222222222</v>
      </c>
      <c r="U305" s="54">
        <f>STOCK[[#This Row],[Costo total]]*1.5</f>
        <v>19.0833333333333</v>
      </c>
      <c r="V305" s="54">
        <v>20</v>
      </c>
      <c r="W305" s="54">
        <f>STOCK[[#This Row],[Precio Final]]-STOCK[[#This Row],[Costo total]]</f>
        <v>7.27777777777778</v>
      </c>
      <c r="X305" s="54">
        <f>STOCK[[#This Row],[Ganancia Unitaria]]*STOCK[[#This Row],[Salidas]]</f>
        <v>14.5555555555556</v>
      </c>
      <c r="AA305" s="54">
        <f>STOCK[[#This Row],[Costo total]]*STOCK[[#This Row],[Entradas]]</f>
        <v>63.6111111111111</v>
      </c>
      <c r="AB305" s="54">
        <f>STOCK[[#This Row],[Stock Actual]]*STOCK[[#This Row],[Costo total]]</f>
        <v>38.1666666666667</v>
      </c>
      <c r="AC305" s="54">
        <v>15</v>
      </c>
    </row>
    <row r="306" s="53" customFormat="1" ht="50" customHeight="1" spans="1:28">
      <c r="A306" s="53" t="s">
        <v>647</v>
      </c>
      <c r="B306" s="66"/>
      <c r="C306" s="53" t="s">
        <v>32</v>
      </c>
      <c r="D306" s="53" t="s">
        <v>44</v>
      </c>
      <c r="E306" s="67" t="s">
        <v>646</v>
      </c>
      <c r="F306" s="53" t="s">
        <v>62</v>
      </c>
      <c r="G306" s="53" t="s">
        <v>36</v>
      </c>
      <c r="H306" s="53">
        <f>STOCK[[#This Row],[Precio Final]]</f>
        <v>15</v>
      </c>
      <c r="I306" s="53">
        <f>STOCK[[#This Row],[Precio Venta Ideal (x1.5)]]</f>
        <v>18.3333333333333</v>
      </c>
      <c r="J306" s="71">
        <v>2</v>
      </c>
      <c r="K306" s="71">
        <f>SUMIFS(VENTAS[Cantidad],VENTAS[Código del producto Vendido],STOCK[[#This Row],[Code]])</f>
        <v>2</v>
      </c>
      <c r="L306" s="71">
        <f>STOCK[[#This Row],[Entradas]]-STOCK[[#This Row],[Salidas]]</f>
        <v>0</v>
      </c>
      <c r="M306" s="53">
        <f>STOCK[[#This Row],[Precio Final]]*10%</f>
        <v>1.5</v>
      </c>
      <c r="N306" s="53">
        <v>166</v>
      </c>
      <c r="O306" s="53">
        <v>18</v>
      </c>
      <c r="P306" s="53">
        <v>9.22222222222222</v>
      </c>
      <c r="Q306" s="71">
        <v>150</v>
      </c>
      <c r="R306" s="53">
        <v>10</v>
      </c>
      <c r="S306" s="53">
        <f>STOCK[[#This Row],[Peso (g)]]*STOCK[[#This Row],[Precio Envío Kilogramo (USD)]]/1000</f>
        <v>1.5</v>
      </c>
      <c r="T306" s="53">
        <f>STOCK[[#This Row],[Costo Unitario (USD)]]+STOCK[[#This Row],[Costo Envío (USD)]]+STOCK[[#This Row],[Comisión 10%]]</f>
        <v>12.2222222222222</v>
      </c>
      <c r="U306" s="53">
        <f>STOCK[[#This Row],[Costo total]]*1.5</f>
        <v>18.3333333333333</v>
      </c>
      <c r="V306" s="53">
        <v>15</v>
      </c>
      <c r="W306" s="53">
        <f>STOCK[[#This Row],[Precio Final]]-STOCK[[#This Row],[Costo total]]</f>
        <v>2.77777777777778</v>
      </c>
      <c r="X306" s="53">
        <f>STOCK[[#This Row],[Ganancia Unitaria]]*STOCK[[#This Row],[Salidas]]</f>
        <v>5.55555555555556</v>
      </c>
      <c r="AA306" s="53">
        <f>STOCK[[#This Row],[Costo total]]*STOCK[[#This Row],[Entradas]]</f>
        <v>24.4444444444444</v>
      </c>
      <c r="AB306" s="53">
        <f>STOCK[[#This Row],[Stock Actual]]*STOCK[[#This Row],[Costo total]]</f>
        <v>0</v>
      </c>
    </row>
    <row r="307" s="54" customFormat="1" ht="50" customHeight="1" spans="1:28">
      <c r="A307" s="54" t="s">
        <v>648</v>
      </c>
      <c r="B307" s="66"/>
      <c r="C307" s="54" t="s">
        <v>32</v>
      </c>
      <c r="D307" s="54" t="s">
        <v>649</v>
      </c>
      <c r="E307" s="68" t="s">
        <v>646</v>
      </c>
      <c r="F307" s="54" t="s">
        <v>46</v>
      </c>
      <c r="G307" s="54" t="s">
        <v>36</v>
      </c>
      <c r="H307" s="54">
        <f>STOCK[[#This Row],[Precio Final]]</f>
        <v>20</v>
      </c>
      <c r="I307" s="54">
        <f>STOCK[[#This Row],[Precio Venta Ideal (x1.5)]]</f>
        <v>19.0833333333333</v>
      </c>
      <c r="J307" s="72">
        <v>3</v>
      </c>
      <c r="K307" s="72">
        <f>SUMIFS(VENTAS[Cantidad],VENTAS[Código del producto Vendido],STOCK[[#This Row],[Code]])</f>
        <v>3</v>
      </c>
      <c r="L307" s="72">
        <f>STOCK[[#This Row],[Entradas]]-STOCK[[#This Row],[Salidas]]</f>
        <v>0</v>
      </c>
      <c r="M307" s="54">
        <f>STOCK[[#This Row],[Precio Final]]*10%</f>
        <v>2</v>
      </c>
      <c r="N307" s="54">
        <v>166</v>
      </c>
      <c r="O307" s="54">
        <v>18</v>
      </c>
      <c r="P307" s="54">
        <v>9.22222222222222</v>
      </c>
      <c r="Q307" s="72">
        <v>150</v>
      </c>
      <c r="R307" s="54">
        <v>10</v>
      </c>
      <c r="S307" s="54">
        <f>STOCK[[#This Row],[Peso (g)]]*STOCK[[#This Row],[Precio Envío Kilogramo (USD)]]/1000</f>
        <v>1.5</v>
      </c>
      <c r="T307" s="53">
        <f>STOCK[[#This Row],[Costo Unitario (USD)]]+STOCK[[#This Row],[Costo Envío (USD)]]+STOCK[[#This Row],[Comisión 10%]]</f>
        <v>12.7222222222222</v>
      </c>
      <c r="U307" s="54">
        <f>STOCK[[#This Row],[Costo total]]*1.5</f>
        <v>19.0833333333333</v>
      </c>
      <c r="V307" s="54">
        <v>20</v>
      </c>
      <c r="W307" s="54">
        <f>STOCK[[#This Row],[Precio Final]]-STOCK[[#This Row],[Costo total]]</f>
        <v>7.27777777777778</v>
      </c>
      <c r="X307" s="54">
        <f>STOCK[[#This Row],[Ganancia Unitaria]]*STOCK[[#This Row],[Salidas]]</f>
        <v>21.8333333333333</v>
      </c>
      <c r="AA307" s="54">
        <f>STOCK[[#This Row],[Costo total]]*STOCK[[#This Row],[Entradas]]</f>
        <v>38.1666666666667</v>
      </c>
      <c r="AB307" s="54">
        <f>STOCK[[#This Row],[Stock Actual]]*STOCK[[#This Row],[Costo total]]</f>
        <v>0</v>
      </c>
    </row>
    <row r="308" s="53" customFormat="1" ht="50" customHeight="1" spans="1:28">
      <c r="A308" s="53" t="s">
        <v>650</v>
      </c>
      <c r="B308" s="66"/>
      <c r="C308" s="53" t="s">
        <v>32</v>
      </c>
      <c r="D308" s="53" t="s">
        <v>44</v>
      </c>
      <c r="E308" s="67" t="s">
        <v>651</v>
      </c>
      <c r="F308" s="53" t="s">
        <v>46</v>
      </c>
      <c r="G308" s="53" t="s">
        <v>36</v>
      </c>
      <c r="H308" s="53">
        <f>STOCK[[#This Row],[Precio Final]]</f>
        <v>20</v>
      </c>
      <c r="I308" s="53">
        <f>STOCK[[#This Row],[Precio Venta Ideal (x1.5)]]</f>
        <v>19.0833333333333</v>
      </c>
      <c r="J308" s="71">
        <v>4</v>
      </c>
      <c r="K308" s="71">
        <f>SUMIFS(VENTAS[Cantidad],VENTAS[Código del producto Vendido],STOCK[[#This Row],[Code]])</f>
        <v>4</v>
      </c>
      <c r="L308" s="71">
        <f>STOCK[[#This Row],[Entradas]]-STOCK[[#This Row],[Salidas]]</f>
        <v>0</v>
      </c>
      <c r="M308" s="53">
        <f>STOCK[[#This Row],[Precio Final]]*10%</f>
        <v>2</v>
      </c>
      <c r="N308" s="53">
        <v>166</v>
      </c>
      <c r="O308" s="53">
        <v>18</v>
      </c>
      <c r="P308" s="53">
        <v>9.22222222222222</v>
      </c>
      <c r="Q308" s="71">
        <v>150</v>
      </c>
      <c r="R308" s="53">
        <v>10</v>
      </c>
      <c r="S308" s="53">
        <f>STOCK[[#This Row],[Peso (g)]]*STOCK[[#This Row],[Precio Envío Kilogramo (USD)]]/1000</f>
        <v>1.5</v>
      </c>
      <c r="T308" s="53">
        <f>STOCK[[#This Row],[Costo Unitario (USD)]]+STOCK[[#This Row],[Costo Envío (USD)]]+STOCK[[#This Row],[Comisión 10%]]</f>
        <v>12.7222222222222</v>
      </c>
      <c r="U308" s="53">
        <f>STOCK[[#This Row],[Costo total]]*1.5</f>
        <v>19.0833333333333</v>
      </c>
      <c r="V308" s="53">
        <v>20</v>
      </c>
      <c r="W308" s="53">
        <f>STOCK[[#This Row],[Precio Final]]-STOCK[[#This Row],[Costo total]]</f>
        <v>7.27777777777778</v>
      </c>
      <c r="X308" s="53">
        <f>STOCK[[#This Row],[Ganancia Unitaria]]*STOCK[[#This Row],[Salidas]]</f>
        <v>29.1111111111111</v>
      </c>
      <c r="AA308" s="53">
        <f>STOCK[[#This Row],[Costo total]]*STOCK[[#This Row],[Entradas]]</f>
        <v>50.8888888888889</v>
      </c>
      <c r="AB308" s="53">
        <f>STOCK[[#This Row],[Stock Actual]]*STOCK[[#This Row],[Costo total]]</f>
        <v>0</v>
      </c>
    </row>
    <row r="309" s="54" customFormat="1" ht="50" customHeight="1" spans="1:28">
      <c r="A309" s="54" t="s">
        <v>652</v>
      </c>
      <c r="B309" s="66"/>
      <c r="C309" s="54" t="s">
        <v>32</v>
      </c>
      <c r="D309" s="54" t="s">
        <v>44</v>
      </c>
      <c r="E309" s="68" t="s">
        <v>653</v>
      </c>
      <c r="F309" s="54" t="s">
        <v>46</v>
      </c>
      <c r="G309" s="54" t="s">
        <v>36</v>
      </c>
      <c r="H309" s="54">
        <f>STOCK[[#This Row],[Precio Final]]</f>
        <v>20</v>
      </c>
      <c r="I309" s="54">
        <f>STOCK[[#This Row],[Precio Venta Ideal (x1.5)]]</f>
        <v>19.0833333333333</v>
      </c>
      <c r="J309" s="72">
        <v>4</v>
      </c>
      <c r="K309" s="72">
        <f>SUMIFS(VENTAS[Cantidad],VENTAS[Código del producto Vendido],STOCK[[#This Row],[Code]])</f>
        <v>4</v>
      </c>
      <c r="L309" s="72">
        <f>STOCK[[#This Row],[Entradas]]-STOCK[[#This Row],[Salidas]]</f>
        <v>0</v>
      </c>
      <c r="M309" s="54">
        <f>STOCK[[#This Row],[Precio Final]]*10%</f>
        <v>2</v>
      </c>
      <c r="N309" s="54">
        <v>166</v>
      </c>
      <c r="O309" s="54">
        <v>18</v>
      </c>
      <c r="P309" s="54">
        <v>9.22222222222222</v>
      </c>
      <c r="Q309" s="72">
        <v>150</v>
      </c>
      <c r="R309" s="54">
        <v>10</v>
      </c>
      <c r="S309" s="54">
        <f>STOCK[[#This Row],[Peso (g)]]*STOCK[[#This Row],[Precio Envío Kilogramo (USD)]]/1000</f>
        <v>1.5</v>
      </c>
      <c r="T309" s="53">
        <f>STOCK[[#This Row],[Costo Unitario (USD)]]+STOCK[[#This Row],[Costo Envío (USD)]]+STOCK[[#This Row],[Comisión 10%]]</f>
        <v>12.7222222222222</v>
      </c>
      <c r="U309" s="54">
        <f>STOCK[[#This Row],[Costo total]]*1.5</f>
        <v>19.0833333333333</v>
      </c>
      <c r="V309" s="54">
        <v>20</v>
      </c>
      <c r="W309" s="54">
        <f>STOCK[[#This Row],[Precio Final]]-STOCK[[#This Row],[Costo total]]</f>
        <v>7.27777777777778</v>
      </c>
      <c r="X309" s="54">
        <f>STOCK[[#This Row],[Ganancia Unitaria]]*STOCK[[#This Row],[Salidas]]</f>
        <v>29.1111111111111</v>
      </c>
      <c r="AA309" s="54">
        <f>STOCK[[#This Row],[Costo total]]*STOCK[[#This Row],[Entradas]]</f>
        <v>50.8888888888889</v>
      </c>
      <c r="AB309" s="54">
        <f>STOCK[[#This Row],[Stock Actual]]*STOCK[[#This Row],[Costo total]]</f>
        <v>0</v>
      </c>
    </row>
    <row r="310" s="53" customFormat="1" ht="50" customHeight="1" spans="1:28">
      <c r="A310" s="53" t="s">
        <v>654</v>
      </c>
      <c r="B310" s="66"/>
      <c r="C310" s="53" t="s">
        <v>32</v>
      </c>
      <c r="D310" s="53" t="s">
        <v>44</v>
      </c>
      <c r="E310" s="67" t="s">
        <v>655</v>
      </c>
      <c r="F310" s="53" t="s">
        <v>46</v>
      </c>
      <c r="G310" s="53" t="s">
        <v>36</v>
      </c>
      <c r="H310" s="53">
        <f>STOCK[[#This Row],[Precio Final]]</f>
        <v>20</v>
      </c>
      <c r="I310" s="53">
        <f>STOCK[[#This Row],[Precio Venta Ideal (x1.5)]]</f>
        <v>19.0833333333333</v>
      </c>
      <c r="J310" s="71">
        <v>4</v>
      </c>
      <c r="K310" s="71">
        <f>SUMIFS(VENTAS[Cantidad],VENTAS[Código del producto Vendido],STOCK[[#This Row],[Code]])</f>
        <v>4</v>
      </c>
      <c r="L310" s="71">
        <f>STOCK[[#This Row],[Entradas]]-STOCK[[#This Row],[Salidas]]</f>
        <v>0</v>
      </c>
      <c r="M310" s="53">
        <f>STOCK[[#This Row],[Precio Final]]*10%</f>
        <v>2</v>
      </c>
      <c r="N310" s="53">
        <v>166</v>
      </c>
      <c r="O310" s="53">
        <v>18</v>
      </c>
      <c r="P310" s="53">
        <v>9.22222222222222</v>
      </c>
      <c r="Q310" s="71">
        <v>150</v>
      </c>
      <c r="R310" s="53">
        <v>10</v>
      </c>
      <c r="S310" s="53">
        <f>STOCK[[#This Row],[Peso (g)]]*STOCK[[#This Row],[Precio Envío Kilogramo (USD)]]/1000</f>
        <v>1.5</v>
      </c>
      <c r="T310" s="53">
        <f>STOCK[[#This Row],[Costo Unitario (USD)]]+STOCK[[#This Row],[Costo Envío (USD)]]+STOCK[[#This Row],[Comisión 10%]]</f>
        <v>12.7222222222222</v>
      </c>
      <c r="U310" s="53">
        <f>STOCK[[#This Row],[Costo total]]*1.5</f>
        <v>19.0833333333333</v>
      </c>
      <c r="V310" s="53">
        <v>20</v>
      </c>
      <c r="W310" s="53">
        <f>STOCK[[#This Row],[Precio Final]]-STOCK[[#This Row],[Costo total]]</f>
        <v>7.27777777777778</v>
      </c>
      <c r="X310" s="53">
        <f>STOCK[[#This Row],[Ganancia Unitaria]]*STOCK[[#This Row],[Salidas]]</f>
        <v>29.1111111111111</v>
      </c>
      <c r="AA310" s="53">
        <f>STOCK[[#This Row],[Costo total]]*STOCK[[#This Row],[Entradas]]</f>
        <v>50.8888888888889</v>
      </c>
      <c r="AB310" s="53">
        <f>STOCK[[#This Row],[Stock Actual]]*STOCK[[#This Row],[Costo total]]</f>
        <v>0</v>
      </c>
    </row>
    <row r="311" s="54" customFormat="1" ht="50" customHeight="1" spans="1:28">
      <c r="A311" s="54" t="s">
        <v>656</v>
      </c>
      <c r="B311" s="66"/>
      <c r="C311" s="54" t="s">
        <v>32</v>
      </c>
      <c r="D311" s="54" t="s">
        <v>44</v>
      </c>
      <c r="E311" s="68" t="s">
        <v>657</v>
      </c>
      <c r="F311" s="54" t="s">
        <v>46</v>
      </c>
      <c r="G311" s="54" t="s">
        <v>36</v>
      </c>
      <c r="H311" s="54">
        <f>STOCK[[#This Row],[Precio Final]]</f>
        <v>20</v>
      </c>
      <c r="I311" s="54">
        <f>STOCK[[#This Row],[Precio Venta Ideal (x1.5)]]</f>
        <v>19.0833333333333</v>
      </c>
      <c r="J311" s="72">
        <v>4</v>
      </c>
      <c r="K311" s="72">
        <f>SUMIFS(VENTAS[Cantidad],VENTAS[Código del producto Vendido],STOCK[[#This Row],[Code]])</f>
        <v>4</v>
      </c>
      <c r="L311" s="72">
        <f>STOCK[[#This Row],[Entradas]]-STOCK[[#This Row],[Salidas]]</f>
        <v>0</v>
      </c>
      <c r="M311" s="54">
        <f>STOCK[[#This Row],[Precio Final]]*10%</f>
        <v>2</v>
      </c>
      <c r="N311" s="54">
        <v>166</v>
      </c>
      <c r="O311" s="54">
        <v>18</v>
      </c>
      <c r="P311" s="54">
        <v>9.22222222222222</v>
      </c>
      <c r="Q311" s="72">
        <v>150</v>
      </c>
      <c r="R311" s="54">
        <v>10</v>
      </c>
      <c r="S311" s="54">
        <f>STOCK[[#This Row],[Peso (g)]]*STOCK[[#This Row],[Precio Envío Kilogramo (USD)]]/1000</f>
        <v>1.5</v>
      </c>
      <c r="T311" s="53">
        <f>STOCK[[#This Row],[Costo Unitario (USD)]]+STOCK[[#This Row],[Costo Envío (USD)]]+STOCK[[#This Row],[Comisión 10%]]</f>
        <v>12.7222222222222</v>
      </c>
      <c r="U311" s="54">
        <f>STOCK[[#This Row],[Costo total]]*1.5</f>
        <v>19.0833333333333</v>
      </c>
      <c r="V311" s="54">
        <v>20</v>
      </c>
      <c r="W311" s="54">
        <f>STOCK[[#This Row],[Precio Final]]-STOCK[[#This Row],[Costo total]]</f>
        <v>7.27777777777778</v>
      </c>
      <c r="X311" s="54">
        <f>STOCK[[#This Row],[Ganancia Unitaria]]*STOCK[[#This Row],[Salidas]]</f>
        <v>29.1111111111111</v>
      </c>
      <c r="AA311" s="54">
        <f>STOCK[[#This Row],[Costo total]]*STOCK[[#This Row],[Entradas]]</f>
        <v>50.8888888888889</v>
      </c>
      <c r="AB311" s="54">
        <f>STOCK[[#This Row],[Stock Actual]]*STOCK[[#This Row],[Costo total]]</f>
        <v>0</v>
      </c>
    </row>
    <row r="312" s="53" customFormat="1" ht="50" customHeight="1" spans="1:28">
      <c r="A312" s="53" t="s">
        <v>658</v>
      </c>
      <c r="B312" s="66"/>
      <c r="C312" s="53" t="s">
        <v>32</v>
      </c>
      <c r="D312" s="53" t="s">
        <v>44</v>
      </c>
      <c r="E312" s="67" t="s">
        <v>659</v>
      </c>
      <c r="F312" s="53" t="s">
        <v>46</v>
      </c>
      <c r="G312" s="53" t="s">
        <v>36</v>
      </c>
      <c r="H312" s="53">
        <f>STOCK[[#This Row],[Precio Final]]</f>
        <v>18</v>
      </c>
      <c r="I312" s="53">
        <f>STOCK[[#This Row],[Precio Venta Ideal (x1.5)]]</f>
        <v>18.7833333333333</v>
      </c>
      <c r="J312" s="71">
        <v>4</v>
      </c>
      <c r="K312" s="71">
        <f>SUMIFS(VENTAS[Cantidad],VENTAS[Código del producto Vendido],STOCK[[#This Row],[Code]])</f>
        <v>4</v>
      </c>
      <c r="L312" s="71">
        <f>STOCK[[#This Row],[Entradas]]-STOCK[[#This Row],[Salidas]]</f>
        <v>0</v>
      </c>
      <c r="M312" s="53">
        <f>STOCK[[#This Row],[Precio Final]]*10%</f>
        <v>1.8</v>
      </c>
      <c r="N312" s="53">
        <v>166</v>
      </c>
      <c r="O312" s="53">
        <v>18</v>
      </c>
      <c r="P312" s="53">
        <v>9.22222222222222</v>
      </c>
      <c r="Q312" s="71">
        <v>150</v>
      </c>
      <c r="R312" s="53">
        <v>10</v>
      </c>
      <c r="S312" s="53">
        <f>STOCK[[#This Row],[Peso (g)]]*STOCK[[#This Row],[Precio Envío Kilogramo (USD)]]/1000</f>
        <v>1.5</v>
      </c>
      <c r="T312" s="53">
        <f>STOCK[[#This Row],[Costo Unitario (USD)]]+STOCK[[#This Row],[Costo Envío (USD)]]+STOCK[[#This Row],[Comisión 10%]]</f>
        <v>12.5222222222222</v>
      </c>
      <c r="U312" s="53">
        <f>STOCK[[#This Row],[Costo total]]*1.5</f>
        <v>18.7833333333333</v>
      </c>
      <c r="V312" s="53">
        <v>18</v>
      </c>
      <c r="W312" s="53">
        <f>STOCK[[#This Row],[Precio Final]]-STOCK[[#This Row],[Costo total]]</f>
        <v>5.47777777777778</v>
      </c>
      <c r="X312" s="53">
        <f>STOCK[[#This Row],[Ganancia Unitaria]]*STOCK[[#This Row],[Salidas]]</f>
        <v>21.9111111111111</v>
      </c>
      <c r="AA312" s="53">
        <f>STOCK[[#This Row],[Costo total]]*STOCK[[#This Row],[Entradas]]</f>
        <v>50.0888888888889</v>
      </c>
      <c r="AB312" s="53">
        <f>STOCK[[#This Row],[Stock Actual]]*STOCK[[#This Row],[Costo total]]</f>
        <v>0</v>
      </c>
    </row>
    <row r="313" s="54" customFormat="1" ht="50" customHeight="1" spans="1:28">
      <c r="A313" s="54" t="s">
        <v>660</v>
      </c>
      <c r="B313" s="66"/>
      <c r="C313" s="54" t="s">
        <v>32</v>
      </c>
      <c r="D313" s="54" t="s">
        <v>44</v>
      </c>
      <c r="E313" s="68" t="s">
        <v>661</v>
      </c>
      <c r="F313" s="54" t="s">
        <v>62</v>
      </c>
      <c r="G313" s="54" t="s">
        <v>36</v>
      </c>
      <c r="H313" s="54">
        <f>STOCK[[#This Row],[Precio Final]]</f>
        <v>18</v>
      </c>
      <c r="I313" s="54">
        <f>STOCK[[#This Row],[Precio Venta Ideal (x1.5)]]</f>
        <v>18.7833333333333</v>
      </c>
      <c r="J313" s="72">
        <v>4</v>
      </c>
      <c r="K313" s="72">
        <f>SUMIFS(VENTAS[Cantidad],VENTAS[Código del producto Vendido],STOCK[[#This Row],[Code]])</f>
        <v>4</v>
      </c>
      <c r="L313" s="72">
        <f>STOCK[[#This Row],[Entradas]]-STOCK[[#This Row],[Salidas]]</f>
        <v>0</v>
      </c>
      <c r="M313" s="54">
        <f>STOCK[[#This Row],[Precio Final]]*10%</f>
        <v>1.8</v>
      </c>
      <c r="N313" s="54">
        <v>166</v>
      </c>
      <c r="O313" s="54">
        <v>18</v>
      </c>
      <c r="P313" s="54">
        <v>9.22222222222222</v>
      </c>
      <c r="Q313" s="72">
        <v>150</v>
      </c>
      <c r="R313" s="54">
        <v>10</v>
      </c>
      <c r="S313" s="54">
        <f>STOCK[[#This Row],[Peso (g)]]*STOCK[[#This Row],[Precio Envío Kilogramo (USD)]]/1000</f>
        <v>1.5</v>
      </c>
      <c r="T313" s="53">
        <f>STOCK[[#This Row],[Costo Unitario (USD)]]+STOCK[[#This Row],[Costo Envío (USD)]]+STOCK[[#This Row],[Comisión 10%]]</f>
        <v>12.5222222222222</v>
      </c>
      <c r="U313" s="54">
        <f>STOCK[[#This Row],[Costo total]]*1.5</f>
        <v>18.7833333333333</v>
      </c>
      <c r="V313" s="54">
        <v>18</v>
      </c>
      <c r="W313" s="54">
        <f>STOCK[[#This Row],[Precio Final]]-STOCK[[#This Row],[Costo total]]</f>
        <v>5.47777777777778</v>
      </c>
      <c r="X313" s="54">
        <f>STOCK[[#This Row],[Ganancia Unitaria]]*STOCK[[#This Row],[Salidas]]</f>
        <v>21.9111111111111</v>
      </c>
      <c r="AA313" s="54">
        <f>STOCK[[#This Row],[Costo total]]*STOCK[[#This Row],[Entradas]]</f>
        <v>50.0888888888889</v>
      </c>
      <c r="AB313" s="54">
        <f>STOCK[[#This Row],[Stock Actual]]*STOCK[[#This Row],[Costo total]]</f>
        <v>0</v>
      </c>
    </row>
    <row r="314" s="53" customFormat="1" ht="50" customHeight="1" spans="1:29">
      <c r="A314" s="53" t="s">
        <v>662</v>
      </c>
      <c r="B314" s="66"/>
      <c r="C314" s="53" t="s">
        <v>32</v>
      </c>
      <c r="D314" s="53" t="s">
        <v>294</v>
      </c>
      <c r="E314" s="67" t="s">
        <v>663</v>
      </c>
      <c r="F314" s="53" t="s">
        <v>40</v>
      </c>
      <c r="G314" s="53" t="s">
        <v>36</v>
      </c>
      <c r="H314" s="53">
        <f>STOCK[[#This Row],[Precio Final]]</f>
        <v>12</v>
      </c>
      <c r="I314" s="53">
        <f>STOCK[[#This Row],[Precio Venta Ideal (x1.5)]]</f>
        <v>9.15250000000001</v>
      </c>
      <c r="J314" s="71">
        <v>4</v>
      </c>
      <c r="K314" s="71">
        <f>SUMIFS(VENTAS[Cantidad],VENTAS[Código del producto Vendido],STOCK[[#This Row],[Code]])</f>
        <v>4</v>
      </c>
      <c r="L314" s="71">
        <f>STOCK[[#This Row],[Entradas]]-STOCK[[#This Row],[Salidas]]</f>
        <v>0</v>
      </c>
      <c r="M314" s="53">
        <f>STOCK[[#This Row],[Precio Final]]*10%</f>
        <v>1.2</v>
      </c>
      <c r="N314" s="53">
        <v>81.75</v>
      </c>
      <c r="O314" s="53">
        <v>18</v>
      </c>
      <c r="P314" s="53">
        <v>4.54166666666667</v>
      </c>
      <c r="Q314" s="71">
        <v>45</v>
      </c>
      <c r="R314" s="53">
        <v>8</v>
      </c>
      <c r="S314" s="53">
        <f>STOCK[[#This Row],[Peso (g)]]*STOCK[[#This Row],[Precio Envío Kilogramo (USD)]]/1000</f>
        <v>0.36</v>
      </c>
      <c r="T314" s="53">
        <f>STOCK[[#This Row],[Costo Unitario (USD)]]+STOCK[[#This Row],[Costo Envío (USD)]]+STOCK[[#This Row],[Comisión 10%]]</f>
        <v>6.10166666666667</v>
      </c>
      <c r="U314" s="53">
        <f>STOCK[[#This Row],[Costo total]]*1.5</f>
        <v>9.15250000000001</v>
      </c>
      <c r="V314" s="53">
        <v>12</v>
      </c>
      <c r="W314" s="53">
        <f>STOCK[[#This Row],[Precio Final]]-STOCK[[#This Row],[Costo total]]</f>
        <v>5.89833333333333</v>
      </c>
      <c r="X314" s="53">
        <f>STOCK[[#This Row],[Ganancia Unitaria]]*STOCK[[#This Row],[Salidas]]</f>
        <v>23.5933333333333</v>
      </c>
      <c r="AA314" s="53">
        <f>STOCK[[#This Row],[Costo total]]*STOCK[[#This Row],[Entradas]]</f>
        <v>24.4066666666667</v>
      </c>
      <c r="AB314" s="53">
        <f>STOCK[[#This Row],[Stock Actual]]*STOCK[[#This Row],[Costo total]]</f>
        <v>0</v>
      </c>
      <c r="AC314" s="53">
        <v>9</v>
      </c>
    </row>
    <row r="315" s="54" customFormat="1" ht="50" customHeight="1" spans="1:28">
      <c r="A315" s="54" t="s">
        <v>664</v>
      </c>
      <c r="B315" s="66"/>
      <c r="C315" s="54" t="s">
        <v>32</v>
      </c>
      <c r="D315" s="54" t="s">
        <v>174</v>
      </c>
      <c r="E315" s="68" t="s">
        <v>663</v>
      </c>
      <c r="F315" s="54" t="s">
        <v>62</v>
      </c>
      <c r="G315" s="54" t="s">
        <v>36</v>
      </c>
      <c r="H315" s="54">
        <f>STOCK[[#This Row],[Precio Final]]</f>
        <v>8</v>
      </c>
      <c r="I315" s="54">
        <f>STOCK[[#This Row],[Precio Venta Ideal (x1.5)]]</f>
        <v>8.55250000000001</v>
      </c>
      <c r="J315" s="72">
        <v>3</v>
      </c>
      <c r="K315" s="72">
        <f>SUMIFS(VENTAS[Cantidad],VENTAS[Código del producto Vendido],STOCK[[#This Row],[Code]])</f>
        <v>3</v>
      </c>
      <c r="L315" s="72">
        <f>STOCK[[#This Row],[Entradas]]-STOCK[[#This Row],[Salidas]]</f>
        <v>0</v>
      </c>
      <c r="M315" s="54">
        <f>STOCK[[#This Row],[Precio Final]]*10%</f>
        <v>0.8</v>
      </c>
      <c r="N315" s="54">
        <v>81.75</v>
      </c>
      <c r="O315" s="54">
        <v>18</v>
      </c>
      <c r="P315" s="54">
        <v>4.54166666666667</v>
      </c>
      <c r="Q315" s="72">
        <v>45</v>
      </c>
      <c r="R315" s="54">
        <v>8</v>
      </c>
      <c r="S315" s="54">
        <f>STOCK[[#This Row],[Peso (g)]]*STOCK[[#This Row],[Precio Envío Kilogramo (USD)]]/1000</f>
        <v>0.36</v>
      </c>
      <c r="T315" s="53">
        <f>STOCK[[#This Row],[Costo Unitario (USD)]]+STOCK[[#This Row],[Costo Envío (USD)]]+STOCK[[#This Row],[Comisión 10%]]</f>
        <v>5.70166666666667</v>
      </c>
      <c r="U315" s="54">
        <f>STOCK[[#This Row],[Costo total]]*1.5</f>
        <v>8.55250000000001</v>
      </c>
      <c r="V315" s="54">
        <v>8</v>
      </c>
      <c r="W315" s="54">
        <f>STOCK[[#This Row],[Precio Final]]-STOCK[[#This Row],[Costo total]]</f>
        <v>2.29833333333333</v>
      </c>
      <c r="X315" s="54">
        <f>STOCK[[#This Row],[Ganancia Unitaria]]*STOCK[[#This Row],[Salidas]]</f>
        <v>6.89499999999999</v>
      </c>
      <c r="AA315" s="54">
        <f>STOCK[[#This Row],[Costo total]]*STOCK[[#This Row],[Entradas]]</f>
        <v>17.105</v>
      </c>
      <c r="AB315" s="54">
        <f>STOCK[[#This Row],[Stock Actual]]*STOCK[[#This Row],[Costo total]]</f>
        <v>0</v>
      </c>
    </row>
    <row r="316" s="53" customFormat="1" ht="50" customHeight="1" spans="1:28">
      <c r="A316" s="53" t="s">
        <v>665</v>
      </c>
      <c r="B316" s="66"/>
      <c r="C316" s="53" t="s">
        <v>32</v>
      </c>
      <c r="D316" s="53" t="s">
        <v>174</v>
      </c>
      <c r="E316" s="67" t="s">
        <v>663</v>
      </c>
      <c r="F316" s="53" t="s">
        <v>46</v>
      </c>
      <c r="G316" s="53" t="s">
        <v>36</v>
      </c>
      <c r="H316" s="53">
        <f>STOCK[[#This Row],[Precio Final]]</f>
        <v>8</v>
      </c>
      <c r="I316" s="53">
        <f>STOCK[[#This Row],[Precio Venta Ideal (x1.5)]]</f>
        <v>8.55250000000001</v>
      </c>
      <c r="J316" s="71">
        <v>3</v>
      </c>
      <c r="K316" s="71">
        <f>SUMIFS(VENTAS[Cantidad],VENTAS[Código del producto Vendido],STOCK[[#This Row],[Code]])</f>
        <v>3</v>
      </c>
      <c r="L316" s="71">
        <f>STOCK[[#This Row],[Entradas]]-STOCK[[#This Row],[Salidas]]</f>
        <v>0</v>
      </c>
      <c r="M316" s="53">
        <f>STOCK[[#This Row],[Precio Final]]*10%</f>
        <v>0.8</v>
      </c>
      <c r="N316" s="53">
        <v>81.75</v>
      </c>
      <c r="O316" s="53">
        <v>18</v>
      </c>
      <c r="P316" s="53">
        <v>4.54166666666667</v>
      </c>
      <c r="Q316" s="71">
        <v>45</v>
      </c>
      <c r="R316" s="53">
        <v>8</v>
      </c>
      <c r="S316" s="53">
        <f>STOCK[[#This Row],[Peso (g)]]*STOCK[[#This Row],[Precio Envío Kilogramo (USD)]]/1000</f>
        <v>0.36</v>
      </c>
      <c r="T316" s="53">
        <f>STOCK[[#This Row],[Costo Unitario (USD)]]+STOCK[[#This Row],[Costo Envío (USD)]]+STOCK[[#This Row],[Comisión 10%]]</f>
        <v>5.70166666666667</v>
      </c>
      <c r="U316" s="53">
        <f>STOCK[[#This Row],[Costo total]]*1.5</f>
        <v>8.55250000000001</v>
      </c>
      <c r="V316" s="53">
        <v>8</v>
      </c>
      <c r="W316" s="53">
        <f>STOCK[[#This Row],[Precio Final]]-STOCK[[#This Row],[Costo total]]</f>
        <v>2.29833333333333</v>
      </c>
      <c r="X316" s="53">
        <f>STOCK[[#This Row],[Ganancia Unitaria]]*STOCK[[#This Row],[Salidas]]</f>
        <v>6.89499999999999</v>
      </c>
      <c r="AA316" s="53">
        <f>STOCK[[#This Row],[Costo total]]*STOCK[[#This Row],[Entradas]]</f>
        <v>17.105</v>
      </c>
      <c r="AB316" s="53">
        <f>STOCK[[#This Row],[Stock Actual]]*STOCK[[#This Row],[Costo total]]</f>
        <v>0</v>
      </c>
    </row>
    <row r="317" s="54" customFormat="1" ht="50" customHeight="1" spans="1:28">
      <c r="A317" s="54" t="s">
        <v>666</v>
      </c>
      <c r="B317" s="66"/>
      <c r="C317" s="54" t="s">
        <v>32</v>
      </c>
      <c r="D317" s="54" t="s">
        <v>174</v>
      </c>
      <c r="E317" s="68" t="s">
        <v>667</v>
      </c>
      <c r="F317" s="54" t="s">
        <v>49</v>
      </c>
      <c r="G317" s="54" t="s">
        <v>36</v>
      </c>
      <c r="H317" s="54">
        <f>STOCK[[#This Row],[Precio Final]]</f>
        <v>9</v>
      </c>
      <c r="I317" s="54">
        <f>STOCK[[#This Row],[Precio Venta Ideal (x1.5)]]</f>
        <v>9.515</v>
      </c>
      <c r="J317" s="72">
        <v>3</v>
      </c>
      <c r="K317" s="72">
        <f>SUMIFS(VENTAS[Cantidad],VENTAS[Código del producto Vendido],STOCK[[#This Row],[Code]])</f>
        <v>3</v>
      </c>
      <c r="L317" s="72">
        <f>STOCK[[#This Row],[Entradas]]-STOCK[[#This Row],[Salidas]]</f>
        <v>0</v>
      </c>
      <c r="M317" s="54">
        <f>STOCK[[#This Row],[Precio Final]]*10%</f>
        <v>0.9</v>
      </c>
      <c r="N317" s="54">
        <v>91.5</v>
      </c>
      <c r="O317" s="54">
        <v>18</v>
      </c>
      <c r="P317" s="54">
        <v>5.08333333333333</v>
      </c>
      <c r="Q317" s="72">
        <v>45</v>
      </c>
      <c r="R317" s="54">
        <v>8</v>
      </c>
      <c r="S317" s="54">
        <f>STOCK[[#This Row],[Peso (g)]]*STOCK[[#This Row],[Precio Envío Kilogramo (USD)]]/1000</f>
        <v>0.36</v>
      </c>
      <c r="T317" s="53">
        <f>STOCK[[#This Row],[Costo Unitario (USD)]]+STOCK[[#This Row],[Costo Envío (USD)]]+STOCK[[#This Row],[Comisión 10%]]</f>
        <v>6.34333333333333</v>
      </c>
      <c r="U317" s="54">
        <f>STOCK[[#This Row],[Costo total]]*1.5</f>
        <v>9.515</v>
      </c>
      <c r="V317" s="54">
        <v>9</v>
      </c>
      <c r="W317" s="54">
        <f>STOCK[[#This Row],[Precio Final]]-STOCK[[#This Row],[Costo total]]</f>
        <v>2.65666666666667</v>
      </c>
      <c r="X317" s="54">
        <f>STOCK[[#This Row],[Ganancia Unitaria]]*STOCK[[#This Row],[Salidas]]</f>
        <v>7.97000000000001</v>
      </c>
      <c r="AA317" s="54">
        <f>STOCK[[#This Row],[Costo total]]*STOCK[[#This Row],[Entradas]]</f>
        <v>19.03</v>
      </c>
      <c r="AB317" s="54">
        <f>STOCK[[#This Row],[Stock Actual]]*STOCK[[#This Row],[Costo total]]</f>
        <v>0</v>
      </c>
    </row>
    <row r="318" s="53" customFormat="1" ht="50" customHeight="1" spans="1:28">
      <c r="A318" s="53" t="s">
        <v>668</v>
      </c>
      <c r="B318" s="66"/>
      <c r="C318" s="53" t="s">
        <v>32</v>
      </c>
      <c r="D318" s="53" t="s">
        <v>174</v>
      </c>
      <c r="E318" s="67" t="s">
        <v>669</v>
      </c>
      <c r="F318" s="53" t="s">
        <v>62</v>
      </c>
      <c r="G318" s="53" t="s">
        <v>36</v>
      </c>
      <c r="H318" s="53">
        <f>STOCK[[#This Row],[Precio Final]]</f>
        <v>9</v>
      </c>
      <c r="I318" s="53">
        <f>STOCK[[#This Row],[Precio Venta Ideal (x1.5)]]</f>
        <v>9.515</v>
      </c>
      <c r="J318" s="71">
        <v>3</v>
      </c>
      <c r="K318" s="71">
        <f>SUMIFS(VENTAS[Cantidad],VENTAS[Código del producto Vendido],STOCK[[#This Row],[Code]])</f>
        <v>3</v>
      </c>
      <c r="L318" s="71">
        <f>STOCK[[#This Row],[Entradas]]-STOCK[[#This Row],[Salidas]]</f>
        <v>0</v>
      </c>
      <c r="M318" s="53">
        <f>STOCK[[#This Row],[Precio Final]]*10%</f>
        <v>0.9</v>
      </c>
      <c r="N318" s="53">
        <v>91.5</v>
      </c>
      <c r="O318" s="53">
        <v>18</v>
      </c>
      <c r="P318" s="53">
        <v>5.08333333333333</v>
      </c>
      <c r="Q318" s="71">
        <v>45</v>
      </c>
      <c r="R318" s="53">
        <v>8</v>
      </c>
      <c r="S318" s="53">
        <f>STOCK[[#This Row],[Peso (g)]]*STOCK[[#This Row],[Precio Envío Kilogramo (USD)]]/1000</f>
        <v>0.36</v>
      </c>
      <c r="T318" s="53">
        <f>STOCK[[#This Row],[Costo Unitario (USD)]]+STOCK[[#This Row],[Costo Envío (USD)]]+STOCK[[#This Row],[Comisión 10%]]</f>
        <v>6.34333333333333</v>
      </c>
      <c r="U318" s="53">
        <f>STOCK[[#This Row],[Costo total]]*1.5</f>
        <v>9.515</v>
      </c>
      <c r="V318" s="53">
        <v>9</v>
      </c>
      <c r="W318" s="53">
        <f>STOCK[[#This Row],[Precio Final]]-STOCK[[#This Row],[Costo total]]</f>
        <v>2.65666666666667</v>
      </c>
      <c r="X318" s="53">
        <f>STOCK[[#This Row],[Ganancia Unitaria]]*STOCK[[#This Row],[Salidas]]</f>
        <v>7.97000000000001</v>
      </c>
      <c r="AA318" s="53">
        <f>STOCK[[#This Row],[Costo total]]*STOCK[[#This Row],[Entradas]]</f>
        <v>19.03</v>
      </c>
      <c r="AB318" s="53">
        <f>STOCK[[#This Row],[Stock Actual]]*STOCK[[#This Row],[Costo total]]</f>
        <v>0</v>
      </c>
    </row>
    <row r="319" s="54" customFormat="1" ht="50" customHeight="1" spans="1:28">
      <c r="A319" s="54" t="s">
        <v>670</v>
      </c>
      <c r="B319" s="66"/>
      <c r="C319" s="54" t="s">
        <v>32</v>
      </c>
      <c r="D319" s="54" t="s">
        <v>174</v>
      </c>
      <c r="E319" s="68" t="s">
        <v>671</v>
      </c>
      <c r="F319" s="54" t="s">
        <v>40</v>
      </c>
      <c r="G319" s="54" t="s">
        <v>36</v>
      </c>
      <c r="H319" s="54">
        <f>STOCK[[#This Row],[Precio Final]]</f>
        <v>9</v>
      </c>
      <c r="I319" s="54">
        <f>STOCK[[#This Row],[Precio Venta Ideal (x1.5)]]</f>
        <v>9.515</v>
      </c>
      <c r="J319" s="72">
        <v>3</v>
      </c>
      <c r="K319" s="72">
        <f>SUMIFS(VENTAS[Cantidad],VENTAS[Código del producto Vendido],STOCK[[#This Row],[Code]])</f>
        <v>3</v>
      </c>
      <c r="L319" s="72">
        <f>STOCK[[#This Row],[Entradas]]-STOCK[[#This Row],[Salidas]]</f>
        <v>0</v>
      </c>
      <c r="M319" s="54">
        <f>STOCK[[#This Row],[Precio Final]]*10%</f>
        <v>0.9</v>
      </c>
      <c r="N319" s="54">
        <v>91.5</v>
      </c>
      <c r="O319" s="54">
        <v>18</v>
      </c>
      <c r="P319" s="54">
        <v>5.08333333333333</v>
      </c>
      <c r="Q319" s="72">
        <v>45</v>
      </c>
      <c r="R319" s="54">
        <v>8</v>
      </c>
      <c r="S319" s="54">
        <f>STOCK[[#This Row],[Peso (g)]]*STOCK[[#This Row],[Precio Envío Kilogramo (USD)]]/1000</f>
        <v>0.36</v>
      </c>
      <c r="T319" s="53">
        <f>STOCK[[#This Row],[Costo Unitario (USD)]]+STOCK[[#This Row],[Costo Envío (USD)]]+STOCK[[#This Row],[Comisión 10%]]</f>
        <v>6.34333333333333</v>
      </c>
      <c r="U319" s="54">
        <f>STOCK[[#This Row],[Costo total]]*1.5</f>
        <v>9.515</v>
      </c>
      <c r="V319" s="54">
        <v>9</v>
      </c>
      <c r="W319" s="54">
        <f>STOCK[[#This Row],[Precio Final]]-STOCK[[#This Row],[Costo total]]</f>
        <v>2.65666666666667</v>
      </c>
      <c r="X319" s="54">
        <f>STOCK[[#This Row],[Ganancia Unitaria]]*STOCK[[#This Row],[Salidas]]</f>
        <v>7.97000000000001</v>
      </c>
      <c r="AA319" s="54">
        <f>STOCK[[#This Row],[Costo total]]*STOCK[[#This Row],[Entradas]]</f>
        <v>19.03</v>
      </c>
      <c r="AB319" s="54">
        <f>STOCK[[#This Row],[Stock Actual]]*STOCK[[#This Row],[Costo total]]</f>
        <v>0</v>
      </c>
    </row>
    <row r="320" s="53" customFormat="1" ht="50" customHeight="1" spans="1:29">
      <c r="A320" s="53" t="s">
        <v>672</v>
      </c>
      <c r="B320" s="66"/>
      <c r="C320" s="53" t="s">
        <v>32</v>
      </c>
      <c r="D320" s="53" t="s">
        <v>294</v>
      </c>
      <c r="E320" s="67" t="s">
        <v>673</v>
      </c>
      <c r="F320" s="53" t="s">
        <v>62</v>
      </c>
      <c r="G320" s="53" t="s">
        <v>36</v>
      </c>
      <c r="H320" s="53">
        <f>STOCK[[#This Row],[Precio Final]]</f>
        <v>12</v>
      </c>
      <c r="I320" s="53">
        <f>STOCK[[#This Row],[Precio Venta Ideal (x1.5)]]</f>
        <v>9.7025</v>
      </c>
      <c r="J320" s="71">
        <v>3</v>
      </c>
      <c r="K320" s="71">
        <f>SUMIFS(VENTAS[Cantidad],VENTAS[Código del producto Vendido],STOCK[[#This Row],[Code]])</f>
        <v>1</v>
      </c>
      <c r="L320" s="71">
        <f>STOCK[[#This Row],[Entradas]]-STOCK[[#This Row],[Salidas]]</f>
        <v>2</v>
      </c>
      <c r="M320" s="53">
        <f>STOCK[[#This Row],[Precio Final]]*10%</f>
        <v>1.2</v>
      </c>
      <c r="N320" s="53">
        <v>88.35</v>
      </c>
      <c r="O320" s="53">
        <v>18</v>
      </c>
      <c r="P320" s="53">
        <v>4.90833333333333</v>
      </c>
      <c r="Q320" s="71">
        <v>45</v>
      </c>
      <c r="R320" s="53">
        <v>8</v>
      </c>
      <c r="S320" s="53">
        <f>STOCK[[#This Row],[Peso (g)]]*STOCK[[#This Row],[Precio Envío Kilogramo (USD)]]/1000</f>
        <v>0.36</v>
      </c>
      <c r="T320" s="53">
        <f>STOCK[[#This Row],[Costo Unitario (USD)]]+STOCK[[#This Row],[Costo Envío (USD)]]+STOCK[[#This Row],[Comisión 10%]]</f>
        <v>6.46833333333333</v>
      </c>
      <c r="U320" s="53">
        <f>STOCK[[#This Row],[Costo total]]*1.5</f>
        <v>9.7025</v>
      </c>
      <c r="V320" s="53">
        <v>12</v>
      </c>
      <c r="W320" s="53">
        <f>STOCK[[#This Row],[Precio Final]]-STOCK[[#This Row],[Costo total]]</f>
        <v>5.53166666666667</v>
      </c>
      <c r="X320" s="53">
        <f>STOCK[[#This Row],[Ganancia Unitaria]]*STOCK[[#This Row],[Salidas]]</f>
        <v>5.53166666666667</v>
      </c>
      <c r="AA320" s="53">
        <f>STOCK[[#This Row],[Costo total]]*STOCK[[#This Row],[Entradas]]</f>
        <v>19.405</v>
      </c>
      <c r="AB320" s="53">
        <f>STOCK[[#This Row],[Stock Actual]]*STOCK[[#This Row],[Costo total]]</f>
        <v>12.9366666666667</v>
      </c>
      <c r="AC320" s="53">
        <v>9</v>
      </c>
    </row>
    <row r="321" s="54" customFormat="1" ht="50" customHeight="1" spans="1:28">
      <c r="A321" s="54" t="s">
        <v>674</v>
      </c>
      <c r="B321" s="66"/>
      <c r="C321" s="54" t="s">
        <v>32</v>
      </c>
      <c r="D321" s="54" t="s">
        <v>247</v>
      </c>
      <c r="E321" s="68" t="s">
        <v>673</v>
      </c>
      <c r="F321" s="54" t="s">
        <v>49</v>
      </c>
      <c r="G321" s="54" t="s">
        <v>36</v>
      </c>
      <c r="H321" s="54">
        <f>STOCK[[#This Row],[Precio Final]]</f>
        <v>9</v>
      </c>
      <c r="I321" s="54">
        <f>STOCK[[#This Row],[Precio Venta Ideal (x1.5)]]</f>
        <v>9.2525</v>
      </c>
      <c r="J321" s="72">
        <v>3</v>
      </c>
      <c r="K321" s="72">
        <f>SUMIFS(VENTAS[Cantidad],VENTAS[Código del producto Vendido],STOCK[[#This Row],[Code]])</f>
        <v>3</v>
      </c>
      <c r="L321" s="72">
        <f>STOCK[[#This Row],[Entradas]]-STOCK[[#This Row],[Salidas]]</f>
        <v>0</v>
      </c>
      <c r="M321" s="54">
        <f>STOCK[[#This Row],[Precio Final]]*10%</f>
        <v>0.9</v>
      </c>
      <c r="N321" s="54">
        <v>88.35</v>
      </c>
      <c r="O321" s="54">
        <v>18</v>
      </c>
      <c r="P321" s="54">
        <v>4.90833333333333</v>
      </c>
      <c r="Q321" s="72">
        <v>45</v>
      </c>
      <c r="R321" s="54">
        <v>8</v>
      </c>
      <c r="S321" s="54">
        <f>STOCK[[#This Row],[Peso (g)]]*STOCK[[#This Row],[Precio Envío Kilogramo (USD)]]/1000</f>
        <v>0.36</v>
      </c>
      <c r="T321" s="53">
        <f>STOCK[[#This Row],[Costo Unitario (USD)]]+STOCK[[#This Row],[Costo Envío (USD)]]+STOCK[[#This Row],[Comisión 10%]]</f>
        <v>6.16833333333333</v>
      </c>
      <c r="U321" s="54">
        <f>STOCK[[#This Row],[Costo total]]*1.5</f>
        <v>9.2525</v>
      </c>
      <c r="V321" s="54">
        <v>9</v>
      </c>
      <c r="W321" s="54">
        <f>STOCK[[#This Row],[Precio Final]]-STOCK[[#This Row],[Costo total]]</f>
        <v>2.83166666666667</v>
      </c>
      <c r="X321" s="54">
        <f>STOCK[[#This Row],[Ganancia Unitaria]]*STOCK[[#This Row],[Salidas]]</f>
        <v>8.49500000000001</v>
      </c>
      <c r="AA321" s="54">
        <f>STOCK[[#This Row],[Costo total]]*STOCK[[#This Row],[Entradas]]</f>
        <v>18.505</v>
      </c>
      <c r="AB321" s="54">
        <f>STOCK[[#This Row],[Stock Actual]]*STOCK[[#This Row],[Costo total]]</f>
        <v>0</v>
      </c>
    </row>
    <row r="322" s="53" customFormat="1" ht="50" customHeight="1" spans="1:28">
      <c r="A322" s="53" t="s">
        <v>675</v>
      </c>
      <c r="B322" s="66"/>
      <c r="C322" s="53" t="s">
        <v>32</v>
      </c>
      <c r="D322" s="53" t="s">
        <v>44</v>
      </c>
      <c r="E322" s="67" t="s">
        <v>676</v>
      </c>
      <c r="F322" s="53" t="s">
        <v>62</v>
      </c>
      <c r="G322" s="53" t="s">
        <v>36</v>
      </c>
      <c r="H322" s="53">
        <f>STOCK[[#This Row],[Precio Final]]</f>
        <v>18</v>
      </c>
      <c r="I322" s="53">
        <f>STOCK[[#This Row],[Precio Venta Ideal (x1.5)]]</f>
        <v>18.7833333333333</v>
      </c>
      <c r="J322" s="71">
        <v>4</v>
      </c>
      <c r="K322" s="71">
        <f>SUMIFS(VENTAS[Cantidad],VENTAS[Código del producto Vendido],STOCK[[#This Row],[Code]])</f>
        <v>4</v>
      </c>
      <c r="L322" s="71">
        <f>STOCK[[#This Row],[Entradas]]-STOCK[[#This Row],[Salidas]]</f>
        <v>0</v>
      </c>
      <c r="M322" s="53">
        <f>STOCK[[#This Row],[Precio Final]]*10%</f>
        <v>1.8</v>
      </c>
      <c r="N322" s="53">
        <v>166</v>
      </c>
      <c r="O322" s="53">
        <v>18</v>
      </c>
      <c r="P322" s="53">
        <v>9.22222222222222</v>
      </c>
      <c r="Q322" s="71">
        <v>150</v>
      </c>
      <c r="R322" s="53">
        <v>10</v>
      </c>
      <c r="S322" s="53">
        <f>STOCK[[#This Row],[Peso (g)]]*STOCK[[#This Row],[Precio Envío Kilogramo (USD)]]/1000</f>
        <v>1.5</v>
      </c>
      <c r="T322" s="53">
        <f>STOCK[[#This Row],[Costo Unitario (USD)]]+STOCK[[#This Row],[Costo Envío (USD)]]+STOCK[[#This Row],[Comisión 10%]]</f>
        <v>12.5222222222222</v>
      </c>
      <c r="U322" s="53">
        <f>STOCK[[#This Row],[Costo total]]*1.5</f>
        <v>18.7833333333333</v>
      </c>
      <c r="V322" s="53">
        <v>18</v>
      </c>
      <c r="W322" s="53">
        <f>STOCK[[#This Row],[Precio Final]]-STOCK[[#This Row],[Costo total]]</f>
        <v>5.47777777777778</v>
      </c>
      <c r="X322" s="53">
        <f>STOCK[[#This Row],[Ganancia Unitaria]]*STOCK[[#This Row],[Salidas]]</f>
        <v>21.9111111111111</v>
      </c>
      <c r="AA322" s="53">
        <f>STOCK[[#This Row],[Costo total]]*STOCK[[#This Row],[Entradas]]</f>
        <v>50.0888888888889</v>
      </c>
      <c r="AB322" s="53">
        <f>STOCK[[#This Row],[Stock Actual]]*STOCK[[#This Row],[Costo total]]</f>
        <v>0</v>
      </c>
    </row>
    <row r="323" s="54" customFormat="1" ht="50" customHeight="1" spans="1:29">
      <c r="A323" s="54" t="s">
        <v>677</v>
      </c>
      <c r="B323" s="66"/>
      <c r="C323" s="54" t="s">
        <v>32</v>
      </c>
      <c r="D323" s="54" t="s">
        <v>294</v>
      </c>
      <c r="E323" s="68" t="s">
        <v>678</v>
      </c>
      <c r="F323" s="54" t="s">
        <v>49</v>
      </c>
      <c r="G323" s="54" t="s">
        <v>36</v>
      </c>
      <c r="H323" s="54">
        <f>STOCK[[#This Row],[Precio Final]]</f>
        <v>12</v>
      </c>
      <c r="I323" s="54">
        <f>STOCK[[#This Row],[Precio Venta Ideal (x1.5)]]</f>
        <v>13.09</v>
      </c>
      <c r="J323" s="72">
        <v>4</v>
      </c>
      <c r="K323" s="72">
        <f>SUMIFS(VENTAS[Cantidad],VENTAS[Código del producto Vendido],STOCK[[#This Row],[Code]])</f>
        <v>2</v>
      </c>
      <c r="L323" s="72">
        <f>STOCK[[#This Row],[Entradas]]-STOCK[[#This Row],[Salidas]]</f>
        <v>2</v>
      </c>
      <c r="M323" s="54">
        <f>STOCK[[#This Row],[Precio Final]]*10%</f>
        <v>1.2</v>
      </c>
      <c r="N323" s="54">
        <v>129</v>
      </c>
      <c r="O323" s="54">
        <v>18</v>
      </c>
      <c r="P323" s="54">
        <v>7.16666666666667</v>
      </c>
      <c r="Q323" s="72">
        <v>45</v>
      </c>
      <c r="R323" s="54">
        <v>8</v>
      </c>
      <c r="S323" s="54">
        <f>STOCK[[#This Row],[Peso (g)]]*STOCK[[#This Row],[Precio Envío Kilogramo (USD)]]/1000</f>
        <v>0.36</v>
      </c>
      <c r="T323" s="53">
        <f>STOCK[[#This Row],[Costo Unitario (USD)]]+STOCK[[#This Row],[Costo Envío (USD)]]+STOCK[[#This Row],[Comisión 10%]]</f>
        <v>8.72666666666667</v>
      </c>
      <c r="U323" s="54">
        <f>STOCK[[#This Row],[Costo total]]*1.5</f>
        <v>13.09</v>
      </c>
      <c r="V323" s="54">
        <v>12</v>
      </c>
      <c r="W323" s="54">
        <f>STOCK[[#This Row],[Precio Final]]-STOCK[[#This Row],[Costo total]]</f>
        <v>3.27333333333333</v>
      </c>
      <c r="X323" s="54">
        <f>STOCK[[#This Row],[Ganancia Unitaria]]*STOCK[[#This Row],[Salidas]]</f>
        <v>6.54666666666666</v>
      </c>
      <c r="AA323" s="54">
        <f>STOCK[[#This Row],[Costo total]]*STOCK[[#This Row],[Entradas]]</f>
        <v>34.9066666666667</v>
      </c>
      <c r="AB323" s="54">
        <f>STOCK[[#This Row],[Stock Actual]]*STOCK[[#This Row],[Costo total]]</f>
        <v>17.4533333333333</v>
      </c>
      <c r="AC323" s="54">
        <v>10</v>
      </c>
    </row>
    <row r="324" s="53" customFormat="1" ht="50" customHeight="1" spans="1:29">
      <c r="A324" s="53" t="s">
        <v>679</v>
      </c>
      <c r="B324" s="66"/>
      <c r="C324" s="53" t="s">
        <v>32</v>
      </c>
      <c r="D324" s="53" t="s">
        <v>680</v>
      </c>
      <c r="E324" s="67" t="s">
        <v>678</v>
      </c>
      <c r="F324" s="53" t="s">
        <v>46</v>
      </c>
      <c r="G324" s="53" t="s">
        <v>36</v>
      </c>
      <c r="H324" s="53">
        <f>STOCK[[#This Row],[Precio Final]]</f>
        <v>12</v>
      </c>
      <c r="I324" s="53">
        <f>STOCK[[#This Row],[Precio Venta Ideal (x1.5)]]</f>
        <v>13.09</v>
      </c>
      <c r="J324" s="71">
        <v>4</v>
      </c>
      <c r="K324" s="71">
        <f>SUMIFS(VENTAS[Cantidad],VENTAS[Código del producto Vendido],STOCK[[#This Row],[Code]])</f>
        <v>2</v>
      </c>
      <c r="L324" s="71">
        <f>STOCK[[#This Row],[Entradas]]-STOCK[[#This Row],[Salidas]]</f>
        <v>2</v>
      </c>
      <c r="M324" s="53">
        <f>STOCK[[#This Row],[Precio Final]]*10%</f>
        <v>1.2</v>
      </c>
      <c r="N324" s="53">
        <v>129</v>
      </c>
      <c r="O324" s="53">
        <v>18</v>
      </c>
      <c r="P324" s="53">
        <v>7.16666666666667</v>
      </c>
      <c r="Q324" s="71">
        <v>45</v>
      </c>
      <c r="R324" s="53">
        <v>8</v>
      </c>
      <c r="S324" s="53">
        <f>STOCK[[#This Row],[Peso (g)]]*STOCK[[#This Row],[Precio Envío Kilogramo (USD)]]/1000</f>
        <v>0.36</v>
      </c>
      <c r="T324" s="53">
        <f>STOCK[[#This Row],[Costo Unitario (USD)]]+STOCK[[#This Row],[Costo Envío (USD)]]+STOCK[[#This Row],[Comisión 10%]]</f>
        <v>8.72666666666667</v>
      </c>
      <c r="U324" s="53">
        <f>STOCK[[#This Row],[Costo total]]*1.5</f>
        <v>13.09</v>
      </c>
      <c r="V324" s="53">
        <v>12</v>
      </c>
      <c r="W324" s="53">
        <f>STOCK[[#This Row],[Precio Final]]-STOCK[[#This Row],[Costo total]]</f>
        <v>3.27333333333333</v>
      </c>
      <c r="X324" s="53">
        <f>STOCK[[#This Row],[Ganancia Unitaria]]*STOCK[[#This Row],[Salidas]]</f>
        <v>6.54666666666666</v>
      </c>
      <c r="AA324" s="53">
        <f>STOCK[[#This Row],[Costo total]]*STOCK[[#This Row],[Entradas]]</f>
        <v>34.9066666666667</v>
      </c>
      <c r="AB324" s="53">
        <f>STOCK[[#This Row],[Stock Actual]]*STOCK[[#This Row],[Costo total]]</f>
        <v>17.4533333333333</v>
      </c>
      <c r="AC324" s="53">
        <v>10</v>
      </c>
    </row>
    <row r="325" s="54" customFormat="1" ht="50" customHeight="1" spans="1:28">
      <c r="A325" s="54" t="s">
        <v>681</v>
      </c>
      <c r="B325" s="66"/>
      <c r="C325" s="54" t="s">
        <v>32</v>
      </c>
      <c r="D325" s="54" t="s">
        <v>44</v>
      </c>
      <c r="E325" s="68" t="s">
        <v>682</v>
      </c>
      <c r="F325" s="54" t="s">
        <v>46</v>
      </c>
      <c r="G325" s="54" t="s">
        <v>36</v>
      </c>
      <c r="H325" s="54">
        <f>STOCK[[#This Row],[Precio Final]]</f>
        <v>20</v>
      </c>
      <c r="I325" s="54">
        <f>STOCK[[#This Row],[Precio Venta Ideal (x1.5)]]</f>
        <v>19.0833333333333</v>
      </c>
      <c r="J325" s="72">
        <v>3</v>
      </c>
      <c r="K325" s="72">
        <f>SUMIFS(VENTAS[Cantidad],VENTAS[Código del producto Vendido],STOCK[[#This Row],[Code]])</f>
        <v>3</v>
      </c>
      <c r="L325" s="72">
        <f>STOCK[[#This Row],[Entradas]]-STOCK[[#This Row],[Salidas]]</f>
        <v>0</v>
      </c>
      <c r="M325" s="54">
        <f>STOCK[[#This Row],[Precio Final]]*10%</f>
        <v>2</v>
      </c>
      <c r="N325" s="54">
        <v>166</v>
      </c>
      <c r="O325" s="54">
        <v>18</v>
      </c>
      <c r="P325" s="54">
        <v>9.22222222222222</v>
      </c>
      <c r="Q325" s="72">
        <v>150</v>
      </c>
      <c r="R325" s="54">
        <v>10</v>
      </c>
      <c r="S325" s="54">
        <f>STOCK[[#This Row],[Peso (g)]]*STOCK[[#This Row],[Precio Envío Kilogramo (USD)]]/1000</f>
        <v>1.5</v>
      </c>
      <c r="T325" s="53">
        <f>STOCK[[#This Row],[Costo Unitario (USD)]]+STOCK[[#This Row],[Costo Envío (USD)]]+STOCK[[#This Row],[Comisión 10%]]</f>
        <v>12.7222222222222</v>
      </c>
      <c r="U325" s="54">
        <f>STOCK[[#This Row],[Costo total]]*1.5</f>
        <v>19.0833333333333</v>
      </c>
      <c r="V325" s="54">
        <v>20</v>
      </c>
      <c r="W325" s="54">
        <f>STOCK[[#This Row],[Precio Final]]-STOCK[[#This Row],[Costo total]]</f>
        <v>7.27777777777778</v>
      </c>
      <c r="X325" s="54">
        <f>STOCK[[#This Row],[Ganancia Unitaria]]*STOCK[[#This Row],[Salidas]]</f>
        <v>21.8333333333333</v>
      </c>
      <c r="AA325" s="54">
        <f>STOCK[[#This Row],[Costo total]]*STOCK[[#This Row],[Entradas]]</f>
        <v>38.1666666666667</v>
      </c>
      <c r="AB325" s="54">
        <f>STOCK[[#This Row],[Stock Actual]]*STOCK[[#This Row],[Costo total]]</f>
        <v>0</v>
      </c>
    </row>
    <row r="326" s="53" customFormat="1" ht="50" customHeight="1" spans="1:28">
      <c r="A326" s="53" t="s">
        <v>683</v>
      </c>
      <c r="B326" s="66"/>
      <c r="C326" s="53" t="s">
        <v>32</v>
      </c>
      <c r="D326" s="53" t="s">
        <v>44</v>
      </c>
      <c r="E326" s="67" t="s">
        <v>684</v>
      </c>
      <c r="F326" s="53" t="s">
        <v>49</v>
      </c>
      <c r="G326" s="53" t="s">
        <v>36</v>
      </c>
      <c r="H326" s="53">
        <f>STOCK[[#This Row],[Precio Final]]</f>
        <v>20</v>
      </c>
      <c r="I326" s="53">
        <f>STOCK[[#This Row],[Precio Venta Ideal (x1.5)]]</f>
        <v>19.0833333333333</v>
      </c>
      <c r="J326" s="71">
        <v>3</v>
      </c>
      <c r="K326" s="71">
        <f>SUMIFS(VENTAS[Cantidad],VENTAS[Código del producto Vendido],STOCK[[#This Row],[Code]])</f>
        <v>3</v>
      </c>
      <c r="L326" s="71">
        <f>STOCK[[#This Row],[Entradas]]-STOCK[[#This Row],[Salidas]]</f>
        <v>0</v>
      </c>
      <c r="M326" s="53">
        <f>STOCK[[#This Row],[Precio Final]]*10%</f>
        <v>2</v>
      </c>
      <c r="N326" s="53">
        <v>166</v>
      </c>
      <c r="O326" s="53">
        <v>18</v>
      </c>
      <c r="P326" s="53">
        <v>9.22222222222222</v>
      </c>
      <c r="Q326" s="71">
        <v>150</v>
      </c>
      <c r="R326" s="53">
        <v>10</v>
      </c>
      <c r="S326" s="53">
        <f>STOCK[[#This Row],[Peso (g)]]*STOCK[[#This Row],[Precio Envío Kilogramo (USD)]]/1000</f>
        <v>1.5</v>
      </c>
      <c r="T326" s="53">
        <f>STOCK[[#This Row],[Costo Unitario (USD)]]+STOCK[[#This Row],[Costo Envío (USD)]]+STOCK[[#This Row],[Comisión 10%]]</f>
        <v>12.7222222222222</v>
      </c>
      <c r="U326" s="53">
        <f>STOCK[[#This Row],[Costo total]]*1.5</f>
        <v>19.0833333333333</v>
      </c>
      <c r="V326" s="53">
        <v>20</v>
      </c>
      <c r="W326" s="53">
        <f>STOCK[[#This Row],[Precio Final]]-STOCK[[#This Row],[Costo total]]</f>
        <v>7.27777777777778</v>
      </c>
      <c r="X326" s="53">
        <f>STOCK[[#This Row],[Ganancia Unitaria]]*STOCK[[#This Row],[Salidas]]</f>
        <v>21.8333333333333</v>
      </c>
      <c r="AA326" s="53">
        <f>STOCK[[#This Row],[Costo total]]*STOCK[[#This Row],[Entradas]]</f>
        <v>38.1666666666667</v>
      </c>
      <c r="AB326" s="53">
        <f>STOCK[[#This Row],[Stock Actual]]*STOCK[[#This Row],[Costo total]]</f>
        <v>0</v>
      </c>
    </row>
    <row r="327" s="54" customFormat="1" ht="50" customHeight="1" spans="1:28">
      <c r="A327" s="54" t="s">
        <v>685</v>
      </c>
      <c r="B327" s="66"/>
      <c r="C327" s="54" t="s">
        <v>32</v>
      </c>
      <c r="D327" s="54" t="s">
        <v>174</v>
      </c>
      <c r="E327" s="68" t="s">
        <v>686</v>
      </c>
      <c r="F327" s="54" t="s">
        <v>46</v>
      </c>
      <c r="G327" s="54" t="s">
        <v>36</v>
      </c>
      <c r="H327" s="54">
        <f>STOCK[[#This Row],[Precio Final]]</f>
        <v>9</v>
      </c>
      <c r="I327" s="54">
        <f>STOCK[[#This Row],[Precio Venta Ideal (x1.5)]]</f>
        <v>9.2525</v>
      </c>
      <c r="J327" s="72">
        <v>3</v>
      </c>
      <c r="K327" s="72">
        <f>SUMIFS(VENTAS[Cantidad],VENTAS[Código del producto Vendido],STOCK[[#This Row],[Code]])</f>
        <v>3</v>
      </c>
      <c r="L327" s="72">
        <f>STOCK[[#This Row],[Entradas]]-STOCK[[#This Row],[Salidas]]</f>
        <v>0</v>
      </c>
      <c r="M327" s="54">
        <f>STOCK[[#This Row],[Precio Final]]*10%</f>
        <v>0.9</v>
      </c>
      <c r="N327" s="54">
        <v>88.35</v>
      </c>
      <c r="O327" s="54">
        <v>18</v>
      </c>
      <c r="P327" s="54">
        <v>4.90833333333333</v>
      </c>
      <c r="Q327" s="72">
        <v>45</v>
      </c>
      <c r="R327" s="54">
        <v>8</v>
      </c>
      <c r="S327" s="54">
        <f>STOCK[[#This Row],[Peso (g)]]*STOCK[[#This Row],[Precio Envío Kilogramo (USD)]]/1000</f>
        <v>0.36</v>
      </c>
      <c r="T327" s="53">
        <f>STOCK[[#This Row],[Costo Unitario (USD)]]+STOCK[[#This Row],[Costo Envío (USD)]]+STOCK[[#This Row],[Comisión 10%]]</f>
        <v>6.16833333333333</v>
      </c>
      <c r="U327" s="54">
        <f>STOCK[[#This Row],[Costo total]]*1.5</f>
        <v>9.2525</v>
      </c>
      <c r="V327" s="54">
        <v>9</v>
      </c>
      <c r="W327" s="54">
        <f>STOCK[[#This Row],[Precio Final]]-STOCK[[#This Row],[Costo total]]</f>
        <v>2.83166666666667</v>
      </c>
      <c r="X327" s="54">
        <f>STOCK[[#This Row],[Ganancia Unitaria]]*STOCK[[#This Row],[Salidas]]</f>
        <v>8.49500000000001</v>
      </c>
      <c r="AA327" s="54">
        <f>STOCK[[#This Row],[Costo total]]*STOCK[[#This Row],[Entradas]]</f>
        <v>18.505</v>
      </c>
      <c r="AB327" s="54">
        <f>STOCK[[#This Row],[Stock Actual]]*STOCK[[#This Row],[Costo total]]</f>
        <v>0</v>
      </c>
    </row>
    <row r="328" s="53" customFormat="1" ht="50" customHeight="1" spans="1:29">
      <c r="A328" s="53" t="s">
        <v>687</v>
      </c>
      <c r="B328" s="66"/>
      <c r="C328" s="53" t="s">
        <v>32</v>
      </c>
      <c r="D328" s="53" t="s">
        <v>216</v>
      </c>
      <c r="E328" s="67" t="s">
        <v>688</v>
      </c>
      <c r="F328" s="53" t="s">
        <v>49</v>
      </c>
      <c r="G328" s="53" t="s">
        <v>36</v>
      </c>
      <c r="H328" s="53">
        <f>STOCK[[#This Row],[Precio Final]]</f>
        <v>20</v>
      </c>
      <c r="I328" s="53">
        <f>STOCK[[#This Row],[Precio Venta Ideal (x1.5)]]</f>
        <v>19.25</v>
      </c>
      <c r="J328" s="71">
        <v>2</v>
      </c>
      <c r="K328" s="71">
        <f>SUMIFS(VENTAS[Cantidad],VENTAS[Código del producto Vendido],STOCK[[#This Row],[Code]])</f>
        <v>0</v>
      </c>
      <c r="L328" s="71">
        <f>STOCK[[#This Row],[Entradas]]-STOCK[[#This Row],[Salidas]]</f>
        <v>2</v>
      </c>
      <c r="M328" s="53">
        <f>STOCK[[#This Row],[Precio Final]]*10%</f>
        <v>2</v>
      </c>
      <c r="N328" s="53">
        <v>123</v>
      </c>
      <c r="O328" s="53">
        <v>18</v>
      </c>
      <c r="P328" s="53">
        <v>6.83333333333333</v>
      </c>
      <c r="Q328" s="71">
        <v>500</v>
      </c>
      <c r="R328" s="53">
        <v>8</v>
      </c>
      <c r="S328" s="53">
        <f>STOCK[[#This Row],[Peso (g)]]*STOCK[[#This Row],[Precio Envío Kilogramo (USD)]]/1000</f>
        <v>4</v>
      </c>
      <c r="T328" s="53">
        <f>STOCK[[#This Row],[Costo Unitario (USD)]]+STOCK[[#This Row],[Costo Envío (USD)]]+STOCK[[#This Row],[Comisión 10%]]</f>
        <v>12.8333333333333</v>
      </c>
      <c r="U328" s="53">
        <f>STOCK[[#This Row],[Costo total]]*1.5</f>
        <v>19.25</v>
      </c>
      <c r="V328" s="53">
        <v>20</v>
      </c>
      <c r="W328" s="53">
        <f>STOCK[[#This Row],[Precio Final]]-STOCK[[#This Row],[Costo total]]</f>
        <v>7.16666666666667</v>
      </c>
      <c r="X328" s="53">
        <f>STOCK[[#This Row],[Ganancia Unitaria]]*STOCK[[#This Row],[Salidas]]</f>
        <v>0</v>
      </c>
      <c r="AA328" s="53">
        <f>STOCK[[#This Row],[Costo total]]*STOCK[[#This Row],[Entradas]]</f>
        <v>25.6666666666667</v>
      </c>
      <c r="AB328" s="53">
        <f>STOCK[[#This Row],[Stock Actual]]*STOCK[[#This Row],[Costo total]]</f>
        <v>25.6666666666667</v>
      </c>
      <c r="AC328" s="53">
        <v>18</v>
      </c>
    </row>
    <row r="329" s="53" customFormat="1" ht="50" customHeight="1" spans="1:29">
      <c r="A329" s="53" t="s">
        <v>689</v>
      </c>
      <c r="B329" s="74" t="str">
        <f>_xlfn.DISPIMG("ID_DBBE60A7E968485B9EC6AFFF212E77E0",1)</f>
        <v>=DISPIMG("ID_DBBE60A7E968485B9EC6AFFF212E77E0",1)</v>
      </c>
      <c r="C329" s="53" t="s">
        <v>32</v>
      </c>
      <c r="D329" s="54" t="s">
        <v>196</v>
      </c>
      <c r="E329" s="68" t="s">
        <v>690</v>
      </c>
      <c r="F329" s="53" t="s">
        <v>49</v>
      </c>
      <c r="H329" s="54">
        <f>STOCK[[#This Row],[Precio Final]]</f>
        <v>15</v>
      </c>
      <c r="I329" s="53">
        <f>STOCK[[#This Row],[Precio Venta Ideal (x1.5)]]</f>
        <v>12.825</v>
      </c>
      <c r="J329" s="71">
        <v>1</v>
      </c>
      <c r="K329" s="71">
        <f>SUMIFS(VENTAS[Cantidad],VENTAS[Código del producto Vendido],STOCK[[#This Row],[Code]])</f>
        <v>0</v>
      </c>
      <c r="L329" s="71">
        <f>STOCK[[#This Row],[Entradas]]-STOCK[[#This Row],[Salidas]]</f>
        <v>1</v>
      </c>
      <c r="M329" s="53">
        <f>STOCK[[#This Row],[Precio Final]]*10%</f>
        <v>1.5</v>
      </c>
      <c r="N329" s="53">
        <v>81</v>
      </c>
      <c r="O329" s="54">
        <v>18</v>
      </c>
      <c r="P329" s="53">
        <v>4.5</v>
      </c>
      <c r="Q329" s="71">
        <v>150</v>
      </c>
      <c r="R329" s="53">
        <v>17</v>
      </c>
      <c r="S329" s="53">
        <f>STOCK[[#This Row],[Peso (g)]]*STOCK[[#This Row],[Precio Envío Kilogramo (USD)]]/1000</f>
        <v>2.55</v>
      </c>
      <c r="T329" s="53">
        <f>STOCK[[#This Row],[Costo Unitario (USD)]]+STOCK[[#This Row],[Costo Envío (USD)]]+STOCK[[#This Row],[Comisión 10%]]</f>
        <v>8.55</v>
      </c>
      <c r="U329" s="53">
        <f>STOCK[[#This Row],[Costo total]]*1.5</f>
        <v>12.825</v>
      </c>
      <c r="V329" s="53">
        <v>15</v>
      </c>
      <c r="W329" s="53">
        <f>STOCK[[#This Row],[Precio Final]]-STOCK[[#This Row],[Costo total]]</f>
        <v>6.45</v>
      </c>
      <c r="X329" s="53">
        <f>STOCK[[#This Row],[Ganancia Unitaria]]*STOCK[[#This Row],[Salidas]]</f>
        <v>0</v>
      </c>
      <c r="AA329" s="53">
        <f>STOCK[[#This Row],[Costo total]]*STOCK[[#This Row],[Entradas]]</f>
        <v>8.55</v>
      </c>
      <c r="AB329" s="53">
        <f>STOCK[[#This Row],[Stock Actual]]*STOCK[[#This Row],[Costo total]]</f>
        <v>8.55</v>
      </c>
      <c r="AC329" s="53">
        <v>19</v>
      </c>
    </row>
    <row r="330" s="54" customFormat="1" ht="50" customHeight="1" spans="1:29">
      <c r="A330" s="54" t="s">
        <v>691</v>
      </c>
      <c r="B330" s="74" t="str">
        <f>_xlfn.DISPIMG("ID_DBBE60A7E968485B9EC6AFFF212E77E0",1)</f>
        <v>=DISPIMG("ID_DBBE60A7E968485B9EC6AFFF212E77E0",1)</v>
      </c>
      <c r="C330" s="54" t="s">
        <v>32</v>
      </c>
      <c r="D330" s="54" t="s">
        <v>196</v>
      </c>
      <c r="E330" s="68" t="s">
        <v>690</v>
      </c>
      <c r="F330" s="54" t="s">
        <v>62</v>
      </c>
      <c r="G330" s="54" t="s">
        <v>36</v>
      </c>
      <c r="H330" s="54">
        <f>STOCK[[#This Row],[Precio Final]]</f>
        <v>15</v>
      </c>
      <c r="I330" s="54">
        <f>STOCK[[#This Row],[Precio Venta Ideal (x1.5)]]</f>
        <v>12.825</v>
      </c>
      <c r="J330" s="72">
        <v>1</v>
      </c>
      <c r="K330" s="72">
        <f>SUMIFS(VENTAS[Cantidad],VENTAS[Código del producto Vendido],STOCK[[#This Row],[Code]])</f>
        <v>1</v>
      </c>
      <c r="L330" s="72">
        <f>STOCK[[#This Row],[Entradas]]-STOCK[[#This Row],[Salidas]]</f>
        <v>0</v>
      </c>
      <c r="M330" s="54">
        <f>STOCK[[#This Row],[Precio Final]]*10%</f>
        <v>1.5</v>
      </c>
      <c r="N330" s="54">
        <v>81</v>
      </c>
      <c r="O330" s="54">
        <v>18</v>
      </c>
      <c r="P330" s="54">
        <v>4.5</v>
      </c>
      <c r="Q330" s="72">
        <v>150</v>
      </c>
      <c r="R330" s="54">
        <v>17</v>
      </c>
      <c r="S330" s="54">
        <f>STOCK[[#This Row],[Peso (g)]]*STOCK[[#This Row],[Precio Envío Kilogramo (USD)]]/1000</f>
        <v>2.55</v>
      </c>
      <c r="T330" s="53">
        <f>STOCK[[#This Row],[Costo Unitario (USD)]]+STOCK[[#This Row],[Costo Envío (USD)]]+STOCK[[#This Row],[Comisión 10%]]</f>
        <v>8.55</v>
      </c>
      <c r="U330" s="54">
        <f>STOCK[[#This Row],[Costo total]]*1.5</f>
        <v>12.825</v>
      </c>
      <c r="V330" s="54">
        <v>15</v>
      </c>
      <c r="W330" s="54">
        <f>STOCK[[#This Row],[Precio Final]]-STOCK[[#This Row],[Costo total]]</f>
        <v>6.45</v>
      </c>
      <c r="X330" s="54">
        <f>STOCK[[#This Row],[Ganancia Unitaria]]*STOCK[[#This Row],[Salidas]]</f>
        <v>6.45</v>
      </c>
      <c r="AA330" s="54">
        <f>STOCK[[#This Row],[Costo total]]*STOCK[[#This Row],[Entradas]]</f>
        <v>8.55</v>
      </c>
      <c r="AB330" s="54">
        <f>STOCK[[#This Row],[Stock Actual]]*STOCK[[#This Row],[Costo total]]</f>
        <v>0</v>
      </c>
      <c r="AC330" s="54">
        <v>12</v>
      </c>
    </row>
    <row r="331" s="53" customFormat="1" ht="50" customHeight="1" spans="1:28">
      <c r="A331" s="53" t="s">
        <v>692</v>
      </c>
      <c r="B331" s="66"/>
      <c r="C331" s="53" t="s">
        <v>32</v>
      </c>
      <c r="D331" s="53" t="s">
        <v>44</v>
      </c>
      <c r="E331" s="67" t="s">
        <v>693</v>
      </c>
      <c r="F331" s="53" t="s">
        <v>40</v>
      </c>
      <c r="G331" s="53" t="s">
        <v>36</v>
      </c>
      <c r="H331" s="53">
        <f>STOCK[[#This Row],[Precio Final]]</f>
        <v>11</v>
      </c>
      <c r="I331" s="53">
        <f>STOCK[[#This Row],[Precio Venta Ideal (x1.5)]]</f>
        <v>11.975</v>
      </c>
      <c r="J331" s="71">
        <v>2</v>
      </c>
      <c r="K331" s="71">
        <f>SUMIFS(VENTAS[Cantidad],VENTAS[Código del producto Vendido],STOCK[[#This Row],[Code]])</f>
        <v>2</v>
      </c>
      <c r="L331" s="71">
        <f>STOCK[[#This Row],[Entradas]]-STOCK[[#This Row],[Salidas]]</f>
        <v>0</v>
      </c>
      <c r="M331" s="53">
        <f>STOCK[[#This Row],[Precio Final]]*10%</f>
        <v>1.1</v>
      </c>
      <c r="N331" s="53">
        <v>78</v>
      </c>
      <c r="O331" s="53">
        <v>18</v>
      </c>
      <c r="P331" s="53">
        <v>4.33333333333333</v>
      </c>
      <c r="Q331" s="71">
        <v>150</v>
      </c>
      <c r="R331" s="53">
        <v>17</v>
      </c>
      <c r="S331" s="53">
        <f>STOCK[[#This Row],[Peso (g)]]*STOCK[[#This Row],[Precio Envío Kilogramo (USD)]]/1000</f>
        <v>2.55</v>
      </c>
      <c r="T331" s="53">
        <f>STOCK[[#This Row],[Costo Unitario (USD)]]+STOCK[[#This Row],[Costo Envío (USD)]]+STOCK[[#This Row],[Comisión 10%]]</f>
        <v>7.98333333333333</v>
      </c>
      <c r="U331" s="53">
        <f>STOCK[[#This Row],[Costo total]]*1.5</f>
        <v>11.975</v>
      </c>
      <c r="V331" s="53">
        <v>11</v>
      </c>
      <c r="W331" s="53">
        <f>STOCK[[#This Row],[Precio Final]]-STOCK[[#This Row],[Costo total]]</f>
        <v>3.01666666666667</v>
      </c>
      <c r="X331" s="53">
        <f>STOCK[[#This Row],[Ganancia Unitaria]]*STOCK[[#This Row],[Salidas]]</f>
        <v>6.03333333333334</v>
      </c>
      <c r="AA331" s="53">
        <f>STOCK[[#This Row],[Costo total]]*STOCK[[#This Row],[Entradas]]</f>
        <v>15.9666666666667</v>
      </c>
      <c r="AB331" s="53">
        <f>STOCK[[#This Row],[Stock Actual]]*STOCK[[#This Row],[Costo total]]</f>
        <v>0</v>
      </c>
    </row>
    <row r="332" s="54" customFormat="1" ht="50" customHeight="1" spans="1:28">
      <c r="A332" s="54" t="s">
        <v>694</v>
      </c>
      <c r="B332" s="66"/>
      <c r="C332" s="54" t="s">
        <v>32</v>
      </c>
      <c r="D332" s="54" t="s">
        <v>44</v>
      </c>
      <c r="E332" s="68" t="s">
        <v>695</v>
      </c>
      <c r="F332" s="54" t="s">
        <v>62</v>
      </c>
      <c r="G332" s="54" t="s">
        <v>36</v>
      </c>
      <c r="H332" s="54">
        <f>STOCK[[#This Row],[Precio Final]]</f>
        <v>5</v>
      </c>
      <c r="I332" s="54">
        <f>STOCK[[#This Row],[Precio Venta Ideal (x1.5)]]</f>
        <v>11.4083333333333</v>
      </c>
      <c r="J332" s="72">
        <v>2</v>
      </c>
      <c r="K332" s="72">
        <f>SUMIFS(VENTAS[Cantidad],VENTAS[Código del producto Vendido],STOCK[[#This Row],[Code]])</f>
        <v>2</v>
      </c>
      <c r="L332" s="72">
        <f>STOCK[[#This Row],[Entradas]]-STOCK[[#This Row],[Salidas]]</f>
        <v>0</v>
      </c>
      <c r="M332" s="54">
        <f>STOCK[[#This Row],[Precio Final]]*10%</f>
        <v>0.5</v>
      </c>
      <c r="N332" s="54">
        <v>82</v>
      </c>
      <c r="O332" s="54">
        <v>18</v>
      </c>
      <c r="P332" s="54">
        <v>4.55555555555556</v>
      </c>
      <c r="Q332" s="72">
        <v>150</v>
      </c>
      <c r="R332" s="54">
        <v>17</v>
      </c>
      <c r="S332" s="54">
        <f>STOCK[[#This Row],[Peso (g)]]*STOCK[[#This Row],[Precio Envío Kilogramo (USD)]]/1000</f>
        <v>2.55</v>
      </c>
      <c r="T332" s="53">
        <f>STOCK[[#This Row],[Costo Unitario (USD)]]+STOCK[[#This Row],[Costo Envío (USD)]]+STOCK[[#This Row],[Comisión 10%]]</f>
        <v>7.60555555555556</v>
      </c>
      <c r="U332" s="54">
        <f>STOCK[[#This Row],[Costo total]]*1.5</f>
        <v>11.4083333333333</v>
      </c>
      <c r="V332" s="54">
        <v>5</v>
      </c>
      <c r="W332" s="54">
        <f>STOCK[[#This Row],[Precio Final]]-STOCK[[#This Row],[Costo total]]</f>
        <v>-2.60555555555556</v>
      </c>
      <c r="X332" s="54">
        <f>STOCK[[#This Row],[Ganancia Unitaria]]*STOCK[[#This Row],[Salidas]]</f>
        <v>-5.21111111111112</v>
      </c>
      <c r="AA332" s="54">
        <f>STOCK[[#This Row],[Costo total]]*STOCK[[#This Row],[Entradas]]</f>
        <v>15.2111111111111</v>
      </c>
      <c r="AB332" s="54">
        <f>STOCK[[#This Row],[Stock Actual]]*STOCK[[#This Row],[Costo total]]</f>
        <v>0</v>
      </c>
    </row>
    <row r="333" s="53" customFormat="1" ht="50" customHeight="1" spans="1:28">
      <c r="A333" s="53" t="s">
        <v>696</v>
      </c>
      <c r="B333" s="66"/>
      <c r="C333" s="53" t="s">
        <v>32</v>
      </c>
      <c r="D333" s="53" t="s">
        <v>44</v>
      </c>
      <c r="E333" s="67" t="s">
        <v>697</v>
      </c>
      <c r="F333" s="53" t="s">
        <v>211</v>
      </c>
      <c r="G333" s="53" t="s">
        <v>36</v>
      </c>
      <c r="H333" s="53">
        <f>STOCK[[#This Row],[Precio Final]]</f>
        <v>10</v>
      </c>
      <c r="I333" s="53">
        <f>STOCK[[#This Row],[Precio Venta Ideal (x1.5)]]</f>
        <v>12.1583333333333</v>
      </c>
      <c r="J333" s="71">
        <v>2</v>
      </c>
      <c r="K333" s="71">
        <f>SUMIFS(VENTAS[Cantidad],VENTAS[Código del producto Vendido],STOCK[[#This Row],[Code]])</f>
        <v>2</v>
      </c>
      <c r="L333" s="71">
        <f>STOCK[[#This Row],[Entradas]]-STOCK[[#This Row],[Salidas]]</f>
        <v>0</v>
      </c>
      <c r="M333" s="53">
        <f>STOCK[[#This Row],[Precio Final]]*10%</f>
        <v>1</v>
      </c>
      <c r="N333" s="53">
        <v>82</v>
      </c>
      <c r="O333" s="53">
        <v>18</v>
      </c>
      <c r="P333" s="53">
        <v>4.55555555555556</v>
      </c>
      <c r="Q333" s="71">
        <v>150</v>
      </c>
      <c r="R333" s="53">
        <v>17</v>
      </c>
      <c r="S333" s="53">
        <f>STOCK[[#This Row],[Peso (g)]]*STOCK[[#This Row],[Precio Envío Kilogramo (USD)]]/1000</f>
        <v>2.55</v>
      </c>
      <c r="T333" s="53">
        <f>STOCK[[#This Row],[Costo Unitario (USD)]]+STOCK[[#This Row],[Costo Envío (USD)]]+STOCK[[#This Row],[Comisión 10%]]</f>
        <v>8.10555555555556</v>
      </c>
      <c r="U333" s="53">
        <f>STOCK[[#This Row],[Costo total]]*1.5</f>
        <v>12.1583333333333</v>
      </c>
      <c r="V333" s="53">
        <v>10</v>
      </c>
      <c r="W333" s="53">
        <f>STOCK[[#This Row],[Precio Final]]-STOCK[[#This Row],[Costo total]]</f>
        <v>1.89444444444444</v>
      </c>
      <c r="X333" s="53">
        <f>STOCK[[#This Row],[Ganancia Unitaria]]*STOCK[[#This Row],[Salidas]]</f>
        <v>3.78888888888888</v>
      </c>
      <c r="AA333" s="53">
        <f>STOCK[[#This Row],[Costo total]]*STOCK[[#This Row],[Entradas]]</f>
        <v>16.2111111111111</v>
      </c>
      <c r="AB333" s="53">
        <f>STOCK[[#This Row],[Stock Actual]]*STOCK[[#This Row],[Costo total]]</f>
        <v>0</v>
      </c>
    </row>
    <row r="334" s="54" customFormat="1" ht="50" customHeight="1" spans="1:28">
      <c r="A334" s="54" t="s">
        <v>698</v>
      </c>
      <c r="B334" s="66"/>
      <c r="C334" s="54" t="s">
        <v>32</v>
      </c>
      <c r="D334" s="54" t="s">
        <v>44</v>
      </c>
      <c r="E334" s="68" t="s">
        <v>699</v>
      </c>
      <c r="F334" s="54" t="s">
        <v>40</v>
      </c>
      <c r="G334" s="54" t="s">
        <v>36</v>
      </c>
      <c r="H334" s="54">
        <f>STOCK[[#This Row],[Precio Final]]</f>
        <v>10</v>
      </c>
      <c r="I334" s="54">
        <f>STOCK[[#This Row],[Precio Venta Ideal (x1.5)]]</f>
        <v>12.1583333333333</v>
      </c>
      <c r="J334" s="72">
        <v>2</v>
      </c>
      <c r="K334" s="72">
        <f>SUMIFS(VENTAS[Cantidad],VENTAS[Código del producto Vendido],STOCK[[#This Row],[Code]])</f>
        <v>2</v>
      </c>
      <c r="L334" s="72">
        <f>STOCK[[#This Row],[Entradas]]-STOCK[[#This Row],[Salidas]]</f>
        <v>0</v>
      </c>
      <c r="M334" s="54">
        <f>STOCK[[#This Row],[Precio Final]]*10%</f>
        <v>1</v>
      </c>
      <c r="N334" s="54">
        <v>82</v>
      </c>
      <c r="O334" s="54">
        <v>18</v>
      </c>
      <c r="P334" s="54">
        <v>4.55555555555556</v>
      </c>
      <c r="Q334" s="72">
        <v>150</v>
      </c>
      <c r="R334" s="54">
        <v>17</v>
      </c>
      <c r="S334" s="54">
        <f>STOCK[[#This Row],[Peso (g)]]*STOCK[[#This Row],[Precio Envío Kilogramo (USD)]]/1000</f>
        <v>2.55</v>
      </c>
      <c r="T334" s="53">
        <f>STOCK[[#This Row],[Costo Unitario (USD)]]+STOCK[[#This Row],[Costo Envío (USD)]]+STOCK[[#This Row],[Comisión 10%]]</f>
        <v>8.10555555555556</v>
      </c>
      <c r="U334" s="54">
        <f>STOCK[[#This Row],[Costo total]]*1.5</f>
        <v>12.1583333333333</v>
      </c>
      <c r="V334" s="54">
        <v>10</v>
      </c>
      <c r="W334" s="54">
        <f>STOCK[[#This Row],[Precio Final]]-STOCK[[#This Row],[Costo total]]</f>
        <v>1.89444444444444</v>
      </c>
      <c r="X334" s="54">
        <f>STOCK[[#This Row],[Ganancia Unitaria]]*STOCK[[#This Row],[Salidas]]</f>
        <v>3.78888888888888</v>
      </c>
      <c r="AA334" s="54">
        <f>STOCK[[#This Row],[Costo total]]*STOCK[[#This Row],[Entradas]]</f>
        <v>16.2111111111111</v>
      </c>
      <c r="AB334" s="54">
        <f>STOCK[[#This Row],[Stock Actual]]*STOCK[[#This Row],[Costo total]]</f>
        <v>0</v>
      </c>
    </row>
    <row r="335" s="53" customFormat="1" ht="50" customHeight="1" spans="1:29">
      <c r="A335" s="53" t="s">
        <v>700</v>
      </c>
      <c r="B335" s="66"/>
      <c r="C335" s="53" t="s">
        <v>32</v>
      </c>
      <c r="D335" s="53" t="s">
        <v>216</v>
      </c>
      <c r="E335" s="67" t="s">
        <v>701</v>
      </c>
      <c r="F335" s="53" t="s">
        <v>49</v>
      </c>
      <c r="G335" s="53" t="s">
        <v>36</v>
      </c>
      <c r="H335" s="53">
        <f>STOCK[[#This Row],[Precio Final]]</f>
        <v>15</v>
      </c>
      <c r="I335" s="53">
        <f>STOCK[[#This Row],[Precio Venta Ideal (x1.5)]]</f>
        <v>12.9083333333333</v>
      </c>
      <c r="J335" s="71">
        <v>2</v>
      </c>
      <c r="K335" s="71">
        <f>SUMIFS(VENTAS[Cantidad],VENTAS[Código del producto Vendido],STOCK[[#This Row],[Code]])</f>
        <v>0</v>
      </c>
      <c r="L335" s="71">
        <f>STOCK[[#This Row],[Entradas]]-STOCK[[#This Row],[Salidas]]</f>
        <v>2</v>
      </c>
      <c r="M335" s="53">
        <f>STOCK[[#This Row],[Precio Final]]*10%</f>
        <v>1.5</v>
      </c>
      <c r="N335" s="53">
        <v>82</v>
      </c>
      <c r="O335" s="53">
        <v>18</v>
      </c>
      <c r="P335" s="53">
        <v>4.55555555555556</v>
      </c>
      <c r="Q335" s="71">
        <v>150</v>
      </c>
      <c r="R335" s="53">
        <v>17</v>
      </c>
      <c r="S335" s="53">
        <f>STOCK[[#This Row],[Peso (g)]]*STOCK[[#This Row],[Precio Envío Kilogramo (USD)]]/1000</f>
        <v>2.55</v>
      </c>
      <c r="T335" s="53">
        <f>STOCK[[#This Row],[Costo Unitario (USD)]]+STOCK[[#This Row],[Costo Envío (USD)]]+STOCK[[#This Row],[Comisión 10%]]</f>
        <v>8.60555555555556</v>
      </c>
      <c r="U335" s="53">
        <f>STOCK[[#This Row],[Costo total]]*1.5</f>
        <v>12.9083333333333</v>
      </c>
      <c r="V335" s="53">
        <v>15</v>
      </c>
      <c r="W335" s="53">
        <f>STOCK[[#This Row],[Precio Final]]-STOCK[[#This Row],[Costo total]]</f>
        <v>6.39444444444444</v>
      </c>
      <c r="X335" s="53">
        <f>STOCK[[#This Row],[Ganancia Unitaria]]*STOCK[[#This Row],[Salidas]]</f>
        <v>0</v>
      </c>
      <c r="AA335" s="53">
        <f>STOCK[[#This Row],[Costo total]]*STOCK[[#This Row],[Entradas]]</f>
        <v>17.2111111111111</v>
      </c>
      <c r="AB335" s="53">
        <f>STOCK[[#This Row],[Stock Actual]]*STOCK[[#This Row],[Costo total]]</f>
        <v>17.2111111111111</v>
      </c>
      <c r="AC335" s="53">
        <v>12</v>
      </c>
    </row>
    <row r="336" s="54" customFormat="1" ht="50" customHeight="1" spans="1:28">
      <c r="A336" s="54" t="s">
        <v>702</v>
      </c>
      <c r="B336" s="66"/>
      <c r="C336" s="54" t="s">
        <v>32</v>
      </c>
      <c r="D336" s="54" t="s">
        <v>44</v>
      </c>
      <c r="E336" s="68" t="s">
        <v>703</v>
      </c>
      <c r="F336" s="54" t="s">
        <v>40</v>
      </c>
      <c r="G336" s="54" t="s">
        <v>704</v>
      </c>
      <c r="H336" s="54">
        <f>STOCK[[#This Row],[Precio Final]]</f>
        <v>18</v>
      </c>
      <c r="I336" s="54">
        <f>STOCK[[#This Row],[Precio Venta Ideal (x1.5)]]</f>
        <v>28.305</v>
      </c>
      <c r="J336" s="72">
        <v>1</v>
      </c>
      <c r="K336" s="72">
        <f>SUMIFS(VENTAS[Cantidad],VENTAS[Código del producto Vendido],STOCK[[#This Row],[Code]])</f>
        <v>1</v>
      </c>
      <c r="L336" s="72">
        <f>STOCK[[#This Row],[Entradas]]-STOCK[[#This Row],[Salidas]]</f>
        <v>0</v>
      </c>
      <c r="M336" s="54">
        <f>STOCK[[#This Row],[Precio Final]]*10%</f>
        <v>1.8</v>
      </c>
      <c r="N336" s="54">
        <v>248</v>
      </c>
      <c r="O336" s="54">
        <v>18</v>
      </c>
      <c r="P336" s="54">
        <v>15.57</v>
      </c>
      <c r="Q336" s="72">
        <v>150</v>
      </c>
      <c r="R336" s="54">
        <v>10</v>
      </c>
      <c r="S336" s="54">
        <f>STOCK[[#This Row],[Peso (g)]]*STOCK[[#This Row],[Precio Envío Kilogramo (USD)]]/1000</f>
        <v>1.5</v>
      </c>
      <c r="T336" s="53">
        <f>STOCK[[#This Row],[Costo Unitario (USD)]]+STOCK[[#This Row],[Costo Envío (USD)]]+STOCK[[#This Row],[Comisión 10%]]</f>
        <v>18.87</v>
      </c>
      <c r="U336" s="54">
        <f>STOCK[[#This Row],[Costo total]]*1.5</f>
        <v>28.305</v>
      </c>
      <c r="V336" s="54">
        <v>18</v>
      </c>
      <c r="W336" s="54">
        <f>STOCK[[#This Row],[Precio Final]]-STOCK[[#This Row],[Costo total]]</f>
        <v>-0.870000000000001</v>
      </c>
      <c r="X336" s="54">
        <f>STOCK[[#This Row],[Ganancia Unitaria]]*STOCK[[#This Row],[Salidas]]</f>
        <v>-0.870000000000001</v>
      </c>
      <c r="AA336" s="54">
        <f>STOCK[[#This Row],[Costo total]]*STOCK[[#This Row],[Entradas]]</f>
        <v>18.87</v>
      </c>
      <c r="AB336" s="54">
        <f>STOCK[[#This Row],[Stock Actual]]*STOCK[[#This Row],[Costo total]]</f>
        <v>0</v>
      </c>
    </row>
    <row r="337" s="53" customFormat="1" ht="50" customHeight="1" spans="1:29">
      <c r="A337" s="53" t="s">
        <v>705</v>
      </c>
      <c r="B337" s="66"/>
      <c r="C337" s="53" t="s">
        <v>32</v>
      </c>
      <c r="D337" s="53" t="s">
        <v>706</v>
      </c>
      <c r="E337" s="67" t="s">
        <v>707</v>
      </c>
      <c r="F337" s="53" t="s">
        <v>40</v>
      </c>
      <c r="G337" s="53" t="s">
        <v>704</v>
      </c>
      <c r="H337" s="53">
        <f>STOCK[[#This Row],[Precio Final]]</f>
        <v>15</v>
      </c>
      <c r="I337" s="53">
        <f>STOCK[[#This Row],[Precio Venta Ideal (x1.5)]]</f>
        <v>14.85</v>
      </c>
      <c r="J337" s="71">
        <v>1</v>
      </c>
      <c r="K337" s="71">
        <f>SUMIFS(VENTAS[Cantidad],VENTAS[Código del producto Vendido],STOCK[[#This Row],[Code]])</f>
        <v>0</v>
      </c>
      <c r="L337" s="71">
        <f>STOCK[[#This Row],[Entradas]]-STOCK[[#This Row],[Salidas]]</f>
        <v>1</v>
      </c>
      <c r="M337" s="53">
        <f>STOCK[[#This Row],[Precio Final]]*10%</f>
        <v>1.5</v>
      </c>
      <c r="N337" s="53">
        <v>129</v>
      </c>
      <c r="O337" s="53">
        <v>18</v>
      </c>
      <c r="P337" s="53">
        <v>8</v>
      </c>
      <c r="Q337" s="71">
        <v>40</v>
      </c>
      <c r="R337" s="53">
        <v>10</v>
      </c>
      <c r="S337" s="53">
        <f>STOCK[[#This Row],[Peso (g)]]*STOCK[[#This Row],[Precio Envío Kilogramo (USD)]]/1000</f>
        <v>0.4</v>
      </c>
      <c r="T337" s="53">
        <f>STOCK[[#This Row],[Costo Unitario (USD)]]+STOCK[[#This Row],[Costo Envío (USD)]]+STOCK[[#This Row],[Comisión 10%]]</f>
        <v>9.9</v>
      </c>
      <c r="U337" s="53">
        <f>STOCK[[#This Row],[Costo total]]*1.5</f>
        <v>14.85</v>
      </c>
      <c r="V337" s="53">
        <v>15</v>
      </c>
      <c r="W337" s="53">
        <f>STOCK[[#This Row],[Precio Final]]-STOCK[[#This Row],[Costo total]]</f>
        <v>5.1</v>
      </c>
      <c r="X337" s="53">
        <f>STOCK[[#This Row],[Ganancia Unitaria]]*STOCK[[#This Row],[Salidas]]</f>
        <v>0</v>
      </c>
      <c r="AA337" s="53">
        <f>STOCK[[#This Row],[Costo total]]*STOCK[[#This Row],[Entradas]]</f>
        <v>9.9</v>
      </c>
      <c r="AB337" s="53">
        <f>STOCK[[#This Row],[Stock Actual]]*STOCK[[#This Row],[Costo total]]</f>
        <v>9.9</v>
      </c>
      <c r="AC337" s="53">
        <v>12</v>
      </c>
    </row>
    <row r="338" s="54" customFormat="1" ht="50" customHeight="1" spans="1:28">
      <c r="A338" s="54" t="s">
        <v>708</v>
      </c>
      <c r="B338" s="66"/>
      <c r="C338" s="54" t="s">
        <v>32</v>
      </c>
      <c r="D338" s="54" t="s">
        <v>174</v>
      </c>
      <c r="E338" s="68" t="s">
        <v>709</v>
      </c>
      <c r="F338" s="54" t="s">
        <v>40</v>
      </c>
      <c r="G338" s="54" t="s">
        <v>704</v>
      </c>
      <c r="H338" s="54">
        <f>STOCK[[#This Row],[Precio Final]]</f>
        <v>17</v>
      </c>
      <c r="I338" s="54">
        <f>STOCK[[#This Row],[Precio Venta Ideal (x1.5)]]</f>
        <v>19.65</v>
      </c>
      <c r="J338" s="72">
        <v>1</v>
      </c>
      <c r="K338" s="72">
        <f>SUMIFS(VENTAS[Cantidad],VENTAS[Código del producto Vendido],STOCK[[#This Row],[Code]])</f>
        <v>1</v>
      </c>
      <c r="L338" s="72">
        <f>STOCK[[#This Row],[Entradas]]-STOCK[[#This Row],[Salidas]]</f>
        <v>0</v>
      </c>
      <c r="M338" s="54">
        <f>STOCK[[#This Row],[Precio Final]]*10%</f>
        <v>1.7</v>
      </c>
      <c r="N338" s="54">
        <v>198</v>
      </c>
      <c r="O338" s="54">
        <v>18</v>
      </c>
      <c r="P338" s="54">
        <v>11</v>
      </c>
      <c r="Q338" s="72">
        <v>40</v>
      </c>
      <c r="R338" s="54">
        <v>10</v>
      </c>
      <c r="S338" s="54">
        <f>STOCK[[#This Row],[Peso (g)]]*STOCK[[#This Row],[Precio Envío Kilogramo (USD)]]/1000</f>
        <v>0.4</v>
      </c>
      <c r="T338" s="53">
        <f>STOCK[[#This Row],[Costo Unitario (USD)]]+STOCK[[#This Row],[Costo Envío (USD)]]+STOCK[[#This Row],[Comisión 10%]]</f>
        <v>13.1</v>
      </c>
      <c r="U338" s="54">
        <f>STOCK[[#This Row],[Costo total]]*1.5</f>
        <v>19.65</v>
      </c>
      <c r="V338" s="54">
        <v>17</v>
      </c>
      <c r="W338" s="54">
        <f>STOCK[[#This Row],[Precio Final]]-STOCK[[#This Row],[Costo total]]</f>
        <v>3.9</v>
      </c>
      <c r="X338" s="54">
        <f>STOCK[[#This Row],[Ganancia Unitaria]]*STOCK[[#This Row],[Salidas]]</f>
        <v>3.9</v>
      </c>
      <c r="AA338" s="54">
        <f>STOCK[[#This Row],[Costo total]]*STOCK[[#This Row],[Entradas]]</f>
        <v>13.1</v>
      </c>
      <c r="AB338" s="54">
        <f>STOCK[[#This Row],[Stock Actual]]*STOCK[[#This Row],[Costo total]]</f>
        <v>0</v>
      </c>
    </row>
    <row r="339" s="53" customFormat="1" ht="50" customHeight="1" spans="1:29">
      <c r="A339" s="53" t="s">
        <v>710</v>
      </c>
      <c r="B339" s="66"/>
      <c r="C339" s="53" t="s">
        <v>32</v>
      </c>
      <c r="D339" s="53" t="s">
        <v>711</v>
      </c>
      <c r="E339" s="67" t="s">
        <v>712</v>
      </c>
      <c r="F339" s="53" t="s">
        <v>40</v>
      </c>
      <c r="G339" s="53" t="s">
        <v>704</v>
      </c>
      <c r="H339" s="53">
        <f>STOCK[[#This Row],[Precio Final]]</f>
        <v>50</v>
      </c>
      <c r="I339" s="53">
        <f>STOCK[[#This Row],[Precio Venta Ideal (x1.5)]]</f>
        <v>54.1666666666667</v>
      </c>
      <c r="J339" s="71">
        <v>1</v>
      </c>
      <c r="K339" s="71">
        <f>SUMIFS(VENTAS[Cantidad],VENTAS[Código del producto Vendido],STOCK[[#This Row],[Code]])</f>
        <v>0</v>
      </c>
      <c r="L339" s="71">
        <f>STOCK[[#This Row],[Entradas]]-STOCK[[#This Row],[Salidas]]</f>
        <v>1</v>
      </c>
      <c r="M339" s="53">
        <f>STOCK[[#This Row],[Precio Final]]*10%</f>
        <v>5</v>
      </c>
      <c r="N339" s="53">
        <v>497</v>
      </c>
      <c r="O339" s="53">
        <v>18</v>
      </c>
      <c r="P339" s="53">
        <v>27.6111111111111</v>
      </c>
      <c r="Q339" s="71">
        <v>350</v>
      </c>
      <c r="R339" s="53">
        <v>10</v>
      </c>
      <c r="S339" s="53">
        <f>STOCK[[#This Row],[Peso (g)]]*STOCK[[#This Row],[Precio Envío Kilogramo (USD)]]/1000</f>
        <v>3.5</v>
      </c>
      <c r="T339" s="53">
        <f>STOCK[[#This Row],[Costo Unitario (USD)]]+STOCK[[#This Row],[Costo Envío (USD)]]+STOCK[[#This Row],[Comisión 10%]]</f>
        <v>36.1111111111111</v>
      </c>
      <c r="U339" s="53">
        <f>STOCK[[#This Row],[Costo total]]*1.5</f>
        <v>54.1666666666667</v>
      </c>
      <c r="V339" s="53">
        <v>50</v>
      </c>
      <c r="W339" s="53">
        <f>STOCK[[#This Row],[Precio Final]]-STOCK[[#This Row],[Costo total]]</f>
        <v>13.8888888888889</v>
      </c>
      <c r="X339" s="53">
        <f>STOCK[[#This Row],[Ganancia Unitaria]]*STOCK[[#This Row],[Salidas]]</f>
        <v>0</v>
      </c>
      <c r="AA339" s="53">
        <f>STOCK[[#This Row],[Costo total]]*STOCK[[#This Row],[Entradas]]</f>
        <v>36.1111111111111</v>
      </c>
      <c r="AB339" s="53">
        <f>STOCK[[#This Row],[Stock Actual]]*STOCK[[#This Row],[Costo total]]</f>
        <v>36.1111111111111</v>
      </c>
      <c r="AC339" s="53">
        <v>40</v>
      </c>
    </row>
    <row r="340" s="54" customFormat="1" ht="50" customHeight="1" spans="1:29">
      <c r="A340" s="54" t="s">
        <v>713</v>
      </c>
      <c r="B340" s="66"/>
      <c r="C340" s="54" t="s">
        <v>32</v>
      </c>
      <c r="D340" s="53" t="s">
        <v>714</v>
      </c>
      <c r="E340" s="68" t="s">
        <v>715</v>
      </c>
      <c r="F340" s="54" t="s">
        <v>716</v>
      </c>
      <c r="G340" s="54" t="s">
        <v>704</v>
      </c>
      <c r="H340" s="54">
        <f>STOCK[[#This Row],[Precio Final]]</f>
        <v>20</v>
      </c>
      <c r="I340" s="54">
        <f>STOCK[[#This Row],[Precio Venta Ideal (x1.5)]]</f>
        <v>22.4166666666667</v>
      </c>
      <c r="J340" s="72">
        <v>2</v>
      </c>
      <c r="K340" s="72">
        <f>SUMIFS(VENTAS[Cantidad],VENTAS[Código del producto Vendido],STOCK[[#This Row],[Code]])</f>
        <v>0</v>
      </c>
      <c r="L340" s="72">
        <f>STOCK[[#This Row],[Entradas]]-STOCK[[#This Row],[Salidas]]</f>
        <v>2</v>
      </c>
      <c r="M340" s="54">
        <f>STOCK[[#This Row],[Precio Final]]*10%</f>
        <v>2</v>
      </c>
      <c r="N340" s="54">
        <v>170</v>
      </c>
      <c r="O340" s="54">
        <v>18</v>
      </c>
      <c r="P340" s="54">
        <v>9.44444444444444</v>
      </c>
      <c r="Q340" s="72">
        <v>350</v>
      </c>
      <c r="R340" s="54">
        <v>10</v>
      </c>
      <c r="S340" s="54">
        <f>STOCK[[#This Row],[Peso (g)]]*STOCK[[#This Row],[Precio Envío Kilogramo (USD)]]/1000</f>
        <v>3.5</v>
      </c>
      <c r="T340" s="53">
        <f>STOCK[[#This Row],[Costo Unitario (USD)]]+STOCK[[#This Row],[Costo Envío (USD)]]+STOCK[[#This Row],[Comisión 10%]]</f>
        <v>14.9444444444444</v>
      </c>
      <c r="U340" s="54">
        <f>STOCK[[#This Row],[Costo total]]*1.5</f>
        <v>22.4166666666667</v>
      </c>
      <c r="V340" s="54">
        <v>20</v>
      </c>
      <c r="W340" s="54">
        <f>STOCK[[#This Row],[Precio Final]]-STOCK[[#This Row],[Costo total]]</f>
        <v>5.05555555555556</v>
      </c>
      <c r="X340" s="54">
        <f>STOCK[[#This Row],[Ganancia Unitaria]]*STOCK[[#This Row],[Salidas]]</f>
        <v>0</v>
      </c>
      <c r="AA340" s="54">
        <f>STOCK[[#This Row],[Costo total]]*STOCK[[#This Row],[Entradas]]</f>
        <v>29.8888888888889</v>
      </c>
      <c r="AB340" s="54">
        <f>STOCK[[#This Row],[Stock Actual]]*STOCK[[#This Row],[Costo total]]</f>
        <v>29.8888888888889</v>
      </c>
      <c r="AC340" s="54">
        <v>18</v>
      </c>
    </row>
    <row r="341" s="53" customFormat="1" ht="50" customHeight="1" spans="1:29">
      <c r="A341" s="53" t="s">
        <v>717</v>
      </c>
      <c r="B341" s="66"/>
      <c r="C341" s="53" t="s">
        <v>32</v>
      </c>
      <c r="D341" s="53" t="s">
        <v>714</v>
      </c>
      <c r="E341" s="67" t="s">
        <v>715</v>
      </c>
      <c r="F341" s="53" t="s">
        <v>62</v>
      </c>
      <c r="G341" s="53" t="s">
        <v>704</v>
      </c>
      <c r="H341" s="53">
        <f>STOCK[[#This Row],[Precio Final]]</f>
        <v>20</v>
      </c>
      <c r="I341" s="53">
        <f>STOCK[[#This Row],[Precio Venta Ideal (x1.5)]]</f>
        <v>22.4166666666667</v>
      </c>
      <c r="J341" s="71">
        <v>3</v>
      </c>
      <c r="K341" s="71">
        <f>SUMIFS(VENTAS[Cantidad],VENTAS[Código del producto Vendido],STOCK[[#This Row],[Code]])</f>
        <v>1</v>
      </c>
      <c r="L341" s="71">
        <f>STOCK[[#This Row],[Entradas]]-STOCK[[#This Row],[Salidas]]</f>
        <v>2</v>
      </c>
      <c r="M341" s="53">
        <f>STOCK[[#This Row],[Precio Final]]*10%</f>
        <v>2</v>
      </c>
      <c r="N341" s="53">
        <v>170</v>
      </c>
      <c r="O341" s="53">
        <v>18</v>
      </c>
      <c r="P341" s="53">
        <v>9.44444444444444</v>
      </c>
      <c r="Q341" s="71">
        <v>350</v>
      </c>
      <c r="R341" s="53">
        <v>10</v>
      </c>
      <c r="S341" s="53">
        <f>STOCK[[#This Row],[Peso (g)]]*STOCK[[#This Row],[Precio Envío Kilogramo (USD)]]/1000</f>
        <v>3.5</v>
      </c>
      <c r="T341" s="53">
        <f>STOCK[[#This Row],[Costo Unitario (USD)]]+STOCK[[#This Row],[Costo Envío (USD)]]+STOCK[[#This Row],[Comisión 10%]]</f>
        <v>14.9444444444444</v>
      </c>
      <c r="U341" s="53">
        <f>STOCK[[#This Row],[Costo total]]*1.5</f>
        <v>22.4166666666667</v>
      </c>
      <c r="V341" s="53">
        <v>20</v>
      </c>
      <c r="W341" s="53">
        <f>STOCK[[#This Row],[Precio Final]]-STOCK[[#This Row],[Costo total]]</f>
        <v>5.05555555555556</v>
      </c>
      <c r="X341" s="53">
        <f>STOCK[[#This Row],[Ganancia Unitaria]]*STOCK[[#This Row],[Salidas]]</f>
        <v>5.05555555555556</v>
      </c>
      <c r="AA341" s="53">
        <f>STOCK[[#This Row],[Costo total]]*STOCK[[#This Row],[Entradas]]</f>
        <v>44.8333333333333</v>
      </c>
      <c r="AB341" s="53">
        <f>STOCK[[#This Row],[Stock Actual]]*STOCK[[#This Row],[Costo total]]</f>
        <v>29.8888888888889</v>
      </c>
      <c r="AC341" s="53">
        <v>18</v>
      </c>
    </row>
    <row r="342" s="54" customFormat="1" ht="50" customHeight="1" spans="1:28">
      <c r="A342" s="54" t="s">
        <v>718</v>
      </c>
      <c r="B342" s="66"/>
      <c r="C342" s="54" t="s">
        <v>32</v>
      </c>
      <c r="D342" s="54" t="s">
        <v>44</v>
      </c>
      <c r="E342" s="68" t="s">
        <v>719</v>
      </c>
      <c r="F342" s="54" t="s">
        <v>720</v>
      </c>
      <c r="G342" s="54" t="s">
        <v>704</v>
      </c>
      <c r="H342" s="54">
        <f>STOCK[[#This Row],[Precio Final]]</f>
        <v>15</v>
      </c>
      <c r="I342" s="54">
        <f>STOCK[[#This Row],[Precio Venta Ideal (x1.5)]]</f>
        <v>10.8333333333333</v>
      </c>
      <c r="J342" s="72">
        <v>4</v>
      </c>
      <c r="K342" s="72">
        <f>SUMIFS(VENTAS[Cantidad],VENTAS[Código del producto Vendido],STOCK[[#This Row],[Code]])</f>
        <v>4</v>
      </c>
      <c r="L342" s="72">
        <f>STOCK[[#This Row],[Entradas]]-STOCK[[#This Row],[Salidas]]</f>
        <v>0</v>
      </c>
      <c r="M342" s="54">
        <f>STOCK[[#This Row],[Precio Final]]*10%</f>
        <v>1.5</v>
      </c>
      <c r="N342" s="54">
        <v>85</v>
      </c>
      <c r="O342" s="54">
        <v>18</v>
      </c>
      <c r="P342" s="54">
        <v>4.72222222222222</v>
      </c>
      <c r="Q342" s="72">
        <v>100</v>
      </c>
      <c r="R342" s="54">
        <v>10</v>
      </c>
      <c r="S342" s="54">
        <f>STOCK[[#This Row],[Peso (g)]]*STOCK[[#This Row],[Precio Envío Kilogramo (USD)]]/1000</f>
        <v>1</v>
      </c>
      <c r="T342" s="53">
        <f>STOCK[[#This Row],[Costo Unitario (USD)]]+STOCK[[#This Row],[Costo Envío (USD)]]+STOCK[[#This Row],[Comisión 10%]]</f>
        <v>7.22222222222222</v>
      </c>
      <c r="U342" s="54">
        <f>STOCK[[#This Row],[Costo total]]*1.5</f>
        <v>10.8333333333333</v>
      </c>
      <c r="V342" s="54">
        <v>15</v>
      </c>
      <c r="W342" s="54">
        <f>STOCK[[#This Row],[Precio Final]]-STOCK[[#This Row],[Costo total]]</f>
        <v>7.77777777777778</v>
      </c>
      <c r="X342" s="54">
        <f>STOCK[[#This Row],[Ganancia Unitaria]]*STOCK[[#This Row],[Salidas]]</f>
        <v>31.1111111111111</v>
      </c>
      <c r="AA342" s="54">
        <f>STOCK[[#This Row],[Costo total]]*STOCK[[#This Row],[Entradas]]</f>
        <v>28.8888888888889</v>
      </c>
      <c r="AB342" s="54">
        <f>STOCK[[#This Row],[Stock Actual]]*STOCK[[#This Row],[Costo total]]</f>
        <v>0</v>
      </c>
    </row>
    <row r="343" s="53" customFormat="1" ht="50" customHeight="1" spans="1:28">
      <c r="A343" s="53" t="s">
        <v>721</v>
      </c>
      <c r="B343" s="66"/>
      <c r="C343" s="53" t="s">
        <v>32</v>
      </c>
      <c r="D343" s="53" t="s">
        <v>174</v>
      </c>
      <c r="E343" s="67" t="s">
        <v>722</v>
      </c>
      <c r="F343" s="53" t="s">
        <v>46</v>
      </c>
      <c r="G343" s="53" t="s">
        <v>704</v>
      </c>
      <c r="H343" s="53">
        <f>STOCK[[#This Row],[Precio Final]]</f>
        <v>9</v>
      </c>
      <c r="I343" s="53">
        <f>STOCK[[#This Row],[Precio Venta Ideal (x1.5)]]</f>
        <v>8.88333333333333</v>
      </c>
      <c r="J343" s="71">
        <v>2</v>
      </c>
      <c r="K343" s="71">
        <f>SUMIFS(VENTAS[Cantidad],VENTAS[Código del producto Vendido],STOCK[[#This Row],[Code]])</f>
        <v>2</v>
      </c>
      <c r="L343" s="71">
        <f>STOCK[[#This Row],[Entradas]]-STOCK[[#This Row],[Salidas]]</f>
        <v>0</v>
      </c>
      <c r="M343" s="53">
        <f>STOCK[[#This Row],[Precio Final]]*10%</f>
        <v>0.9</v>
      </c>
      <c r="N343" s="53">
        <v>85</v>
      </c>
      <c r="O343" s="53">
        <v>18</v>
      </c>
      <c r="P343" s="53">
        <v>4.72222222222222</v>
      </c>
      <c r="Q343" s="71">
        <v>30</v>
      </c>
      <c r="R343" s="53">
        <v>10</v>
      </c>
      <c r="S343" s="53">
        <f>STOCK[[#This Row],[Peso (g)]]*STOCK[[#This Row],[Precio Envío Kilogramo (USD)]]/1000</f>
        <v>0.3</v>
      </c>
      <c r="T343" s="53">
        <f>STOCK[[#This Row],[Costo Unitario (USD)]]+STOCK[[#This Row],[Costo Envío (USD)]]+STOCK[[#This Row],[Comisión 10%]]</f>
        <v>5.92222222222222</v>
      </c>
      <c r="U343" s="53">
        <f>STOCK[[#This Row],[Costo total]]*1.5</f>
        <v>8.88333333333333</v>
      </c>
      <c r="V343" s="53">
        <v>9</v>
      </c>
      <c r="W343" s="53">
        <f>STOCK[[#This Row],[Precio Final]]-STOCK[[#This Row],[Costo total]]</f>
        <v>3.07777777777778</v>
      </c>
      <c r="X343" s="53">
        <f>STOCK[[#This Row],[Ganancia Unitaria]]*STOCK[[#This Row],[Salidas]]</f>
        <v>6.15555555555556</v>
      </c>
      <c r="AA343" s="53">
        <f>STOCK[[#This Row],[Costo total]]*STOCK[[#This Row],[Entradas]]</f>
        <v>11.8444444444444</v>
      </c>
      <c r="AB343" s="53">
        <f>STOCK[[#This Row],[Stock Actual]]*STOCK[[#This Row],[Costo total]]</f>
        <v>0</v>
      </c>
    </row>
    <row r="344" s="54" customFormat="1" ht="50" customHeight="1" spans="1:28">
      <c r="A344" s="54" t="s">
        <v>723</v>
      </c>
      <c r="B344" s="66"/>
      <c r="C344" s="54" t="s">
        <v>32</v>
      </c>
      <c r="D344" s="54" t="s">
        <v>174</v>
      </c>
      <c r="E344" s="68" t="s">
        <v>722</v>
      </c>
      <c r="F344" s="54" t="s">
        <v>62</v>
      </c>
      <c r="G344" s="54" t="s">
        <v>704</v>
      </c>
      <c r="H344" s="54">
        <f>STOCK[[#This Row],[Precio Final]]</f>
        <v>9</v>
      </c>
      <c r="I344" s="54">
        <f>STOCK[[#This Row],[Precio Venta Ideal (x1.5)]]</f>
        <v>8.88333333333333</v>
      </c>
      <c r="J344" s="72">
        <v>5</v>
      </c>
      <c r="K344" s="72">
        <f>SUMIFS(VENTAS[Cantidad],VENTAS[Código del producto Vendido],STOCK[[#This Row],[Code]])</f>
        <v>5</v>
      </c>
      <c r="L344" s="72">
        <f>STOCK[[#This Row],[Entradas]]-STOCK[[#This Row],[Salidas]]</f>
        <v>0</v>
      </c>
      <c r="M344" s="54">
        <f>STOCK[[#This Row],[Precio Final]]*10%</f>
        <v>0.9</v>
      </c>
      <c r="N344" s="54">
        <v>85</v>
      </c>
      <c r="O344" s="54">
        <v>18</v>
      </c>
      <c r="P344" s="54">
        <v>4.72222222222222</v>
      </c>
      <c r="Q344" s="72">
        <v>30</v>
      </c>
      <c r="R344" s="54">
        <v>10</v>
      </c>
      <c r="S344" s="54">
        <f>STOCK[[#This Row],[Peso (g)]]*STOCK[[#This Row],[Precio Envío Kilogramo (USD)]]/1000</f>
        <v>0.3</v>
      </c>
      <c r="T344" s="53">
        <f>STOCK[[#This Row],[Costo Unitario (USD)]]+STOCK[[#This Row],[Costo Envío (USD)]]+STOCK[[#This Row],[Comisión 10%]]</f>
        <v>5.92222222222222</v>
      </c>
      <c r="U344" s="54">
        <f>STOCK[[#This Row],[Costo total]]*1.5</f>
        <v>8.88333333333333</v>
      </c>
      <c r="V344" s="54">
        <v>9</v>
      </c>
      <c r="W344" s="54">
        <f>STOCK[[#This Row],[Precio Final]]-STOCK[[#This Row],[Costo total]]</f>
        <v>3.07777777777778</v>
      </c>
      <c r="X344" s="54">
        <f>STOCK[[#This Row],[Ganancia Unitaria]]*STOCK[[#This Row],[Salidas]]</f>
        <v>15.3888888888889</v>
      </c>
      <c r="AA344" s="54">
        <f>STOCK[[#This Row],[Costo total]]*STOCK[[#This Row],[Entradas]]</f>
        <v>29.6111111111111</v>
      </c>
      <c r="AB344" s="54">
        <f>STOCK[[#This Row],[Stock Actual]]*STOCK[[#This Row],[Costo total]]</f>
        <v>0</v>
      </c>
    </row>
    <row r="345" s="53" customFormat="1" ht="50" customHeight="1" spans="1:28">
      <c r="A345" s="53" t="s">
        <v>724</v>
      </c>
      <c r="B345" s="66"/>
      <c r="C345" s="53" t="s">
        <v>32</v>
      </c>
      <c r="D345" s="53" t="s">
        <v>174</v>
      </c>
      <c r="E345" s="67" t="s">
        <v>722</v>
      </c>
      <c r="F345" s="53" t="s">
        <v>46</v>
      </c>
      <c r="G345" s="53" t="s">
        <v>704</v>
      </c>
      <c r="H345" s="53">
        <f>STOCK[[#This Row],[Precio Final]]</f>
        <v>9</v>
      </c>
      <c r="I345" s="53">
        <f>STOCK[[#This Row],[Precio Venta Ideal (x1.5)]]</f>
        <v>8.88333333333333</v>
      </c>
      <c r="J345" s="71">
        <v>1</v>
      </c>
      <c r="K345" s="71">
        <f>SUMIFS(VENTAS[Cantidad],VENTAS[Código del producto Vendido],STOCK[[#This Row],[Code]])</f>
        <v>1</v>
      </c>
      <c r="L345" s="71">
        <f>STOCK[[#This Row],[Entradas]]-STOCK[[#This Row],[Salidas]]</f>
        <v>0</v>
      </c>
      <c r="M345" s="53">
        <f>STOCK[[#This Row],[Precio Final]]*10%</f>
        <v>0.9</v>
      </c>
      <c r="N345" s="53">
        <v>85</v>
      </c>
      <c r="O345" s="53">
        <v>18</v>
      </c>
      <c r="P345" s="53">
        <v>4.72222222222222</v>
      </c>
      <c r="Q345" s="71">
        <v>30</v>
      </c>
      <c r="R345" s="53">
        <v>10</v>
      </c>
      <c r="S345" s="53">
        <f>STOCK[[#This Row],[Peso (g)]]*STOCK[[#This Row],[Precio Envío Kilogramo (USD)]]/1000</f>
        <v>0.3</v>
      </c>
      <c r="T345" s="53">
        <f>STOCK[[#This Row],[Costo Unitario (USD)]]+STOCK[[#This Row],[Costo Envío (USD)]]+STOCK[[#This Row],[Comisión 10%]]</f>
        <v>5.92222222222222</v>
      </c>
      <c r="U345" s="53">
        <f>STOCK[[#This Row],[Costo total]]*1.5</f>
        <v>8.88333333333333</v>
      </c>
      <c r="V345" s="53">
        <v>9</v>
      </c>
      <c r="W345" s="53">
        <f>STOCK[[#This Row],[Precio Final]]-STOCK[[#This Row],[Costo total]]</f>
        <v>3.07777777777778</v>
      </c>
      <c r="X345" s="53">
        <f>STOCK[[#This Row],[Ganancia Unitaria]]*STOCK[[#This Row],[Salidas]]</f>
        <v>3.07777777777778</v>
      </c>
      <c r="AA345" s="53">
        <f>STOCK[[#This Row],[Costo total]]*STOCK[[#This Row],[Entradas]]</f>
        <v>5.92222222222222</v>
      </c>
      <c r="AB345" s="53">
        <f>STOCK[[#This Row],[Stock Actual]]*STOCK[[#This Row],[Costo total]]</f>
        <v>0</v>
      </c>
    </row>
    <row r="346" s="54" customFormat="1" ht="50" customHeight="1" spans="1:28">
      <c r="A346" s="54" t="s">
        <v>725</v>
      </c>
      <c r="B346" s="66"/>
      <c r="C346" s="54" t="s">
        <v>32</v>
      </c>
      <c r="D346" s="54" t="s">
        <v>726</v>
      </c>
      <c r="E346" s="68" t="s">
        <v>727</v>
      </c>
      <c r="F346" s="54" t="s">
        <v>525</v>
      </c>
      <c r="G346" s="54" t="s">
        <v>704</v>
      </c>
      <c r="H346" s="54">
        <f>STOCK[[#This Row],[Precio Final]]</f>
        <v>12</v>
      </c>
      <c r="I346" s="54">
        <f>STOCK[[#This Row],[Precio Venta Ideal (x1.5)]]</f>
        <v>9.3</v>
      </c>
      <c r="J346" s="72">
        <v>2</v>
      </c>
      <c r="K346" s="72">
        <f>SUMIFS(VENTAS[Cantidad],VENTAS[Código del producto Vendido],STOCK[[#This Row],[Code]])</f>
        <v>0</v>
      </c>
      <c r="L346" s="72">
        <f>STOCK[[#This Row],[Entradas]]-STOCK[[#This Row],[Salidas]]</f>
        <v>2</v>
      </c>
      <c r="M346" s="54">
        <f>STOCK[[#This Row],[Precio Final]]*10%</f>
        <v>1.2</v>
      </c>
      <c r="N346" s="54">
        <v>0</v>
      </c>
      <c r="O346" s="54">
        <v>0</v>
      </c>
      <c r="P346" s="54">
        <v>5</v>
      </c>
      <c r="Q346" s="72">
        <v>0</v>
      </c>
      <c r="R346" s="54">
        <v>0</v>
      </c>
      <c r="S346" s="54">
        <f>STOCK[[#This Row],[Peso (g)]]*STOCK[[#This Row],[Precio Envío Kilogramo (USD)]]/1000</f>
        <v>0</v>
      </c>
      <c r="T346" s="53">
        <f>STOCK[[#This Row],[Costo Unitario (USD)]]+STOCK[[#This Row],[Costo Envío (USD)]]+STOCK[[#This Row],[Comisión 10%]]</f>
        <v>6.2</v>
      </c>
      <c r="U346" s="54">
        <f>STOCK[[#This Row],[Costo total]]*1.5</f>
        <v>9.3</v>
      </c>
      <c r="V346" s="54">
        <v>12</v>
      </c>
      <c r="W346" s="54">
        <f>STOCK[[#This Row],[Precio Final]]-STOCK[[#This Row],[Costo total]]</f>
        <v>5.8</v>
      </c>
      <c r="X346" s="54">
        <f>STOCK[[#This Row],[Ganancia Unitaria]]*STOCK[[#This Row],[Salidas]]</f>
        <v>0</v>
      </c>
      <c r="AA346" s="54">
        <f>STOCK[[#This Row],[Costo total]]*STOCK[[#This Row],[Entradas]]</f>
        <v>12.4</v>
      </c>
      <c r="AB346" s="54">
        <f>STOCK[[#This Row],[Stock Actual]]*STOCK[[#This Row],[Costo total]]</f>
        <v>12.4</v>
      </c>
    </row>
    <row r="347" s="53" customFormat="1" ht="50" customHeight="1" spans="1:28">
      <c r="A347" s="53" t="s">
        <v>728</v>
      </c>
      <c r="B347" s="66"/>
      <c r="C347" s="53" t="s">
        <v>32</v>
      </c>
      <c r="D347" s="53" t="s">
        <v>174</v>
      </c>
      <c r="E347" s="67" t="s">
        <v>722</v>
      </c>
      <c r="F347" s="53" t="s">
        <v>62</v>
      </c>
      <c r="G347" s="53" t="s">
        <v>704</v>
      </c>
      <c r="H347" s="53">
        <f>STOCK[[#This Row],[Precio Final]]</f>
        <v>9</v>
      </c>
      <c r="I347" s="53">
        <f>STOCK[[#This Row],[Precio Venta Ideal (x1.5)]]</f>
        <v>8.88333333333333</v>
      </c>
      <c r="J347" s="71">
        <v>12</v>
      </c>
      <c r="K347" s="71">
        <f>SUMIFS(VENTAS[Cantidad],VENTAS[Código del producto Vendido],STOCK[[#This Row],[Code]])</f>
        <v>12</v>
      </c>
      <c r="L347" s="71">
        <f>STOCK[[#This Row],[Entradas]]-STOCK[[#This Row],[Salidas]]</f>
        <v>0</v>
      </c>
      <c r="M347" s="53">
        <f>STOCK[[#This Row],[Precio Final]]*10%</f>
        <v>0.9</v>
      </c>
      <c r="N347" s="53">
        <v>85</v>
      </c>
      <c r="O347" s="53">
        <v>18</v>
      </c>
      <c r="P347" s="53">
        <v>4.72222222222222</v>
      </c>
      <c r="Q347" s="71">
        <v>30</v>
      </c>
      <c r="R347" s="53">
        <v>10</v>
      </c>
      <c r="S347" s="53">
        <f>STOCK[[#This Row],[Peso (g)]]*STOCK[[#This Row],[Precio Envío Kilogramo (USD)]]/1000</f>
        <v>0.3</v>
      </c>
      <c r="T347" s="53">
        <f>STOCK[[#This Row],[Costo Unitario (USD)]]+STOCK[[#This Row],[Costo Envío (USD)]]+STOCK[[#This Row],[Comisión 10%]]</f>
        <v>5.92222222222222</v>
      </c>
      <c r="U347" s="53">
        <f>STOCK[[#This Row],[Costo total]]*1.5</f>
        <v>8.88333333333333</v>
      </c>
      <c r="V347" s="53">
        <v>9</v>
      </c>
      <c r="W347" s="53">
        <f>STOCK[[#This Row],[Precio Final]]-STOCK[[#This Row],[Costo total]]</f>
        <v>3.07777777777778</v>
      </c>
      <c r="X347" s="53">
        <f>STOCK[[#This Row],[Ganancia Unitaria]]*STOCK[[#This Row],[Salidas]]</f>
        <v>36.9333333333334</v>
      </c>
      <c r="AA347" s="53">
        <f>STOCK[[#This Row],[Costo total]]*STOCK[[#This Row],[Entradas]]</f>
        <v>71.0666666666666</v>
      </c>
      <c r="AB347" s="53">
        <f>STOCK[[#This Row],[Stock Actual]]*STOCK[[#This Row],[Costo total]]</f>
        <v>0</v>
      </c>
    </row>
    <row r="348" s="54" customFormat="1" ht="50" customHeight="1" spans="1:28">
      <c r="A348" s="54" t="s">
        <v>729</v>
      </c>
      <c r="B348" s="66"/>
      <c r="C348" s="54" t="s">
        <v>32</v>
      </c>
      <c r="D348" s="54" t="s">
        <v>44</v>
      </c>
      <c r="E348" s="68" t="s">
        <v>730</v>
      </c>
      <c r="F348" s="54" t="s">
        <v>62</v>
      </c>
      <c r="G348" s="54" t="s">
        <v>704</v>
      </c>
      <c r="H348" s="54">
        <f>STOCK[[#This Row],[Precio Final]]</f>
        <v>19</v>
      </c>
      <c r="I348" s="54">
        <f>STOCK[[#This Row],[Precio Venta Ideal (x1.5)]]</f>
        <v>20.7666666666667</v>
      </c>
      <c r="J348" s="72">
        <v>1</v>
      </c>
      <c r="K348" s="72">
        <f>SUMIFS(VENTAS[Cantidad],VENTAS[Código del producto Vendido],STOCK[[#This Row],[Code]])</f>
        <v>1</v>
      </c>
      <c r="L348" s="72">
        <f>STOCK[[#This Row],[Entradas]]-STOCK[[#This Row],[Salidas]]</f>
        <v>0</v>
      </c>
      <c r="M348" s="54">
        <f>STOCK[[#This Row],[Precio Final]]*10%</f>
        <v>1.9</v>
      </c>
      <c r="N348" s="54">
        <v>170</v>
      </c>
      <c r="O348" s="54">
        <v>18</v>
      </c>
      <c r="P348" s="54">
        <v>9.44444444444444</v>
      </c>
      <c r="Q348" s="72">
        <v>250</v>
      </c>
      <c r="R348" s="54">
        <v>10</v>
      </c>
      <c r="S348" s="54">
        <f>STOCK[[#This Row],[Peso (g)]]*STOCK[[#This Row],[Precio Envío Kilogramo (USD)]]/1000</f>
        <v>2.5</v>
      </c>
      <c r="T348" s="53">
        <f>STOCK[[#This Row],[Costo Unitario (USD)]]+STOCK[[#This Row],[Costo Envío (USD)]]+STOCK[[#This Row],[Comisión 10%]]</f>
        <v>13.8444444444444</v>
      </c>
      <c r="U348" s="54">
        <f>STOCK[[#This Row],[Costo total]]*1.5</f>
        <v>20.7666666666667</v>
      </c>
      <c r="V348" s="54">
        <v>19</v>
      </c>
      <c r="W348" s="54">
        <f>STOCK[[#This Row],[Precio Final]]-STOCK[[#This Row],[Costo total]]</f>
        <v>5.15555555555556</v>
      </c>
      <c r="X348" s="54">
        <f>STOCK[[#This Row],[Ganancia Unitaria]]*STOCK[[#This Row],[Salidas]]</f>
        <v>5.15555555555556</v>
      </c>
      <c r="AA348" s="54">
        <f>STOCK[[#This Row],[Costo total]]*STOCK[[#This Row],[Entradas]]</f>
        <v>13.8444444444444</v>
      </c>
      <c r="AB348" s="54">
        <f>STOCK[[#This Row],[Stock Actual]]*STOCK[[#This Row],[Costo total]]</f>
        <v>0</v>
      </c>
    </row>
    <row r="349" s="53" customFormat="1" ht="50" customHeight="1" spans="1:28">
      <c r="A349" s="53" t="s">
        <v>731</v>
      </c>
      <c r="B349" s="66"/>
      <c r="C349" s="53" t="s">
        <v>32</v>
      </c>
      <c r="D349" s="53" t="s">
        <v>44</v>
      </c>
      <c r="E349" s="67" t="s">
        <v>732</v>
      </c>
      <c r="F349" s="53" t="s">
        <v>733</v>
      </c>
      <c r="G349" s="53" t="s">
        <v>704</v>
      </c>
      <c r="H349" s="53">
        <f>STOCK[[#This Row],[Precio Final]]</f>
        <v>20</v>
      </c>
      <c r="I349" s="53">
        <f>STOCK[[#This Row],[Precio Venta Ideal (x1.5)]]</f>
        <v>20.9166666666667</v>
      </c>
      <c r="J349" s="71">
        <v>2</v>
      </c>
      <c r="K349" s="71">
        <f>SUMIFS(VENTAS[Cantidad],VENTAS[Código del producto Vendido],STOCK[[#This Row],[Code]])</f>
        <v>2</v>
      </c>
      <c r="L349" s="71">
        <f>STOCK[[#This Row],[Entradas]]-STOCK[[#This Row],[Salidas]]</f>
        <v>0</v>
      </c>
      <c r="M349" s="53">
        <f>STOCK[[#This Row],[Precio Final]]*10%</f>
        <v>2</v>
      </c>
      <c r="N349" s="53">
        <v>170</v>
      </c>
      <c r="O349" s="53">
        <v>18</v>
      </c>
      <c r="P349" s="53">
        <v>9.44444444444444</v>
      </c>
      <c r="Q349" s="71">
        <v>250</v>
      </c>
      <c r="R349" s="53">
        <v>10</v>
      </c>
      <c r="S349" s="53">
        <f>STOCK[[#This Row],[Peso (g)]]*STOCK[[#This Row],[Precio Envío Kilogramo (USD)]]/1000</f>
        <v>2.5</v>
      </c>
      <c r="T349" s="53">
        <f>STOCK[[#This Row],[Costo Unitario (USD)]]+STOCK[[#This Row],[Costo Envío (USD)]]+STOCK[[#This Row],[Comisión 10%]]</f>
        <v>13.9444444444444</v>
      </c>
      <c r="U349" s="53">
        <f>STOCK[[#This Row],[Costo total]]*1.5</f>
        <v>20.9166666666667</v>
      </c>
      <c r="V349" s="53">
        <v>20</v>
      </c>
      <c r="W349" s="53">
        <f>STOCK[[#This Row],[Precio Final]]-STOCK[[#This Row],[Costo total]]</f>
        <v>6.05555555555556</v>
      </c>
      <c r="X349" s="53">
        <f>STOCK[[#This Row],[Ganancia Unitaria]]*STOCK[[#This Row],[Salidas]]</f>
        <v>12.1111111111111</v>
      </c>
      <c r="AA349" s="53">
        <f>STOCK[[#This Row],[Costo total]]*STOCK[[#This Row],[Entradas]]</f>
        <v>27.8888888888889</v>
      </c>
      <c r="AB349" s="53">
        <f>STOCK[[#This Row],[Stock Actual]]*STOCK[[#This Row],[Costo total]]</f>
        <v>0</v>
      </c>
    </row>
    <row r="350" s="54" customFormat="1" ht="50" customHeight="1" spans="1:29">
      <c r="A350" s="54" t="s">
        <v>734</v>
      </c>
      <c r="B350" s="66"/>
      <c r="C350" s="54" t="s">
        <v>32</v>
      </c>
      <c r="D350" s="53" t="s">
        <v>735</v>
      </c>
      <c r="E350" s="68" t="s">
        <v>736</v>
      </c>
      <c r="F350" s="54" t="s">
        <v>62</v>
      </c>
      <c r="G350" s="54" t="s">
        <v>704</v>
      </c>
      <c r="H350" s="54">
        <f>STOCK[[#This Row],[Precio Final]]</f>
        <v>20</v>
      </c>
      <c r="I350" s="54">
        <f>STOCK[[#This Row],[Precio Venta Ideal (x1.5)]]</f>
        <v>20.9166666666667</v>
      </c>
      <c r="J350" s="72">
        <v>3</v>
      </c>
      <c r="K350" s="72">
        <f>SUMIFS(VENTAS[Cantidad],VENTAS[Código del producto Vendido],STOCK[[#This Row],[Code]])</f>
        <v>2</v>
      </c>
      <c r="L350" s="72">
        <f>STOCK[[#This Row],[Entradas]]-STOCK[[#This Row],[Salidas]]</f>
        <v>1</v>
      </c>
      <c r="M350" s="54">
        <f>STOCK[[#This Row],[Precio Final]]*10%</f>
        <v>2</v>
      </c>
      <c r="N350" s="54">
        <v>170</v>
      </c>
      <c r="O350" s="54">
        <v>18</v>
      </c>
      <c r="P350" s="54">
        <v>9.44444444444444</v>
      </c>
      <c r="Q350" s="72">
        <v>250</v>
      </c>
      <c r="R350" s="54">
        <v>10</v>
      </c>
      <c r="S350" s="54">
        <f>STOCK[[#This Row],[Peso (g)]]*STOCK[[#This Row],[Precio Envío Kilogramo (USD)]]/1000</f>
        <v>2.5</v>
      </c>
      <c r="T350" s="53">
        <f>STOCK[[#This Row],[Costo Unitario (USD)]]+STOCK[[#This Row],[Costo Envío (USD)]]+STOCK[[#This Row],[Comisión 10%]]</f>
        <v>13.9444444444444</v>
      </c>
      <c r="U350" s="54">
        <f>STOCK[[#This Row],[Costo total]]*1.5</f>
        <v>20.9166666666667</v>
      </c>
      <c r="V350" s="54">
        <v>20</v>
      </c>
      <c r="W350" s="54">
        <f>STOCK[[#This Row],[Precio Final]]-STOCK[[#This Row],[Costo total]]</f>
        <v>6.05555555555556</v>
      </c>
      <c r="X350" s="54">
        <f>STOCK[[#This Row],[Ganancia Unitaria]]*STOCK[[#This Row],[Salidas]]</f>
        <v>12.1111111111111</v>
      </c>
      <c r="AA350" s="54">
        <f>STOCK[[#This Row],[Costo total]]*STOCK[[#This Row],[Entradas]]</f>
        <v>41.8333333333333</v>
      </c>
      <c r="AB350" s="54">
        <f>STOCK[[#This Row],[Stock Actual]]*STOCK[[#This Row],[Costo total]]</f>
        <v>13.9444444444444</v>
      </c>
      <c r="AC350" s="54">
        <v>18</v>
      </c>
    </row>
    <row r="351" s="53" customFormat="1" ht="50" customHeight="1" spans="1:29">
      <c r="A351" s="53" t="s">
        <v>737</v>
      </c>
      <c r="B351" s="66"/>
      <c r="C351" s="53" t="s">
        <v>32</v>
      </c>
      <c r="D351" s="53" t="s">
        <v>735</v>
      </c>
      <c r="E351" s="67" t="s">
        <v>736</v>
      </c>
      <c r="F351" s="53" t="s">
        <v>49</v>
      </c>
      <c r="G351" s="53" t="s">
        <v>704</v>
      </c>
      <c r="H351" s="53">
        <f>STOCK[[#This Row],[Precio Final]]</f>
        <v>20</v>
      </c>
      <c r="I351" s="53">
        <f>STOCK[[#This Row],[Precio Venta Ideal (x1.5)]]</f>
        <v>20.9166666666667</v>
      </c>
      <c r="J351" s="71">
        <v>3</v>
      </c>
      <c r="K351" s="71">
        <f>SUMIFS(VENTAS[Cantidad],VENTAS[Código del producto Vendido],STOCK[[#This Row],[Code]])</f>
        <v>1</v>
      </c>
      <c r="L351" s="71">
        <f>STOCK[[#This Row],[Entradas]]-STOCK[[#This Row],[Salidas]]</f>
        <v>2</v>
      </c>
      <c r="M351" s="53">
        <f>STOCK[[#This Row],[Precio Final]]*10%</f>
        <v>2</v>
      </c>
      <c r="N351" s="53">
        <v>170</v>
      </c>
      <c r="O351" s="53">
        <v>18</v>
      </c>
      <c r="P351" s="53">
        <v>9.44444444444444</v>
      </c>
      <c r="Q351" s="71">
        <v>250</v>
      </c>
      <c r="R351" s="53">
        <v>10</v>
      </c>
      <c r="S351" s="53">
        <f>STOCK[[#This Row],[Peso (g)]]*STOCK[[#This Row],[Precio Envío Kilogramo (USD)]]/1000</f>
        <v>2.5</v>
      </c>
      <c r="T351" s="53">
        <f>STOCK[[#This Row],[Costo Unitario (USD)]]+STOCK[[#This Row],[Costo Envío (USD)]]+STOCK[[#This Row],[Comisión 10%]]</f>
        <v>13.9444444444444</v>
      </c>
      <c r="U351" s="53">
        <f>STOCK[[#This Row],[Costo total]]*1.5</f>
        <v>20.9166666666667</v>
      </c>
      <c r="V351" s="53">
        <v>20</v>
      </c>
      <c r="W351" s="53">
        <f>STOCK[[#This Row],[Precio Final]]-STOCK[[#This Row],[Costo total]]</f>
        <v>6.05555555555556</v>
      </c>
      <c r="X351" s="53">
        <f>STOCK[[#This Row],[Ganancia Unitaria]]*STOCK[[#This Row],[Salidas]]</f>
        <v>6.05555555555556</v>
      </c>
      <c r="AA351" s="53">
        <f>STOCK[[#This Row],[Costo total]]*STOCK[[#This Row],[Entradas]]</f>
        <v>41.8333333333333</v>
      </c>
      <c r="AB351" s="53">
        <f>STOCK[[#This Row],[Stock Actual]]*STOCK[[#This Row],[Costo total]]</f>
        <v>27.8888888888889</v>
      </c>
      <c r="AC351" s="53">
        <v>18</v>
      </c>
    </row>
    <row r="352" s="54" customFormat="1" ht="50" customHeight="1" spans="1:28">
      <c r="A352" s="54" t="s">
        <v>738</v>
      </c>
      <c r="B352" s="66"/>
      <c r="C352" s="54" t="s">
        <v>32</v>
      </c>
      <c r="D352" s="54" t="s">
        <v>546</v>
      </c>
      <c r="E352" s="68" t="s">
        <v>739</v>
      </c>
      <c r="F352" s="54" t="s">
        <v>740</v>
      </c>
      <c r="G352" s="54" t="s">
        <v>704</v>
      </c>
      <c r="H352" s="54">
        <f>STOCK[[#This Row],[Precio Final]]</f>
        <v>15</v>
      </c>
      <c r="I352" s="54">
        <f>STOCK[[#This Row],[Precio Venta Ideal (x1.5)]]</f>
        <v>18.95</v>
      </c>
      <c r="J352" s="72">
        <v>1</v>
      </c>
      <c r="K352" s="72">
        <f>SUMIFS(VENTAS[Cantidad],VENTAS[Código del producto Vendido],STOCK[[#This Row],[Code]])</f>
        <v>1</v>
      </c>
      <c r="L352" s="72">
        <f>STOCK[[#This Row],[Entradas]]-STOCK[[#This Row],[Salidas]]</f>
        <v>0</v>
      </c>
      <c r="M352" s="54">
        <f>STOCK[[#This Row],[Precio Final]]*10%</f>
        <v>1.5</v>
      </c>
      <c r="N352" s="54">
        <v>195</v>
      </c>
      <c r="O352" s="54">
        <v>18</v>
      </c>
      <c r="P352" s="54">
        <v>10.8333333333333</v>
      </c>
      <c r="Q352" s="72">
        <v>30</v>
      </c>
      <c r="R352" s="54">
        <v>10</v>
      </c>
      <c r="S352" s="54">
        <f>STOCK[[#This Row],[Peso (g)]]*STOCK[[#This Row],[Precio Envío Kilogramo (USD)]]/1000</f>
        <v>0.3</v>
      </c>
      <c r="T352" s="53">
        <f>STOCK[[#This Row],[Costo Unitario (USD)]]+STOCK[[#This Row],[Costo Envío (USD)]]+STOCK[[#This Row],[Comisión 10%]]</f>
        <v>12.6333333333333</v>
      </c>
      <c r="U352" s="54">
        <f>STOCK[[#This Row],[Costo total]]*1.5</f>
        <v>18.95</v>
      </c>
      <c r="V352" s="54">
        <v>15</v>
      </c>
      <c r="W352" s="54">
        <f>STOCK[[#This Row],[Precio Final]]-STOCK[[#This Row],[Costo total]]</f>
        <v>2.3666666666667</v>
      </c>
      <c r="X352" s="54">
        <f>STOCK[[#This Row],[Ganancia Unitaria]]*STOCK[[#This Row],[Salidas]]</f>
        <v>2.3666666666667</v>
      </c>
      <c r="AA352" s="54">
        <f>STOCK[[#This Row],[Costo total]]*STOCK[[#This Row],[Entradas]]</f>
        <v>12.6333333333333</v>
      </c>
      <c r="AB352" s="54">
        <f>STOCK[[#This Row],[Stock Actual]]*STOCK[[#This Row],[Costo total]]</f>
        <v>0</v>
      </c>
    </row>
    <row r="353" s="53" customFormat="1" ht="50" customHeight="1" spans="1:28">
      <c r="A353" s="53" t="s">
        <v>741</v>
      </c>
      <c r="B353" s="66"/>
      <c r="C353" s="53" t="s">
        <v>32</v>
      </c>
      <c r="D353" s="53" t="s">
        <v>546</v>
      </c>
      <c r="E353" s="67" t="s">
        <v>739</v>
      </c>
      <c r="F353" s="53" t="s">
        <v>740</v>
      </c>
      <c r="G353" s="53" t="s">
        <v>704</v>
      </c>
      <c r="H353" s="53">
        <f>STOCK[[#This Row],[Precio Final]]</f>
        <v>12</v>
      </c>
      <c r="I353" s="53">
        <f>STOCK[[#This Row],[Precio Venta Ideal (x1.5)]]</f>
        <v>18.5</v>
      </c>
      <c r="J353" s="71">
        <v>1</v>
      </c>
      <c r="K353" s="71">
        <f>SUMIFS(VENTAS[Cantidad],VENTAS[Código del producto Vendido],STOCK[[#This Row],[Code]])</f>
        <v>1</v>
      </c>
      <c r="L353" s="71">
        <f>STOCK[[#This Row],[Entradas]]-STOCK[[#This Row],[Salidas]]</f>
        <v>0</v>
      </c>
      <c r="M353" s="53">
        <f>STOCK[[#This Row],[Precio Final]]*10%</f>
        <v>1.2</v>
      </c>
      <c r="N353" s="53">
        <v>195</v>
      </c>
      <c r="O353" s="53">
        <v>18</v>
      </c>
      <c r="P353" s="53">
        <v>10.8333333333333</v>
      </c>
      <c r="Q353" s="71">
        <v>30</v>
      </c>
      <c r="R353" s="53">
        <v>10</v>
      </c>
      <c r="S353" s="53">
        <f>STOCK[[#This Row],[Peso (g)]]*STOCK[[#This Row],[Precio Envío Kilogramo (USD)]]/1000</f>
        <v>0.3</v>
      </c>
      <c r="T353" s="53">
        <f>STOCK[[#This Row],[Costo Unitario (USD)]]+STOCK[[#This Row],[Costo Envío (USD)]]+STOCK[[#This Row],[Comisión 10%]]</f>
        <v>12.3333333333333</v>
      </c>
      <c r="U353" s="53">
        <f>STOCK[[#This Row],[Costo total]]*1.5</f>
        <v>18.5</v>
      </c>
      <c r="V353" s="53">
        <v>12</v>
      </c>
      <c r="W353" s="53">
        <f>STOCK[[#This Row],[Precio Final]]-STOCK[[#This Row],[Costo total]]</f>
        <v>-0.3333333333333</v>
      </c>
      <c r="X353" s="53">
        <f>STOCK[[#This Row],[Ganancia Unitaria]]*STOCK[[#This Row],[Salidas]]</f>
        <v>-0.3333333333333</v>
      </c>
      <c r="AA353" s="53">
        <f>STOCK[[#This Row],[Costo total]]*STOCK[[#This Row],[Entradas]]</f>
        <v>12.3333333333333</v>
      </c>
      <c r="AB353" s="53">
        <f>STOCK[[#This Row],[Stock Actual]]*STOCK[[#This Row],[Costo total]]</f>
        <v>0</v>
      </c>
    </row>
    <row r="354" s="54" customFormat="1" ht="50" customHeight="1" spans="1:28">
      <c r="A354" s="54" t="s">
        <v>742</v>
      </c>
      <c r="B354" s="66"/>
      <c r="C354" s="54" t="s">
        <v>32</v>
      </c>
      <c r="D354" s="54" t="s">
        <v>743</v>
      </c>
      <c r="E354" s="68" t="s">
        <v>744</v>
      </c>
      <c r="F354" s="54" t="s">
        <v>62</v>
      </c>
      <c r="G354" s="54" t="s">
        <v>704</v>
      </c>
      <c r="H354" s="54">
        <f>STOCK[[#This Row],[Precio Final]]</f>
        <v>30</v>
      </c>
      <c r="I354" s="54">
        <f>STOCK[[#This Row],[Precio Venta Ideal (x1.5)]]</f>
        <v>38.5</v>
      </c>
      <c r="J354" s="72">
        <v>0</v>
      </c>
      <c r="K354" s="72">
        <f>SUMIFS(VENTAS[Cantidad],VENTAS[Código del producto Vendido],STOCK[[#This Row],[Code]])</f>
        <v>0</v>
      </c>
      <c r="L354" s="72">
        <f>STOCK[[#This Row],[Entradas]]-STOCK[[#This Row],[Salidas]]</f>
        <v>0</v>
      </c>
      <c r="M354" s="54">
        <f>STOCK[[#This Row],[Precio Final]]*10%</f>
        <v>3</v>
      </c>
      <c r="N354" s="54">
        <v>345</v>
      </c>
      <c r="O354" s="54">
        <v>18</v>
      </c>
      <c r="P354" s="54">
        <v>19.1666666666667</v>
      </c>
      <c r="Q354" s="72">
        <v>350</v>
      </c>
      <c r="R354" s="54">
        <v>10</v>
      </c>
      <c r="S354" s="54">
        <f>STOCK[[#This Row],[Peso (g)]]*STOCK[[#This Row],[Precio Envío Kilogramo (USD)]]/1000</f>
        <v>3.5</v>
      </c>
      <c r="T354" s="53">
        <f>STOCK[[#This Row],[Costo Unitario (USD)]]+STOCK[[#This Row],[Costo Envío (USD)]]+STOCK[[#This Row],[Comisión 10%]]</f>
        <v>25.6666666666667</v>
      </c>
      <c r="U354" s="54">
        <f>STOCK[[#This Row],[Costo total]]*1.5</f>
        <v>38.5</v>
      </c>
      <c r="V354" s="54">
        <v>30</v>
      </c>
      <c r="W354" s="54">
        <f>STOCK[[#This Row],[Precio Final]]-STOCK[[#This Row],[Costo total]]</f>
        <v>4.3333333333333</v>
      </c>
      <c r="X354" s="54">
        <f>STOCK[[#This Row],[Ganancia Unitaria]]*STOCK[[#This Row],[Salidas]]</f>
        <v>0</v>
      </c>
      <c r="AA354" s="54">
        <f>STOCK[[#This Row],[Costo total]]*STOCK[[#This Row],[Entradas]]</f>
        <v>0</v>
      </c>
      <c r="AB354" s="54">
        <f>STOCK[[#This Row],[Stock Actual]]*STOCK[[#This Row],[Costo total]]</f>
        <v>0</v>
      </c>
    </row>
    <row r="355" s="53" customFormat="1" ht="50" customHeight="1" spans="1:28">
      <c r="A355" s="53" t="s">
        <v>745</v>
      </c>
      <c r="B355" s="66"/>
      <c r="C355" s="53" t="s">
        <v>32</v>
      </c>
      <c r="D355" s="53" t="s">
        <v>743</v>
      </c>
      <c r="E355" s="67" t="s">
        <v>746</v>
      </c>
      <c r="F355" s="53" t="s">
        <v>747</v>
      </c>
      <c r="G355" s="53" t="s">
        <v>704</v>
      </c>
      <c r="H355" s="53">
        <f>STOCK[[#This Row],[Precio Final]]</f>
        <v>35</v>
      </c>
      <c r="I355" s="53">
        <f>STOCK[[#This Row],[Precio Venta Ideal (x1.5)]]</f>
        <v>47.8333333333333</v>
      </c>
      <c r="J355" s="71">
        <v>1</v>
      </c>
      <c r="K355" s="71">
        <f>SUMIFS(VENTAS[Cantidad],VENTAS[Código del producto Vendido],STOCK[[#This Row],[Code]])</f>
        <v>1</v>
      </c>
      <c r="L355" s="71">
        <f>STOCK[[#This Row],[Entradas]]-STOCK[[#This Row],[Salidas]]</f>
        <v>0</v>
      </c>
      <c r="M355" s="53">
        <f>STOCK[[#This Row],[Precio Final]]*10%</f>
        <v>3.5</v>
      </c>
      <c r="N355" s="53">
        <v>430</v>
      </c>
      <c r="O355" s="53">
        <v>18</v>
      </c>
      <c r="P355" s="53">
        <v>23.8888888888889</v>
      </c>
      <c r="Q355" s="71">
        <v>450</v>
      </c>
      <c r="R355" s="53">
        <v>10</v>
      </c>
      <c r="S355" s="53">
        <f>STOCK[[#This Row],[Peso (g)]]*STOCK[[#This Row],[Precio Envío Kilogramo (USD)]]/1000</f>
        <v>4.5</v>
      </c>
      <c r="T355" s="53">
        <f>STOCK[[#This Row],[Costo Unitario (USD)]]+STOCK[[#This Row],[Costo Envío (USD)]]+STOCK[[#This Row],[Comisión 10%]]</f>
        <v>31.8888888888889</v>
      </c>
      <c r="U355" s="53">
        <f>STOCK[[#This Row],[Costo total]]*1.5</f>
        <v>47.8333333333333</v>
      </c>
      <c r="V355" s="53">
        <v>35</v>
      </c>
      <c r="W355" s="53">
        <f>STOCK[[#This Row],[Precio Final]]-STOCK[[#This Row],[Costo total]]</f>
        <v>3.1111111111111</v>
      </c>
      <c r="X355" s="53">
        <f>STOCK[[#This Row],[Ganancia Unitaria]]*STOCK[[#This Row],[Salidas]]</f>
        <v>3.1111111111111</v>
      </c>
      <c r="AA355" s="53">
        <f>STOCK[[#This Row],[Costo total]]*STOCK[[#This Row],[Entradas]]</f>
        <v>31.8888888888889</v>
      </c>
      <c r="AB355" s="53">
        <f>STOCK[[#This Row],[Stock Actual]]*STOCK[[#This Row],[Costo total]]</f>
        <v>0</v>
      </c>
    </row>
    <row r="356" s="54" customFormat="1" ht="50" customHeight="1" spans="1:28">
      <c r="A356" s="54" t="s">
        <v>748</v>
      </c>
      <c r="B356" s="66"/>
      <c r="C356" s="54" t="s">
        <v>32</v>
      </c>
      <c r="D356" s="54" t="s">
        <v>749</v>
      </c>
      <c r="E356" s="68" t="s">
        <v>750</v>
      </c>
      <c r="F356" s="54" t="s">
        <v>751</v>
      </c>
      <c r="G356" s="54" t="s">
        <v>704</v>
      </c>
      <c r="H356" s="54">
        <f>STOCK[[#This Row],[Precio Final]]</f>
        <v>35</v>
      </c>
      <c r="I356" s="54">
        <f>STOCK[[#This Row],[Precio Venta Ideal (x1.5)]]</f>
        <v>46.8666666666666</v>
      </c>
      <c r="J356" s="72">
        <v>1</v>
      </c>
      <c r="K356" s="72">
        <f>SUMIFS(VENTAS[Cantidad],VENTAS[Código del producto Vendido],STOCK[[#This Row],[Code]])</f>
        <v>0</v>
      </c>
      <c r="L356" s="72">
        <f>STOCK[[#This Row],[Entradas]]-STOCK[[#This Row],[Salidas]]</f>
        <v>1</v>
      </c>
      <c r="M356" s="54">
        <f>STOCK[[#This Row],[Precio Final]]*10%</f>
        <v>3.5</v>
      </c>
      <c r="N356" s="54">
        <v>395</v>
      </c>
      <c r="O356" s="54">
        <v>18</v>
      </c>
      <c r="P356" s="54">
        <v>21.9444444444444</v>
      </c>
      <c r="Q356" s="72">
        <v>580</v>
      </c>
      <c r="R356" s="54">
        <v>10</v>
      </c>
      <c r="S356" s="54">
        <f>STOCK[[#This Row],[Peso (g)]]*STOCK[[#This Row],[Precio Envío Kilogramo (USD)]]/1000</f>
        <v>5.8</v>
      </c>
      <c r="T356" s="53">
        <f>STOCK[[#This Row],[Costo Unitario (USD)]]+STOCK[[#This Row],[Costo Envío (USD)]]+STOCK[[#This Row],[Comisión 10%]]</f>
        <v>31.2444444444444</v>
      </c>
      <c r="U356" s="54">
        <f>STOCK[[#This Row],[Costo total]]*1.5</f>
        <v>46.8666666666666</v>
      </c>
      <c r="V356" s="54">
        <v>35</v>
      </c>
      <c r="W356" s="54">
        <f>STOCK[[#This Row],[Precio Final]]-STOCK[[#This Row],[Costo total]]</f>
        <v>3.7555555555556</v>
      </c>
      <c r="X356" s="54">
        <f>STOCK[[#This Row],[Ganancia Unitaria]]*STOCK[[#This Row],[Salidas]]</f>
        <v>0</v>
      </c>
      <c r="AA356" s="54">
        <f>STOCK[[#This Row],[Costo total]]*STOCK[[#This Row],[Entradas]]</f>
        <v>31.2444444444444</v>
      </c>
      <c r="AB356" s="54">
        <f>STOCK[[#This Row],[Stock Actual]]*STOCK[[#This Row],[Costo total]]</f>
        <v>31.2444444444444</v>
      </c>
    </row>
    <row r="357" s="53" customFormat="1" ht="50" customHeight="1" spans="1:28">
      <c r="A357" s="53" t="s">
        <v>752</v>
      </c>
      <c r="B357" s="66"/>
      <c r="C357" s="53" t="s">
        <v>32</v>
      </c>
      <c r="D357" s="53" t="s">
        <v>515</v>
      </c>
      <c r="E357" s="67" t="s">
        <v>753</v>
      </c>
      <c r="F357" s="53" t="s">
        <v>754</v>
      </c>
      <c r="G357" s="53" t="s">
        <v>704</v>
      </c>
      <c r="H357" s="53">
        <f>STOCK[[#This Row],[Precio Final]]</f>
        <v>35</v>
      </c>
      <c r="I357" s="53">
        <f>STOCK[[#This Row],[Precio Venta Ideal (x1.5)]]</f>
        <v>45.75</v>
      </c>
      <c r="J357" s="71">
        <v>3</v>
      </c>
      <c r="K357" s="71">
        <f>SUMIFS(VENTAS[Cantidad],VENTAS[Código del producto Vendido],STOCK[[#This Row],[Code]])</f>
        <v>3</v>
      </c>
      <c r="L357" s="71">
        <f>STOCK[[#This Row],[Entradas]]-STOCK[[#This Row],[Salidas]]</f>
        <v>0</v>
      </c>
      <c r="M357" s="53">
        <f>STOCK[[#This Row],[Precio Final]]*10%</f>
        <v>3.5</v>
      </c>
      <c r="N357" s="53">
        <v>360</v>
      </c>
      <c r="O357" s="53">
        <v>18</v>
      </c>
      <c r="P357" s="53">
        <v>20</v>
      </c>
      <c r="Q357" s="71">
        <v>700</v>
      </c>
      <c r="R357" s="53">
        <v>10</v>
      </c>
      <c r="S357" s="53">
        <f>STOCK[[#This Row],[Peso (g)]]*STOCK[[#This Row],[Precio Envío Kilogramo (USD)]]/1000</f>
        <v>7</v>
      </c>
      <c r="T357" s="53">
        <f>STOCK[[#This Row],[Costo Unitario (USD)]]+STOCK[[#This Row],[Costo Envío (USD)]]+STOCK[[#This Row],[Comisión 10%]]</f>
        <v>30.5</v>
      </c>
      <c r="U357" s="53">
        <f>STOCK[[#This Row],[Costo total]]*1.5</f>
        <v>45.75</v>
      </c>
      <c r="V357" s="53">
        <v>35</v>
      </c>
      <c r="W357" s="53">
        <f>STOCK[[#This Row],[Precio Final]]-STOCK[[#This Row],[Costo total]]</f>
        <v>4.5</v>
      </c>
      <c r="X357" s="53">
        <f>STOCK[[#This Row],[Ganancia Unitaria]]*STOCK[[#This Row],[Salidas]]</f>
        <v>13.5</v>
      </c>
      <c r="AA357" s="53">
        <f>STOCK[[#This Row],[Costo total]]*STOCK[[#This Row],[Entradas]]</f>
        <v>91.5</v>
      </c>
      <c r="AB357" s="53">
        <f>STOCK[[#This Row],[Stock Actual]]*STOCK[[#This Row],[Costo total]]</f>
        <v>0</v>
      </c>
    </row>
    <row r="358" s="54" customFormat="1" ht="50" customHeight="1" spans="1:28">
      <c r="A358" s="54" t="s">
        <v>755</v>
      </c>
      <c r="B358" s="66"/>
      <c r="C358" s="54" t="s">
        <v>32</v>
      </c>
      <c r="D358" s="54" t="s">
        <v>515</v>
      </c>
      <c r="E358" s="68" t="s">
        <v>756</v>
      </c>
      <c r="F358" s="54" t="s">
        <v>540</v>
      </c>
      <c r="G358" s="54" t="s">
        <v>704</v>
      </c>
      <c r="H358" s="54">
        <f>STOCK[[#This Row],[Precio Final]]</f>
        <v>35</v>
      </c>
      <c r="I358" s="54">
        <f>STOCK[[#This Row],[Precio Venta Ideal (x1.5)]]</f>
        <v>43.8333333333333</v>
      </c>
      <c r="J358" s="72">
        <v>2</v>
      </c>
      <c r="K358" s="72">
        <f>SUMIFS(VENTAS[Cantidad],VENTAS[Código del producto Vendido],STOCK[[#This Row],[Code]])</f>
        <v>2</v>
      </c>
      <c r="L358" s="72">
        <f>STOCK[[#This Row],[Entradas]]-STOCK[[#This Row],[Salidas]]</f>
        <v>0</v>
      </c>
      <c r="M358" s="54">
        <f>STOCK[[#This Row],[Precio Final]]*10%</f>
        <v>3.5</v>
      </c>
      <c r="N358" s="54">
        <v>400</v>
      </c>
      <c r="O358" s="54">
        <v>18</v>
      </c>
      <c r="P358" s="54">
        <v>22.2222222222222</v>
      </c>
      <c r="Q358" s="72">
        <v>350</v>
      </c>
      <c r="R358" s="54">
        <v>10</v>
      </c>
      <c r="S358" s="54">
        <f>STOCK[[#This Row],[Peso (g)]]*STOCK[[#This Row],[Precio Envío Kilogramo (USD)]]/1000</f>
        <v>3.5</v>
      </c>
      <c r="T358" s="53">
        <f>STOCK[[#This Row],[Costo Unitario (USD)]]+STOCK[[#This Row],[Costo Envío (USD)]]+STOCK[[#This Row],[Comisión 10%]]</f>
        <v>29.2222222222222</v>
      </c>
      <c r="U358" s="54">
        <f>STOCK[[#This Row],[Costo total]]*1.5</f>
        <v>43.8333333333333</v>
      </c>
      <c r="V358" s="54">
        <v>35</v>
      </c>
      <c r="W358" s="54">
        <f>STOCK[[#This Row],[Precio Final]]-STOCK[[#This Row],[Costo total]]</f>
        <v>5.7777777777778</v>
      </c>
      <c r="X358" s="54">
        <f>STOCK[[#This Row],[Ganancia Unitaria]]*STOCK[[#This Row],[Salidas]]</f>
        <v>11.5555555555556</v>
      </c>
      <c r="AA358" s="54">
        <f>STOCK[[#This Row],[Costo total]]*STOCK[[#This Row],[Entradas]]</f>
        <v>58.4444444444444</v>
      </c>
      <c r="AB358" s="54">
        <f>STOCK[[#This Row],[Stock Actual]]*STOCK[[#This Row],[Costo total]]</f>
        <v>0</v>
      </c>
    </row>
    <row r="359" s="53" customFormat="1" ht="50" customHeight="1" spans="1:28">
      <c r="A359" s="53" t="s">
        <v>757</v>
      </c>
      <c r="B359" s="66"/>
      <c r="C359" s="53" t="s">
        <v>32</v>
      </c>
      <c r="D359" s="53" t="s">
        <v>515</v>
      </c>
      <c r="E359" s="67" t="s">
        <v>758</v>
      </c>
      <c r="F359" s="53" t="s">
        <v>759</v>
      </c>
      <c r="G359" s="53" t="s">
        <v>704</v>
      </c>
      <c r="H359" s="53">
        <f>STOCK[[#This Row],[Precio Final]]</f>
        <v>35</v>
      </c>
      <c r="I359" s="53">
        <f>STOCK[[#This Row],[Precio Venta Ideal (x1.5)]]</f>
        <v>45.75</v>
      </c>
      <c r="J359" s="71">
        <v>1</v>
      </c>
      <c r="K359" s="71">
        <f>SUMIFS(VENTAS[Cantidad],VENTAS[Código del producto Vendido],STOCK[[#This Row],[Code]])</f>
        <v>1</v>
      </c>
      <c r="L359" s="71">
        <f>STOCK[[#This Row],[Entradas]]-STOCK[[#This Row],[Salidas]]</f>
        <v>0</v>
      </c>
      <c r="M359" s="53">
        <f>STOCK[[#This Row],[Precio Final]]*10%</f>
        <v>3.5</v>
      </c>
      <c r="N359" s="53">
        <v>360</v>
      </c>
      <c r="O359" s="53">
        <v>18</v>
      </c>
      <c r="P359" s="53">
        <v>20</v>
      </c>
      <c r="Q359" s="71">
        <v>700</v>
      </c>
      <c r="R359" s="53">
        <v>10</v>
      </c>
      <c r="S359" s="53">
        <f>STOCK[[#This Row],[Peso (g)]]*STOCK[[#This Row],[Precio Envío Kilogramo (USD)]]/1000</f>
        <v>7</v>
      </c>
      <c r="T359" s="53">
        <f>STOCK[[#This Row],[Costo Unitario (USD)]]+STOCK[[#This Row],[Costo Envío (USD)]]+STOCK[[#This Row],[Comisión 10%]]</f>
        <v>30.5</v>
      </c>
      <c r="U359" s="53">
        <f>STOCK[[#This Row],[Costo total]]*1.5</f>
        <v>45.75</v>
      </c>
      <c r="V359" s="53">
        <v>35</v>
      </c>
      <c r="W359" s="53">
        <f>STOCK[[#This Row],[Precio Final]]-STOCK[[#This Row],[Costo total]]</f>
        <v>4.5</v>
      </c>
      <c r="X359" s="53">
        <f>STOCK[[#This Row],[Ganancia Unitaria]]*STOCK[[#This Row],[Salidas]]</f>
        <v>4.5</v>
      </c>
      <c r="AA359" s="53">
        <f>STOCK[[#This Row],[Costo total]]*STOCK[[#This Row],[Entradas]]</f>
        <v>30.5</v>
      </c>
      <c r="AB359" s="53">
        <f>STOCK[[#This Row],[Stock Actual]]*STOCK[[#This Row],[Costo total]]</f>
        <v>0</v>
      </c>
    </row>
    <row r="360" s="54" customFormat="1" ht="50" customHeight="1" spans="1:28">
      <c r="A360" s="54" t="s">
        <v>760</v>
      </c>
      <c r="B360" s="66"/>
      <c r="C360" s="54" t="s">
        <v>32</v>
      </c>
      <c r="D360" s="54" t="s">
        <v>515</v>
      </c>
      <c r="E360" s="68" t="s">
        <v>758</v>
      </c>
      <c r="F360" s="54" t="s">
        <v>517</v>
      </c>
      <c r="G360" s="54" t="s">
        <v>704</v>
      </c>
      <c r="H360" s="54">
        <f>STOCK[[#This Row],[Precio Final]]</f>
        <v>35</v>
      </c>
      <c r="I360" s="54">
        <f>STOCK[[#This Row],[Precio Venta Ideal (x1.5)]]</f>
        <v>45.75</v>
      </c>
      <c r="J360" s="72">
        <v>1</v>
      </c>
      <c r="K360" s="72">
        <f>SUMIFS(VENTAS[Cantidad],VENTAS[Código del producto Vendido],STOCK[[#This Row],[Code]])</f>
        <v>1</v>
      </c>
      <c r="L360" s="72">
        <f>STOCK[[#This Row],[Entradas]]-STOCK[[#This Row],[Salidas]]</f>
        <v>0</v>
      </c>
      <c r="M360" s="54">
        <f>STOCK[[#This Row],[Precio Final]]*10%</f>
        <v>3.5</v>
      </c>
      <c r="N360" s="54">
        <v>360</v>
      </c>
      <c r="O360" s="54">
        <v>18</v>
      </c>
      <c r="P360" s="54">
        <v>20</v>
      </c>
      <c r="Q360" s="72">
        <v>700</v>
      </c>
      <c r="R360" s="54">
        <v>10</v>
      </c>
      <c r="S360" s="54">
        <f>STOCK[[#This Row],[Peso (g)]]*STOCK[[#This Row],[Precio Envío Kilogramo (USD)]]/1000</f>
        <v>7</v>
      </c>
      <c r="T360" s="53">
        <f>STOCK[[#This Row],[Costo Unitario (USD)]]+STOCK[[#This Row],[Costo Envío (USD)]]+STOCK[[#This Row],[Comisión 10%]]</f>
        <v>30.5</v>
      </c>
      <c r="U360" s="54">
        <f>STOCK[[#This Row],[Costo total]]*1.5</f>
        <v>45.75</v>
      </c>
      <c r="V360" s="54">
        <v>35</v>
      </c>
      <c r="W360" s="54">
        <f>STOCK[[#This Row],[Precio Final]]-STOCK[[#This Row],[Costo total]]</f>
        <v>4.5</v>
      </c>
      <c r="X360" s="54">
        <f>STOCK[[#This Row],[Ganancia Unitaria]]*STOCK[[#This Row],[Salidas]]</f>
        <v>4.5</v>
      </c>
      <c r="AA360" s="54">
        <f>STOCK[[#This Row],[Costo total]]*STOCK[[#This Row],[Entradas]]</f>
        <v>30.5</v>
      </c>
      <c r="AB360" s="54">
        <f>STOCK[[#This Row],[Stock Actual]]*STOCK[[#This Row],[Costo total]]</f>
        <v>0</v>
      </c>
    </row>
    <row r="361" s="53" customFormat="1" ht="50" customHeight="1" spans="1:29">
      <c r="A361" s="53" t="s">
        <v>761</v>
      </c>
      <c r="B361" s="66"/>
      <c r="C361" s="53" t="s">
        <v>32</v>
      </c>
      <c r="D361" s="53" t="s">
        <v>762</v>
      </c>
      <c r="E361" s="67" t="s">
        <v>763</v>
      </c>
      <c r="F361" s="53" t="s">
        <v>764</v>
      </c>
      <c r="G361" s="53" t="s">
        <v>704</v>
      </c>
      <c r="H361" s="53">
        <f>STOCK[[#This Row],[Precio Final]]</f>
        <v>35</v>
      </c>
      <c r="I361" s="53">
        <f>STOCK[[#This Row],[Precio Venta Ideal (x1.5)]]</f>
        <v>33.3333333333333</v>
      </c>
      <c r="J361" s="71">
        <v>2</v>
      </c>
      <c r="K361" s="71">
        <f>SUMIFS(VENTAS[Cantidad],VENTAS[Código del producto Vendido],STOCK[[#This Row],[Code]])</f>
        <v>0</v>
      </c>
      <c r="L361" s="71">
        <f>STOCK[[#This Row],[Entradas]]-STOCK[[#This Row],[Salidas]]</f>
        <v>2</v>
      </c>
      <c r="M361" s="53">
        <f>STOCK[[#This Row],[Precio Final]]*10%</f>
        <v>3.5</v>
      </c>
      <c r="N361" s="53">
        <v>265</v>
      </c>
      <c r="O361" s="53">
        <v>18</v>
      </c>
      <c r="P361" s="53">
        <v>14.7222222222222</v>
      </c>
      <c r="Q361" s="71">
        <v>400</v>
      </c>
      <c r="R361" s="53">
        <v>10</v>
      </c>
      <c r="S361" s="53">
        <f>STOCK[[#This Row],[Peso (g)]]*STOCK[[#This Row],[Precio Envío Kilogramo (USD)]]/1000</f>
        <v>4</v>
      </c>
      <c r="T361" s="53">
        <f>STOCK[[#This Row],[Costo Unitario (USD)]]+STOCK[[#This Row],[Costo Envío (USD)]]+STOCK[[#This Row],[Comisión 10%]]</f>
        <v>22.2222222222222</v>
      </c>
      <c r="U361" s="53">
        <f>STOCK[[#This Row],[Costo total]]*1.5</f>
        <v>33.3333333333333</v>
      </c>
      <c r="V361" s="53">
        <v>35</v>
      </c>
      <c r="W361" s="53">
        <f>STOCK[[#This Row],[Precio Final]]-STOCK[[#This Row],[Costo total]]</f>
        <v>12.7777777777778</v>
      </c>
      <c r="X361" s="53">
        <f>STOCK[[#This Row],[Ganancia Unitaria]]*STOCK[[#This Row],[Salidas]]</f>
        <v>0</v>
      </c>
      <c r="AA361" s="53">
        <f>STOCK[[#This Row],[Costo total]]*STOCK[[#This Row],[Entradas]]</f>
        <v>44.4444444444444</v>
      </c>
      <c r="AB361" s="53">
        <f>STOCK[[#This Row],[Stock Actual]]*STOCK[[#This Row],[Costo total]]</f>
        <v>44.4444444444444</v>
      </c>
      <c r="AC361" s="53">
        <v>27</v>
      </c>
    </row>
    <row r="362" s="54" customFormat="1" ht="50" customHeight="1" spans="1:29">
      <c r="A362" s="54" t="s">
        <v>765</v>
      </c>
      <c r="B362" s="66"/>
      <c r="C362" s="54" t="s">
        <v>32</v>
      </c>
      <c r="D362" s="53" t="s">
        <v>762</v>
      </c>
      <c r="E362" s="68" t="s">
        <v>763</v>
      </c>
      <c r="F362" s="54" t="s">
        <v>766</v>
      </c>
      <c r="G362" s="54" t="s">
        <v>704</v>
      </c>
      <c r="H362" s="54">
        <f>STOCK[[#This Row],[Precio Final]]</f>
        <v>35</v>
      </c>
      <c r="I362" s="54">
        <f>STOCK[[#This Row],[Precio Venta Ideal (x1.5)]]</f>
        <v>33.3333333333333</v>
      </c>
      <c r="J362" s="72">
        <v>2</v>
      </c>
      <c r="K362" s="72">
        <f>SUMIFS(VENTAS[Cantidad],VENTAS[Código del producto Vendido],STOCK[[#This Row],[Code]])</f>
        <v>1</v>
      </c>
      <c r="L362" s="72">
        <f>STOCK[[#This Row],[Entradas]]-STOCK[[#This Row],[Salidas]]</f>
        <v>1</v>
      </c>
      <c r="M362" s="54">
        <f>STOCK[[#This Row],[Precio Final]]*10%</f>
        <v>3.5</v>
      </c>
      <c r="N362" s="54">
        <v>265</v>
      </c>
      <c r="O362" s="54">
        <v>18</v>
      </c>
      <c r="P362" s="54">
        <v>14.7222222222222</v>
      </c>
      <c r="Q362" s="72">
        <v>400</v>
      </c>
      <c r="R362" s="54">
        <v>10</v>
      </c>
      <c r="S362" s="54">
        <f>STOCK[[#This Row],[Peso (g)]]*STOCK[[#This Row],[Precio Envío Kilogramo (USD)]]/1000</f>
        <v>4</v>
      </c>
      <c r="T362" s="53">
        <f>STOCK[[#This Row],[Costo Unitario (USD)]]+STOCK[[#This Row],[Costo Envío (USD)]]+STOCK[[#This Row],[Comisión 10%]]</f>
        <v>22.2222222222222</v>
      </c>
      <c r="U362" s="54">
        <f>STOCK[[#This Row],[Costo total]]*1.5</f>
        <v>33.3333333333333</v>
      </c>
      <c r="V362" s="54">
        <v>35</v>
      </c>
      <c r="W362" s="54">
        <f>STOCK[[#This Row],[Precio Final]]-STOCK[[#This Row],[Costo total]]</f>
        <v>12.7777777777778</v>
      </c>
      <c r="X362" s="54">
        <f>STOCK[[#This Row],[Ganancia Unitaria]]*STOCK[[#This Row],[Salidas]]</f>
        <v>12.7777777777778</v>
      </c>
      <c r="AA362" s="54">
        <f>STOCK[[#This Row],[Costo total]]*STOCK[[#This Row],[Entradas]]</f>
        <v>44.4444444444444</v>
      </c>
      <c r="AB362" s="54">
        <f>STOCK[[#This Row],[Stock Actual]]*STOCK[[#This Row],[Costo total]]</f>
        <v>22.2222222222222</v>
      </c>
      <c r="AC362" s="54">
        <v>27</v>
      </c>
    </row>
    <row r="363" s="53" customFormat="1" ht="50" customHeight="1" spans="1:29">
      <c r="A363" s="53" t="s">
        <v>767</v>
      </c>
      <c r="B363" s="66"/>
      <c r="C363" s="53" t="s">
        <v>32</v>
      </c>
      <c r="D363" s="53" t="s">
        <v>762</v>
      </c>
      <c r="E363" s="67" t="s">
        <v>763</v>
      </c>
      <c r="F363" s="53" t="s">
        <v>768</v>
      </c>
      <c r="G363" s="53" t="s">
        <v>704</v>
      </c>
      <c r="H363" s="53">
        <f>STOCK[[#This Row],[Precio Final]]</f>
        <v>35</v>
      </c>
      <c r="I363" s="53">
        <f>STOCK[[#This Row],[Precio Venta Ideal (x1.5)]]</f>
        <v>33.3333333333333</v>
      </c>
      <c r="J363" s="71">
        <v>1</v>
      </c>
      <c r="K363" s="71">
        <f>SUMIFS(VENTAS[Cantidad],VENTAS[Código del producto Vendido],STOCK[[#This Row],[Code]])</f>
        <v>0</v>
      </c>
      <c r="L363" s="71">
        <f>STOCK[[#This Row],[Entradas]]-STOCK[[#This Row],[Salidas]]</f>
        <v>1</v>
      </c>
      <c r="M363" s="53">
        <f>STOCK[[#This Row],[Precio Final]]*10%</f>
        <v>3.5</v>
      </c>
      <c r="N363" s="53">
        <v>265</v>
      </c>
      <c r="O363" s="53">
        <v>18</v>
      </c>
      <c r="P363" s="53">
        <v>14.7222222222222</v>
      </c>
      <c r="Q363" s="71">
        <v>400</v>
      </c>
      <c r="R363" s="53">
        <v>10</v>
      </c>
      <c r="S363" s="53">
        <f>STOCK[[#This Row],[Peso (g)]]*STOCK[[#This Row],[Precio Envío Kilogramo (USD)]]/1000</f>
        <v>4</v>
      </c>
      <c r="T363" s="53">
        <f>STOCK[[#This Row],[Costo Unitario (USD)]]+STOCK[[#This Row],[Costo Envío (USD)]]+STOCK[[#This Row],[Comisión 10%]]</f>
        <v>22.2222222222222</v>
      </c>
      <c r="U363" s="53">
        <f>STOCK[[#This Row],[Costo total]]*1.5</f>
        <v>33.3333333333333</v>
      </c>
      <c r="V363" s="53">
        <v>35</v>
      </c>
      <c r="W363" s="53">
        <f>STOCK[[#This Row],[Precio Final]]-STOCK[[#This Row],[Costo total]]</f>
        <v>12.7777777777778</v>
      </c>
      <c r="X363" s="53">
        <f>STOCK[[#This Row],[Ganancia Unitaria]]*STOCK[[#This Row],[Salidas]]</f>
        <v>0</v>
      </c>
      <c r="AA363" s="53">
        <f>STOCK[[#This Row],[Costo total]]*STOCK[[#This Row],[Entradas]]</f>
        <v>22.2222222222222</v>
      </c>
      <c r="AB363" s="53">
        <f>STOCK[[#This Row],[Stock Actual]]*STOCK[[#This Row],[Costo total]]</f>
        <v>22.2222222222222</v>
      </c>
      <c r="AC363" s="53">
        <v>27</v>
      </c>
    </row>
    <row r="364" s="54" customFormat="1" ht="50" customHeight="1" spans="1:29">
      <c r="A364" s="54" t="s">
        <v>769</v>
      </c>
      <c r="B364" s="66"/>
      <c r="C364" s="54" t="s">
        <v>32</v>
      </c>
      <c r="D364" s="54" t="s">
        <v>762</v>
      </c>
      <c r="E364" s="68" t="s">
        <v>770</v>
      </c>
      <c r="F364" s="54" t="s">
        <v>517</v>
      </c>
      <c r="G364" s="54" t="s">
        <v>704</v>
      </c>
      <c r="H364" s="54">
        <f>STOCK[[#This Row],[Precio Final]]</f>
        <v>25</v>
      </c>
      <c r="I364" s="54">
        <f>STOCK[[#This Row],[Precio Venta Ideal (x1.5)]]</f>
        <v>21.5833333333333</v>
      </c>
      <c r="J364" s="72">
        <v>2</v>
      </c>
      <c r="K364" s="72">
        <f>SUMIFS(VENTAS[Cantidad],VENTAS[Código del producto Vendido],STOCK[[#This Row],[Code]])</f>
        <v>1</v>
      </c>
      <c r="L364" s="72">
        <f>STOCK[[#This Row],[Entradas]]-STOCK[[#This Row],[Salidas]]</f>
        <v>1</v>
      </c>
      <c r="M364" s="54">
        <f>STOCK[[#This Row],[Precio Final]]*10%</f>
        <v>2.5</v>
      </c>
      <c r="N364" s="54">
        <v>169</v>
      </c>
      <c r="O364" s="54">
        <v>18</v>
      </c>
      <c r="P364" s="54">
        <v>9.38888888888889</v>
      </c>
      <c r="Q364" s="72">
        <v>250</v>
      </c>
      <c r="R364" s="54">
        <v>10</v>
      </c>
      <c r="S364" s="54">
        <f>STOCK[[#This Row],[Peso (g)]]*STOCK[[#This Row],[Precio Envío Kilogramo (USD)]]/1000</f>
        <v>2.5</v>
      </c>
      <c r="T364" s="53">
        <f>STOCK[[#This Row],[Costo Unitario (USD)]]+STOCK[[#This Row],[Costo Envío (USD)]]+STOCK[[#This Row],[Comisión 10%]]</f>
        <v>14.3888888888889</v>
      </c>
      <c r="U364" s="54">
        <f>STOCK[[#This Row],[Costo total]]*1.5</f>
        <v>21.5833333333333</v>
      </c>
      <c r="V364" s="54">
        <v>25</v>
      </c>
      <c r="W364" s="54">
        <f>STOCK[[#This Row],[Precio Final]]-STOCK[[#This Row],[Costo total]]</f>
        <v>10.6111111111111</v>
      </c>
      <c r="X364" s="54">
        <f>STOCK[[#This Row],[Ganancia Unitaria]]*STOCK[[#This Row],[Salidas]]</f>
        <v>10.6111111111111</v>
      </c>
      <c r="AA364" s="54">
        <f>STOCK[[#This Row],[Costo total]]*STOCK[[#This Row],[Entradas]]</f>
        <v>28.7777777777778</v>
      </c>
      <c r="AB364" s="54">
        <f>STOCK[[#This Row],[Stock Actual]]*STOCK[[#This Row],[Costo total]]</f>
        <v>14.3888888888889</v>
      </c>
      <c r="AC364" s="54">
        <v>18</v>
      </c>
    </row>
    <row r="365" s="53" customFormat="1" ht="50" customHeight="1" spans="1:28">
      <c r="A365" s="53" t="s">
        <v>771</v>
      </c>
      <c r="B365" s="66"/>
      <c r="C365" s="53" t="s">
        <v>32</v>
      </c>
      <c r="D365" s="53" t="s">
        <v>515</v>
      </c>
      <c r="E365" s="67" t="s">
        <v>772</v>
      </c>
      <c r="F365" s="53" t="s">
        <v>540</v>
      </c>
      <c r="G365" s="53" t="s">
        <v>704</v>
      </c>
      <c r="H365" s="53">
        <f>STOCK[[#This Row],[Precio Final]]</f>
        <v>39</v>
      </c>
      <c r="I365" s="53">
        <f>STOCK[[#This Row],[Precio Venta Ideal (x1.5)]]</f>
        <v>50.1</v>
      </c>
      <c r="J365" s="71">
        <v>1</v>
      </c>
      <c r="K365" s="71">
        <f>SUMIFS(VENTAS[Cantidad],VENTAS[Código del producto Vendido],STOCK[[#This Row],[Code]])</f>
        <v>1</v>
      </c>
      <c r="L365" s="71">
        <f>STOCK[[#This Row],[Entradas]]-STOCK[[#This Row],[Salidas]]</f>
        <v>0</v>
      </c>
      <c r="M365" s="53">
        <f>STOCK[[#This Row],[Precio Final]]*10%</f>
        <v>3.9</v>
      </c>
      <c r="N365" s="53">
        <v>396</v>
      </c>
      <c r="O365" s="53">
        <v>18</v>
      </c>
      <c r="P365" s="53">
        <v>25</v>
      </c>
      <c r="Q365" s="71">
        <v>450</v>
      </c>
      <c r="R365" s="53">
        <v>10</v>
      </c>
      <c r="S365" s="53">
        <f>STOCK[[#This Row],[Peso (g)]]*STOCK[[#This Row],[Precio Envío Kilogramo (USD)]]/1000</f>
        <v>4.5</v>
      </c>
      <c r="T365" s="53">
        <f>STOCK[[#This Row],[Costo Unitario (USD)]]+STOCK[[#This Row],[Costo Envío (USD)]]+STOCK[[#This Row],[Comisión 10%]]</f>
        <v>33.4</v>
      </c>
      <c r="U365" s="53">
        <f>STOCK[[#This Row],[Costo total]]*1.5</f>
        <v>50.1</v>
      </c>
      <c r="V365" s="53">
        <v>39</v>
      </c>
      <c r="W365" s="53">
        <f>STOCK[[#This Row],[Precio Final]]-STOCK[[#This Row],[Costo total]]</f>
        <v>5.6</v>
      </c>
      <c r="X365" s="53">
        <f>STOCK[[#This Row],[Ganancia Unitaria]]*STOCK[[#This Row],[Salidas]]</f>
        <v>5.6</v>
      </c>
      <c r="AA365" s="53">
        <f>STOCK[[#This Row],[Costo total]]*STOCK[[#This Row],[Entradas]]</f>
        <v>33.4</v>
      </c>
      <c r="AB365" s="53">
        <f>STOCK[[#This Row],[Stock Actual]]*STOCK[[#This Row],[Costo total]]</f>
        <v>0</v>
      </c>
    </row>
    <row r="366" s="54" customFormat="1" ht="50" customHeight="1" spans="1:28">
      <c r="A366" s="54" t="s">
        <v>773</v>
      </c>
      <c r="B366" s="66"/>
      <c r="C366" s="54" t="s">
        <v>32</v>
      </c>
      <c r="D366" s="54" t="s">
        <v>515</v>
      </c>
      <c r="E366" s="68" t="s">
        <v>774</v>
      </c>
      <c r="F366" s="54" t="s">
        <v>759</v>
      </c>
      <c r="G366" s="54" t="s">
        <v>704</v>
      </c>
      <c r="H366" s="54">
        <f>STOCK[[#This Row],[Precio Final]]</f>
        <v>35</v>
      </c>
      <c r="I366" s="54">
        <f>STOCK[[#This Row],[Precio Venta Ideal (x1.5)]]</f>
        <v>40.1666666666667</v>
      </c>
      <c r="J366" s="72">
        <v>1</v>
      </c>
      <c r="K366" s="72">
        <f>SUMIFS(VENTAS[Cantidad],VENTAS[Código del producto Vendido],STOCK[[#This Row],[Code]])</f>
        <v>1</v>
      </c>
      <c r="L366" s="72">
        <f>STOCK[[#This Row],[Entradas]]-STOCK[[#This Row],[Salidas]]</f>
        <v>0</v>
      </c>
      <c r="M366" s="54">
        <f>STOCK[[#This Row],[Precio Final]]*10%</f>
        <v>3.5</v>
      </c>
      <c r="N366" s="54">
        <v>356</v>
      </c>
      <c r="O366" s="54">
        <v>18</v>
      </c>
      <c r="P366" s="54">
        <v>19.7777777777778</v>
      </c>
      <c r="Q366" s="72">
        <v>350</v>
      </c>
      <c r="R366" s="54">
        <v>10</v>
      </c>
      <c r="S366" s="54">
        <f>STOCK[[#This Row],[Peso (g)]]*STOCK[[#This Row],[Precio Envío Kilogramo (USD)]]/1000</f>
        <v>3.5</v>
      </c>
      <c r="T366" s="53">
        <f>STOCK[[#This Row],[Costo Unitario (USD)]]+STOCK[[#This Row],[Costo Envío (USD)]]+STOCK[[#This Row],[Comisión 10%]]</f>
        <v>26.7777777777778</v>
      </c>
      <c r="U366" s="54">
        <f>STOCK[[#This Row],[Costo total]]*1.5</f>
        <v>40.1666666666667</v>
      </c>
      <c r="V366" s="54">
        <v>35</v>
      </c>
      <c r="W366" s="54">
        <f>STOCK[[#This Row],[Precio Final]]-STOCK[[#This Row],[Costo total]]</f>
        <v>8.2222222222222</v>
      </c>
      <c r="X366" s="54">
        <f>STOCK[[#This Row],[Ganancia Unitaria]]*STOCK[[#This Row],[Salidas]]</f>
        <v>8.2222222222222</v>
      </c>
      <c r="AA366" s="54">
        <f>STOCK[[#This Row],[Costo total]]*STOCK[[#This Row],[Entradas]]</f>
        <v>26.7777777777778</v>
      </c>
      <c r="AB366" s="54">
        <f>STOCK[[#This Row],[Stock Actual]]*STOCK[[#This Row],[Costo total]]</f>
        <v>0</v>
      </c>
    </row>
    <row r="367" s="53" customFormat="1" ht="50" customHeight="1" spans="1:28">
      <c r="A367" s="53" t="s">
        <v>775</v>
      </c>
      <c r="B367" s="66"/>
      <c r="C367" s="53" t="s">
        <v>32</v>
      </c>
      <c r="D367" s="53" t="s">
        <v>515</v>
      </c>
      <c r="E367" s="67" t="s">
        <v>774</v>
      </c>
      <c r="F367" s="53" t="s">
        <v>768</v>
      </c>
      <c r="G367" s="53" t="s">
        <v>704</v>
      </c>
      <c r="H367" s="53">
        <f>STOCK[[#This Row],[Precio Final]]</f>
        <v>30</v>
      </c>
      <c r="I367" s="53">
        <f>STOCK[[#This Row],[Precio Venta Ideal (x1.5)]]</f>
        <v>39.4166666666667</v>
      </c>
      <c r="J367" s="71">
        <v>1</v>
      </c>
      <c r="K367" s="71">
        <f>SUMIFS(VENTAS[Cantidad],VENTAS[Código del producto Vendido],STOCK[[#This Row],[Code]])</f>
        <v>1</v>
      </c>
      <c r="L367" s="71">
        <f>STOCK[[#This Row],[Entradas]]-STOCK[[#This Row],[Salidas]]</f>
        <v>0</v>
      </c>
      <c r="M367" s="53">
        <f>STOCK[[#This Row],[Precio Final]]*10%</f>
        <v>3</v>
      </c>
      <c r="N367" s="53">
        <v>356</v>
      </c>
      <c r="O367" s="53">
        <v>18</v>
      </c>
      <c r="P367" s="53">
        <v>19.7777777777778</v>
      </c>
      <c r="Q367" s="71">
        <v>350</v>
      </c>
      <c r="R367" s="53">
        <v>10</v>
      </c>
      <c r="S367" s="53">
        <f>STOCK[[#This Row],[Peso (g)]]*STOCK[[#This Row],[Precio Envío Kilogramo (USD)]]/1000</f>
        <v>3.5</v>
      </c>
      <c r="T367" s="53">
        <f>STOCK[[#This Row],[Costo Unitario (USD)]]+STOCK[[#This Row],[Costo Envío (USD)]]+STOCK[[#This Row],[Comisión 10%]]</f>
        <v>26.2777777777778</v>
      </c>
      <c r="U367" s="53">
        <f>STOCK[[#This Row],[Costo total]]*1.5</f>
        <v>39.4166666666667</v>
      </c>
      <c r="V367" s="53">
        <v>30</v>
      </c>
      <c r="W367" s="53">
        <f>STOCK[[#This Row],[Precio Final]]-STOCK[[#This Row],[Costo total]]</f>
        <v>3.7222222222222</v>
      </c>
      <c r="X367" s="53">
        <f>STOCK[[#This Row],[Ganancia Unitaria]]*STOCK[[#This Row],[Salidas]]</f>
        <v>3.7222222222222</v>
      </c>
      <c r="AA367" s="53">
        <f>STOCK[[#This Row],[Costo total]]*STOCK[[#This Row],[Entradas]]</f>
        <v>26.2777777777778</v>
      </c>
      <c r="AB367" s="53">
        <f>STOCK[[#This Row],[Stock Actual]]*STOCK[[#This Row],[Costo total]]</f>
        <v>0</v>
      </c>
    </row>
    <row r="368" s="54" customFormat="1" ht="50" customHeight="1" spans="1:28">
      <c r="A368" s="54" t="s">
        <v>776</v>
      </c>
      <c r="B368" s="66"/>
      <c r="C368" s="54" t="s">
        <v>32</v>
      </c>
      <c r="D368" s="54" t="s">
        <v>174</v>
      </c>
      <c r="E368" s="68" t="s">
        <v>777</v>
      </c>
      <c r="F368" s="54" t="s">
        <v>778</v>
      </c>
      <c r="G368" s="54" t="s">
        <v>704</v>
      </c>
      <c r="H368" s="54">
        <f>STOCK[[#This Row],[Precio Final]]</f>
        <v>10</v>
      </c>
      <c r="I368" s="54">
        <f>STOCK[[#This Row],[Precio Venta Ideal (x1.5)]]</f>
        <v>10.5833333333333</v>
      </c>
      <c r="J368" s="72">
        <v>3</v>
      </c>
      <c r="K368" s="72">
        <f>SUMIFS(VENTAS[Cantidad],VENTAS[Código del producto Vendido],STOCK[[#This Row],[Code]])</f>
        <v>3</v>
      </c>
      <c r="L368" s="72">
        <f>STOCK[[#This Row],[Entradas]]-STOCK[[#This Row],[Salidas]]</f>
        <v>0</v>
      </c>
      <c r="M368" s="54">
        <f>STOCK[[#This Row],[Precio Final]]*10%</f>
        <v>1</v>
      </c>
      <c r="N368" s="54">
        <v>100</v>
      </c>
      <c r="O368" s="54">
        <v>18</v>
      </c>
      <c r="P368" s="54">
        <v>5.55555555555556</v>
      </c>
      <c r="Q368" s="72">
        <v>50</v>
      </c>
      <c r="R368" s="54">
        <v>10</v>
      </c>
      <c r="S368" s="54">
        <f>STOCK[[#This Row],[Peso (g)]]*STOCK[[#This Row],[Precio Envío Kilogramo (USD)]]/1000</f>
        <v>0.5</v>
      </c>
      <c r="T368" s="53">
        <f>STOCK[[#This Row],[Costo Unitario (USD)]]+STOCK[[#This Row],[Costo Envío (USD)]]+STOCK[[#This Row],[Comisión 10%]]</f>
        <v>7.05555555555556</v>
      </c>
      <c r="U368" s="54">
        <f>STOCK[[#This Row],[Costo total]]*1.5</f>
        <v>10.5833333333333</v>
      </c>
      <c r="V368" s="54">
        <v>10</v>
      </c>
      <c r="W368" s="54">
        <f>STOCK[[#This Row],[Precio Final]]-STOCK[[#This Row],[Costo total]]</f>
        <v>2.94444444444444</v>
      </c>
      <c r="X368" s="54">
        <f>STOCK[[#This Row],[Ganancia Unitaria]]*STOCK[[#This Row],[Salidas]]</f>
        <v>8.83333333333332</v>
      </c>
      <c r="AA368" s="54">
        <f>STOCK[[#This Row],[Costo total]]*STOCK[[#This Row],[Entradas]]</f>
        <v>21.1666666666667</v>
      </c>
      <c r="AB368" s="54">
        <f>STOCK[[#This Row],[Stock Actual]]*STOCK[[#This Row],[Costo total]]</f>
        <v>0</v>
      </c>
    </row>
    <row r="369" s="53" customFormat="1" ht="50" customHeight="1" spans="1:28">
      <c r="A369" s="53" t="s">
        <v>779</v>
      </c>
      <c r="B369" s="66"/>
      <c r="C369" s="53" t="s">
        <v>32</v>
      </c>
      <c r="D369" s="53" t="s">
        <v>780</v>
      </c>
      <c r="E369" s="67" t="s">
        <v>777</v>
      </c>
      <c r="F369" s="53" t="s">
        <v>40</v>
      </c>
      <c r="G369" s="53" t="s">
        <v>704</v>
      </c>
      <c r="H369" s="53">
        <f>STOCK[[#This Row],[Precio Final]]</f>
        <v>10</v>
      </c>
      <c r="I369" s="53">
        <f>STOCK[[#This Row],[Precio Venta Ideal (x1.5)]]</f>
        <v>10.5833333333333</v>
      </c>
      <c r="J369" s="71">
        <v>2</v>
      </c>
      <c r="K369" s="71">
        <f>SUMIFS(VENTAS[Cantidad],VENTAS[Código del producto Vendido],STOCK[[#This Row],[Code]])</f>
        <v>2</v>
      </c>
      <c r="L369" s="71">
        <f>STOCK[[#This Row],[Entradas]]-STOCK[[#This Row],[Salidas]]</f>
        <v>0</v>
      </c>
      <c r="M369" s="53">
        <f>STOCK[[#This Row],[Precio Final]]*10%</f>
        <v>1</v>
      </c>
      <c r="N369" s="53">
        <v>100</v>
      </c>
      <c r="O369" s="53">
        <v>18</v>
      </c>
      <c r="P369" s="53">
        <v>5.55555555555556</v>
      </c>
      <c r="Q369" s="71">
        <v>50</v>
      </c>
      <c r="R369" s="53">
        <v>10</v>
      </c>
      <c r="S369" s="53">
        <f>STOCK[[#This Row],[Peso (g)]]*STOCK[[#This Row],[Precio Envío Kilogramo (USD)]]/1000</f>
        <v>0.5</v>
      </c>
      <c r="T369" s="53">
        <f>STOCK[[#This Row],[Costo Unitario (USD)]]+STOCK[[#This Row],[Costo Envío (USD)]]+STOCK[[#This Row],[Comisión 10%]]</f>
        <v>7.05555555555556</v>
      </c>
      <c r="U369" s="53">
        <f>STOCK[[#This Row],[Costo total]]*1.5</f>
        <v>10.5833333333333</v>
      </c>
      <c r="V369" s="53">
        <v>10</v>
      </c>
      <c r="W369" s="53">
        <f>STOCK[[#This Row],[Precio Final]]-STOCK[[#This Row],[Costo total]]</f>
        <v>2.94444444444444</v>
      </c>
      <c r="X369" s="53">
        <f>STOCK[[#This Row],[Ganancia Unitaria]]*STOCK[[#This Row],[Salidas]]</f>
        <v>5.88888888888888</v>
      </c>
      <c r="AA369" s="53">
        <f>STOCK[[#This Row],[Costo total]]*STOCK[[#This Row],[Entradas]]</f>
        <v>14.1111111111111</v>
      </c>
      <c r="AB369" s="53">
        <f>STOCK[[#This Row],[Stock Actual]]*STOCK[[#This Row],[Costo total]]</f>
        <v>0</v>
      </c>
    </row>
    <row r="370" s="54" customFormat="1" ht="50" customHeight="1" spans="1:28">
      <c r="A370" s="54" t="s">
        <v>781</v>
      </c>
      <c r="B370" s="66"/>
      <c r="C370" s="54" t="s">
        <v>32</v>
      </c>
      <c r="D370" s="54" t="s">
        <v>780</v>
      </c>
      <c r="E370" s="68" t="s">
        <v>782</v>
      </c>
      <c r="F370" s="54" t="s">
        <v>40</v>
      </c>
      <c r="G370" s="54" t="s">
        <v>704</v>
      </c>
      <c r="H370" s="54">
        <f>STOCK[[#This Row],[Precio Final]]</f>
        <v>10</v>
      </c>
      <c r="I370" s="54">
        <f>STOCK[[#This Row],[Precio Venta Ideal (x1.5)]]</f>
        <v>10.5833333333333</v>
      </c>
      <c r="J370" s="72">
        <v>2</v>
      </c>
      <c r="K370" s="72">
        <f>SUMIFS(VENTAS[Cantidad],VENTAS[Código del producto Vendido],STOCK[[#This Row],[Code]])</f>
        <v>0</v>
      </c>
      <c r="L370" s="72">
        <f>STOCK[[#This Row],[Entradas]]-STOCK[[#This Row],[Salidas]]</f>
        <v>2</v>
      </c>
      <c r="M370" s="54">
        <f>STOCK[[#This Row],[Precio Final]]*10%</f>
        <v>1</v>
      </c>
      <c r="N370" s="54">
        <v>100</v>
      </c>
      <c r="O370" s="54">
        <v>18</v>
      </c>
      <c r="P370" s="54">
        <v>5.55555555555556</v>
      </c>
      <c r="Q370" s="72">
        <v>50</v>
      </c>
      <c r="R370" s="54">
        <v>10</v>
      </c>
      <c r="S370" s="54">
        <f>STOCK[[#This Row],[Peso (g)]]*STOCK[[#This Row],[Precio Envío Kilogramo (USD)]]/1000</f>
        <v>0.5</v>
      </c>
      <c r="T370" s="53">
        <f>STOCK[[#This Row],[Costo Unitario (USD)]]+STOCK[[#This Row],[Costo Envío (USD)]]+STOCK[[#This Row],[Comisión 10%]]</f>
        <v>7.05555555555556</v>
      </c>
      <c r="U370" s="54">
        <f>STOCK[[#This Row],[Costo total]]*1.5</f>
        <v>10.5833333333333</v>
      </c>
      <c r="V370" s="54">
        <v>10</v>
      </c>
      <c r="W370" s="54">
        <f>STOCK[[#This Row],[Precio Final]]-STOCK[[#This Row],[Costo total]]</f>
        <v>2.94444444444444</v>
      </c>
      <c r="X370" s="54">
        <f>STOCK[[#This Row],[Ganancia Unitaria]]*STOCK[[#This Row],[Salidas]]</f>
        <v>0</v>
      </c>
      <c r="AA370" s="54">
        <f>STOCK[[#This Row],[Costo total]]*STOCK[[#This Row],[Entradas]]</f>
        <v>14.1111111111111</v>
      </c>
      <c r="AB370" s="54">
        <f>STOCK[[#This Row],[Stock Actual]]*STOCK[[#This Row],[Costo total]]</f>
        <v>14.1111111111111</v>
      </c>
    </row>
    <row r="371" s="53" customFormat="1" ht="50" customHeight="1" spans="1:28">
      <c r="A371" s="53" t="s">
        <v>783</v>
      </c>
      <c r="B371" s="66"/>
      <c r="C371" s="53" t="s">
        <v>32</v>
      </c>
      <c r="D371" s="53" t="s">
        <v>174</v>
      </c>
      <c r="E371" s="67" t="s">
        <v>782</v>
      </c>
      <c r="F371" s="53" t="s">
        <v>778</v>
      </c>
      <c r="G371" s="53" t="s">
        <v>704</v>
      </c>
      <c r="H371" s="53">
        <f>STOCK[[#This Row],[Precio Final]]</f>
        <v>10</v>
      </c>
      <c r="I371" s="53">
        <f>STOCK[[#This Row],[Precio Venta Ideal (x1.5)]]</f>
        <v>10.5833333333333</v>
      </c>
      <c r="J371" s="71">
        <v>1</v>
      </c>
      <c r="K371" s="71">
        <f>SUMIFS(VENTAS[Cantidad],VENTAS[Código del producto Vendido],STOCK[[#This Row],[Code]])</f>
        <v>1</v>
      </c>
      <c r="L371" s="71">
        <f>STOCK[[#This Row],[Entradas]]-STOCK[[#This Row],[Salidas]]</f>
        <v>0</v>
      </c>
      <c r="M371" s="53">
        <f>STOCK[[#This Row],[Precio Final]]*10%</f>
        <v>1</v>
      </c>
      <c r="N371" s="53">
        <v>100</v>
      </c>
      <c r="O371" s="53">
        <v>18</v>
      </c>
      <c r="P371" s="53">
        <v>5.55555555555556</v>
      </c>
      <c r="Q371" s="71">
        <v>50</v>
      </c>
      <c r="R371" s="53">
        <v>10</v>
      </c>
      <c r="S371" s="53">
        <f>STOCK[[#This Row],[Peso (g)]]*STOCK[[#This Row],[Precio Envío Kilogramo (USD)]]/1000</f>
        <v>0.5</v>
      </c>
      <c r="T371" s="53">
        <f>STOCK[[#This Row],[Costo Unitario (USD)]]+STOCK[[#This Row],[Costo Envío (USD)]]+STOCK[[#This Row],[Comisión 10%]]</f>
        <v>7.05555555555556</v>
      </c>
      <c r="U371" s="53">
        <f>STOCK[[#This Row],[Costo total]]*1.5</f>
        <v>10.5833333333333</v>
      </c>
      <c r="V371" s="53">
        <v>10</v>
      </c>
      <c r="W371" s="53">
        <f>STOCK[[#This Row],[Precio Final]]-STOCK[[#This Row],[Costo total]]</f>
        <v>2.94444444444444</v>
      </c>
      <c r="X371" s="53">
        <f>STOCK[[#This Row],[Ganancia Unitaria]]*STOCK[[#This Row],[Salidas]]</f>
        <v>2.94444444444444</v>
      </c>
      <c r="AA371" s="53">
        <f>STOCK[[#This Row],[Costo total]]*STOCK[[#This Row],[Entradas]]</f>
        <v>7.05555555555556</v>
      </c>
      <c r="AB371" s="53">
        <f>STOCK[[#This Row],[Stock Actual]]*STOCK[[#This Row],[Costo total]]</f>
        <v>0</v>
      </c>
    </row>
    <row r="372" s="54" customFormat="1" ht="50" customHeight="1" spans="1:28">
      <c r="A372" s="54" t="s">
        <v>784</v>
      </c>
      <c r="B372" s="66"/>
      <c r="C372" s="54" t="s">
        <v>32</v>
      </c>
      <c r="D372" s="54" t="s">
        <v>780</v>
      </c>
      <c r="E372" s="68" t="s">
        <v>785</v>
      </c>
      <c r="F372" s="54" t="s">
        <v>40</v>
      </c>
      <c r="G372" s="54" t="s">
        <v>704</v>
      </c>
      <c r="H372" s="54">
        <f>STOCK[[#This Row],[Precio Final]]</f>
        <v>10</v>
      </c>
      <c r="I372" s="54">
        <f>STOCK[[#This Row],[Precio Venta Ideal (x1.5)]]</f>
        <v>10.5833333333333</v>
      </c>
      <c r="J372" s="72">
        <v>2</v>
      </c>
      <c r="K372" s="72">
        <f>SUMIFS(VENTAS[Cantidad],VENTAS[Código del producto Vendido],STOCK[[#This Row],[Code]])</f>
        <v>1</v>
      </c>
      <c r="L372" s="72">
        <f>STOCK[[#This Row],[Entradas]]-STOCK[[#This Row],[Salidas]]</f>
        <v>1</v>
      </c>
      <c r="M372" s="54">
        <f>STOCK[[#This Row],[Precio Final]]*10%</f>
        <v>1</v>
      </c>
      <c r="N372" s="54">
        <v>100</v>
      </c>
      <c r="O372" s="54">
        <v>18</v>
      </c>
      <c r="P372" s="54">
        <v>5.55555555555556</v>
      </c>
      <c r="Q372" s="72">
        <v>50</v>
      </c>
      <c r="R372" s="54">
        <v>10</v>
      </c>
      <c r="S372" s="54">
        <f>STOCK[[#This Row],[Peso (g)]]*STOCK[[#This Row],[Precio Envío Kilogramo (USD)]]/1000</f>
        <v>0.5</v>
      </c>
      <c r="T372" s="53">
        <f>STOCK[[#This Row],[Costo Unitario (USD)]]+STOCK[[#This Row],[Costo Envío (USD)]]+STOCK[[#This Row],[Comisión 10%]]</f>
        <v>7.05555555555556</v>
      </c>
      <c r="U372" s="54">
        <f>STOCK[[#This Row],[Costo total]]*1.5</f>
        <v>10.5833333333333</v>
      </c>
      <c r="V372" s="54">
        <v>10</v>
      </c>
      <c r="W372" s="54">
        <f>STOCK[[#This Row],[Precio Final]]-STOCK[[#This Row],[Costo total]]</f>
        <v>2.94444444444444</v>
      </c>
      <c r="X372" s="54">
        <f>STOCK[[#This Row],[Ganancia Unitaria]]*STOCK[[#This Row],[Salidas]]</f>
        <v>2.94444444444444</v>
      </c>
      <c r="AA372" s="54">
        <f>STOCK[[#This Row],[Costo total]]*STOCK[[#This Row],[Entradas]]</f>
        <v>14.1111111111111</v>
      </c>
      <c r="AB372" s="54">
        <f>STOCK[[#This Row],[Stock Actual]]*STOCK[[#This Row],[Costo total]]</f>
        <v>7.05555555555556</v>
      </c>
    </row>
    <row r="373" s="53" customFormat="1" ht="50" customHeight="1" spans="1:28">
      <c r="A373" s="53" t="s">
        <v>786</v>
      </c>
      <c r="B373" s="66"/>
      <c r="C373" s="53" t="s">
        <v>32</v>
      </c>
      <c r="D373" s="53" t="s">
        <v>174</v>
      </c>
      <c r="E373" s="67" t="s">
        <v>787</v>
      </c>
      <c r="F373" s="53" t="s">
        <v>62</v>
      </c>
      <c r="G373" s="53" t="s">
        <v>704</v>
      </c>
      <c r="H373" s="53">
        <f>STOCK[[#This Row],[Precio Final]]</f>
        <v>10</v>
      </c>
      <c r="I373" s="53">
        <f>STOCK[[#This Row],[Precio Venta Ideal (x1.5)]]</f>
        <v>10.5833333333333</v>
      </c>
      <c r="J373" s="71">
        <v>1</v>
      </c>
      <c r="K373" s="71">
        <f>SUMIFS(VENTAS[Cantidad],VENTAS[Código del producto Vendido],STOCK[[#This Row],[Code]])</f>
        <v>1</v>
      </c>
      <c r="L373" s="71">
        <f>STOCK[[#This Row],[Entradas]]-STOCK[[#This Row],[Salidas]]</f>
        <v>0</v>
      </c>
      <c r="M373" s="53">
        <f>STOCK[[#This Row],[Precio Final]]*10%</f>
        <v>1</v>
      </c>
      <c r="N373" s="53">
        <v>100</v>
      </c>
      <c r="O373" s="53">
        <v>18</v>
      </c>
      <c r="P373" s="53">
        <v>5.55555555555556</v>
      </c>
      <c r="Q373" s="71">
        <v>50</v>
      </c>
      <c r="R373" s="53">
        <v>10</v>
      </c>
      <c r="S373" s="53">
        <f>STOCK[[#This Row],[Peso (g)]]*STOCK[[#This Row],[Precio Envío Kilogramo (USD)]]/1000</f>
        <v>0.5</v>
      </c>
      <c r="T373" s="53">
        <f>STOCK[[#This Row],[Costo Unitario (USD)]]+STOCK[[#This Row],[Costo Envío (USD)]]+STOCK[[#This Row],[Comisión 10%]]</f>
        <v>7.05555555555556</v>
      </c>
      <c r="U373" s="53">
        <f>STOCK[[#This Row],[Costo total]]*1.5</f>
        <v>10.5833333333333</v>
      </c>
      <c r="V373" s="53">
        <v>10</v>
      </c>
      <c r="W373" s="53">
        <f>STOCK[[#This Row],[Precio Final]]-STOCK[[#This Row],[Costo total]]</f>
        <v>2.94444444444444</v>
      </c>
      <c r="X373" s="53">
        <f>STOCK[[#This Row],[Ganancia Unitaria]]*STOCK[[#This Row],[Salidas]]</f>
        <v>2.94444444444444</v>
      </c>
      <c r="AA373" s="53">
        <f>STOCK[[#This Row],[Costo total]]*STOCK[[#This Row],[Entradas]]</f>
        <v>7.05555555555556</v>
      </c>
      <c r="AB373" s="53">
        <f>STOCK[[#This Row],[Stock Actual]]*STOCK[[#This Row],[Costo total]]</f>
        <v>0</v>
      </c>
    </row>
    <row r="374" s="54" customFormat="1" ht="50" customHeight="1" spans="1:28">
      <c r="A374" s="54" t="s">
        <v>788</v>
      </c>
      <c r="B374" s="66"/>
      <c r="C374" s="54" t="s">
        <v>32</v>
      </c>
      <c r="D374" s="54" t="s">
        <v>351</v>
      </c>
      <c r="E374" s="68" t="s">
        <v>789</v>
      </c>
      <c r="F374" s="54" t="s">
        <v>394</v>
      </c>
      <c r="G374" s="54" t="s">
        <v>704</v>
      </c>
      <c r="H374" s="54">
        <f>STOCK[[#This Row],[Precio Final]]</f>
        <v>0</v>
      </c>
      <c r="I374" s="54">
        <f>STOCK[[#This Row],[Precio Venta Ideal (x1.5)]]</f>
        <v>17.3333333333334</v>
      </c>
      <c r="J374" s="72">
        <v>0</v>
      </c>
      <c r="K374" s="72">
        <f>SUMIFS(VENTAS[Cantidad],VENTAS[Código del producto Vendido],STOCK[[#This Row],[Code]])</f>
        <v>0</v>
      </c>
      <c r="L374" s="72">
        <f>STOCK[[#This Row],[Entradas]]-STOCK[[#This Row],[Salidas]]</f>
        <v>0</v>
      </c>
      <c r="M374" s="54">
        <f>STOCK[[#This Row],[Precio Final]]*10%</f>
        <v>0</v>
      </c>
      <c r="N374" s="54">
        <v>199</v>
      </c>
      <c r="O374" s="54">
        <v>18</v>
      </c>
      <c r="P374" s="54">
        <v>11.0555555555556</v>
      </c>
      <c r="Q374" s="72">
        <v>50</v>
      </c>
      <c r="R374" s="54">
        <v>10</v>
      </c>
      <c r="S374" s="54">
        <f>STOCK[[#This Row],[Peso (g)]]*STOCK[[#This Row],[Precio Envío Kilogramo (USD)]]/1000</f>
        <v>0.5</v>
      </c>
      <c r="T374" s="53">
        <f>STOCK[[#This Row],[Costo Unitario (USD)]]+STOCK[[#This Row],[Costo Envío (USD)]]+STOCK[[#This Row],[Comisión 10%]]</f>
        <v>11.5555555555556</v>
      </c>
      <c r="U374" s="54">
        <f>STOCK[[#This Row],[Costo total]]*1.5</f>
        <v>17.3333333333334</v>
      </c>
      <c r="V374" s="54">
        <v>0</v>
      </c>
      <c r="W374" s="54">
        <f>STOCK[[#This Row],[Precio Final]]-STOCK[[#This Row],[Costo total]]</f>
        <v>-11.5555555555556</v>
      </c>
      <c r="X374" s="54">
        <f>STOCK[[#This Row],[Ganancia Unitaria]]*STOCK[[#This Row],[Salidas]]</f>
        <v>0</v>
      </c>
      <c r="AA374" s="54">
        <f>STOCK[[#This Row],[Costo total]]*STOCK[[#This Row],[Entradas]]</f>
        <v>0</v>
      </c>
      <c r="AB374" s="54">
        <f>STOCK[[#This Row],[Stock Actual]]*STOCK[[#This Row],[Costo total]]</f>
        <v>0</v>
      </c>
    </row>
    <row r="375" s="53" customFormat="1" ht="50" customHeight="1" spans="1:28">
      <c r="A375" s="53" t="s">
        <v>790</v>
      </c>
      <c r="B375" s="66"/>
      <c r="C375" s="53" t="s">
        <v>32</v>
      </c>
      <c r="D375" s="53" t="s">
        <v>351</v>
      </c>
      <c r="E375" s="67" t="s">
        <v>791</v>
      </c>
      <c r="F375" s="53" t="s">
        <v>525</v>
      </c>
      <c r="G375" s="53" t="s">
        <v>704</v>
      </c>
      <c r="H375" s="53">
        <f>STOCK[[#This Row],[Precio Final]]</f>
        <v>15</v>
      </c>
      <c r="I375" s="53">
        <f>STOCK[[#This Row],[Precio Venta Ideal (x1.5)]]</f>
        <v>19.5833333333334</v>
      </c>
      <c r="J375" s="71">
        <v>2</v>
      </c>
      <c r="K375" s="71">
        <f>SUMIFS(VENTAS[Cantidad],VENTAS[Código del producto Vendido],STOCK[[#This Row],[Code]])</f>
        <v>2</v>
      </c>
      <c r="L375" s="71">
        <f>STOCK[[#This Row],[Entradas]]-STOCK[[#This Row],[Salidas]]</f>
        <v>0</v>
      </c>
      <c r="M375" s="53">
        <f>STOCK[[#This Row],[Precio Final]]*10%</f>
        <v>1.5</v>
      </c>
      <c r="N375" s="53">
        <v>199</v>
      </c>
      <c r="O375" s="53">
        <v>18</v>
      </c>
      <c r="P375" s="53">
        <v>11.0555555555556</v>
      </c>
      <c r="Q375" s="71">
        <v>50</v>
      </c>
      <c r="R375" s="53">
        <v>10</v>
      </c>
      <c r="S375" s="53">
        <f>STOCK[[#This Row],[Peso (g)]]*STOCK[[#This Row],[Precio Envío Kilogramo (USD)]]/1000</f>
        <v>0.5</v>
      </c>
      <c r="T375" s="53">
        <f>STOCK[[#This Row],[Costo Unitario (USD)]]+STOCK[[#This Row],[Costo Envío (USD)]]+STOCK[[#This Row],[Comisión 10%]]</f>
        <v>13.0555555555556</v>
      </c>
      <c r="U375" s="53">
        <f>STOCK[[#This Row],[Costo total]]*1.5</f>
        <v>19.5833333333334</v>
      </c>
      <c r="V375" s="53">
        <v>15</v>
      </c>
      <c r="W375" s="53">
        <f>STOCK[[#This Row],[Precio Final]]-STOCK[[#This Row],[Costo total]]</f>
        <v>1.9444444444444</v>
      </c>
      <c r="X375" s="53">
        <f>STOCK[[#This Row],[Ganancia Unitaria]]*STOCK[[#This Row],[Salidas]]</f>
        <v>3.8888888888888</v>
      </c>
      <c r="AA375" s="53">
        <f>STOCK[[#This Row],[Costo total]]*STOCK[[#This Row],[Entradas]]</f>
        <v>26.1111111111112</v>
      </c>
      <c r="AB375" s="53">
        <f>STOCK[[#This Row],[Stock Actual]]*STOCK[[#This Row],[Costo total]]</f>
        <v>0</v>
      </c>
    </row>
    <row r="376" s="54" customFormat="1" ht="50" customHeight="1" spans="1:28">
      <c r="A376" s="54" t="s">
        <v>792</v>
      </c>
      <c r="B376" s="66"/>
      <c r="C376" s="54" t="s">
        <v>32</v>
      </c>
      <c r="D376" s="54" t="s">
        <v>152</v>
      </c>
      <c r="E376" s="68" t="s">
        <v>793</v>
      </c>
      <c r="F376" s="54" t="s">
        <v>49</v>
      </c>
      <c r="G376" s="54" t="s">
        <v>704</v>
      </c>
      <c r="H376" s="54">
        <f>STOCK[[#This Row],[Precio Final]]</f>
        <v>19</v>
      </c>
      <c r="I376" s="54">
        <f>STOCK[[#This Row],[Precio Venta Ideal (x1.5)]]</f>
        <v>22.4333333333334</v>
      </c>
      <c r="J376" s="72">
        <v>1</v>
      </c>
      <c r="K376" s="72">
        <f>SUMIFS(VENTAS[Cantidad],VENTAS[Código del producto Vendido],STOCK[[#This Row],[Code]])</f>
        <v>1</v>
      </c>
      <c r="L376" s="72">
        <f>STOCK[[#This Row],[Entradas]]-STOCK[[#This Row],[Salidas]]</f>
        <v>0</v>
      </c>
      <c r="M376" s="54">
        <f>STOCK[[#This Row],[Precio Final]]*10%</f>
        <v>1.9</v>
      </c>
      <c r="N376" s="54">
        <v>199</v>
      </c>
      <c r="O376" s="54">
        <v>18</v>
      </c>
      <c r="P376" s="54">
        <v>11.0555555555556</v>
      </c>
      <c r="Q376" s="72">
        <v>200</v>
      </c>
      <c r="R376" s="54">
        <v>10</v>
      </c>
      <c r="S376" s="54">
        <f>STOCK[[#This Row],[Peso (g)]]*STOCK[[#This Row],[Precio Envío Kilogramo (USD)]]/1000</f>
        <v>2</v>
      </c>
      <c r="T376" s="53">
        <f>STOCK[[#This Row],[Costo Unitario (USD)]]+STOCK[[#This Row],[Costo Envío (USD)]]+STOCK[[#This Row],[Comisión 10%]]</f>
        <v>14.9555555555556</v>
      </c>
      <c r="U376" s="54">
        <f>STOCK[[#This Row],[Costo total]]*1.5</f>
        <v>22.4333333333334</v>
      </c>
      <c r="V376" s="54">
        <v>19</v>
      </c>
      <c r="W376" s="54">
        <f>STOCK[[#This Row],[Precio Final]]-STOCK[[#This Row],[Costo total]]</f>
        <v>4.0444444444444</v>
      </c>
      <c r="X376" s="54">
        <f>STOCK[[#This Row],[Ganancia Unitaria]]*STOCK[[#This Row],[Salidas]]</f>
        <v>4.0444444444444</v>
      </c>
      <c r="AA376" s="54">
        <f>STOCK[[#This Row],[Costo total]]*STOCK[[#This Row],[Entradas]]</f>
        <v>14.9555555555556</v>
      </c>
      <c r="AB376" s="54">
        <f>STOCK[[#This Row],[Stock Actual]]*STOCK[[#This Row],[Costo total]]</f>
        <v>0</v>
      </c>
    </row>
    <row r="377" s="53" customFormat="1" ht="50" customHeight="1" spans="1:28">
      <c r="A377" s="53" t="s">
        <v>794</v>
      </c>
      <c r="B377" s="66"/>
      <c r="C377" s="53" t="s">
        <v>32</v>
      </c>
      <c r="D377" s="53" t="s">
        <v>152</v>
      </c>
      <c r="E377" s="67" t="s">
        <v>793</v>
      </c>
      <c r="F377" s="53" t="s">
        <v>778</v>
      </c>
      <c r="G377" s="53" t="s">
        <v>704</v>
      </c>
      <c r="H377" s="53">
        <f>STOCK[[#This Row],[Precio Final]]</f>
        <v>0</v>
      </c>
      <c r="I377" s="53">
        <f>STOCK[[#This Row],[Precio Venta Ideal (x1.5)]]</f>
        <v>40.5</v>
      </c>
      <c r="J377" s="71">
        <v>0</v>
      </c>
      <c r="K377" s="71">
        <f>SUMIFS(VENTAS[Cantidad],VENTAS[Código del producto Vendido],STOCK[[#This Row],[Code]])</f>
        <v>0</v>
      </c>
      <c r="L377" s="71">
        <f>STOCK[[#This Row],[Entradas]]-STOCK[[#This Row],[Salidas]]</f>
        <v>0</v>
      </c>
      <c r="M377" s="53">
        <f>STOCK[[#This Row],[Precio Final]]*10%</f>
        <v>0</v>
      </c>
      <c r="N377" s="53">
        <v>450</v>
      </c>
      <c r="O377" s="53">
        <v>18</v>
      </c>
      <c r="P377" s="53">
        <v>25</v>
      </c>
      <c r="Q377" s="71">
        <v>200</v>
      </c>
      <c r="R377" s="53">
        <v>10</v>
      </c>
      <c r="S377" s="53">
        <f>STOCK[[#This Row],[Peso (g)]]*STOCK[[#This Row],[Precio Envío Kilogramo (USD)]]/1000</f>
        <v>2</v>
      </c>
      <c r="T377" s="53">
        <f>STOCK[[#This Row],[Costo Unitario (USD)]]+STOCK[[#This Row],[Costo Envío (USD)]]+STOCK[[#This Row],[Comisión 10%]]</f>
        <v>27</v>
      </c>
      <c r="U377" s="53">
        <f>STOCK[[#This Row],[Costo total]]*1.5</f>
        <v>40.5</v>
      </c>
      <c r="V377" s="53">
        <v>0</v>
      </c>
      <c r="W377" s="53">
        <f>STOCK[[#This Row],[Precio Final]]-STOCK[[#This Row],[Costo total]]</f>
        <v>-27</v>
      </c>
      <c r="X377" s="53">
        <f>STOCK[[#This Row],[Ganancia Unitaria]]*STOCK[[#This Row],[Salidas]]</f>
        <v>0</v>
      </c>
      <c r="AA377" s="53">
        <f>STOCK[[#This Row],[Costo total]]*STOCK[[#This Row],[Entradas]]</f>
        <v>0</v>
      </c>
      <c r="AB377" s="53">
        <f>STOCK[[#This Row],[Stock Actual]]*STOCK[[#This Row],[Costo total]]</f>
        <v>0</v>
      </c>
    </row>
    <row r="378" s="54" customFormat="1" ht="50" customHeight="1" spans="1:28">
      <c r="A378" s="54" t="s">
        <v>795</v>
      </c>
      <c r="B378" s="66"/>
      <c r="C378" s="54" t="s">
        <v>32</v>
      </c>
      <c r="D378" s="54" t="s">
        <v>38</v>
      </c>
      <c r="E378" s="68" t="s">
        <v>796</v>
      </c>
      <c r="F378" s="54" t="s">
        <v>46</v>
      </c>
      <c r="G378" s="54" t="s">
        <v>36</v>
      </c>
      <c r="H378" s="54">
        <f>STOCK[[#This Row],[Precio Final]]</f>
        <v>20</v>
      </c>
      <c r="I378" s="54">
        <f>STOCK[[#This Row],[Precio Venta Ideal (x1.5)]]</f>
        <v>22.25</v>
      </c>
      <c r="J378" s="72">
        <v>1</v>
      </c>
      <c r="K378" s="72">
        <f>SUMIFS(VENTAS[Cantidad],VENTAS[Código del producto Vendido],STOCK[[#This Row],[Code]])</f>
        <v>1</v>
      </c>
      <c r="L378" s="72">
        <f>STOCK[[#This Row],[Entradas]]-STOCK[[#This Row],[Salidas]]</f>
        <v>0</v>
      </c>
      <c r="M378" s="54">
        <f>STOCK[[#This Row],[Precio Final]]*10%</f>
        <v>2</v>
      </c>
      <c r="N378" s="54">
        <v>195</v>
      </c>
      <c r="O378" s="54">
        <v>18</v>
      </c>
      <c r="P378" s="54">
        <v>10.8333333333333</v>
      </c>
      <c r="Q378" s="72">
        <v>200</v>
      </c>
      <c r="R378" s="54">
        <v>10</v>
      </c>
      <c r="S378" s="54">
        <f>STOCK[[#This Row],[Peso (g)]]*STOCK[[#This Row],[Precio Envío Kilogramo (USD)]]/1000</f>
        <v>2</v>
      </c>
      <c r="T378" s="53">
        <f>STOCK[[#This Row],[Costo Unitario (USD)]]+STOCK[[#This Row],[Costo Envío (USD)]]+STOCK[[#This Row],[Comisión 10%]]</f>
        <v>14.8333333333333</v>
      </c>
      <c r="U378" s="54">
        <f>STOCK[[#This Row],[Costo total]]*1.5</f>
        <v>22.25</v>
      </c>
      <c r="V378" s="54">
        <v>20</v>
      </c>
      <c r="W378" s="54">
        <f>STOCK[[#This Row],[Precio Final]]-STOCK[[#This Row],[Costo total]]</f>
        <v>5.1666666666667</v>
      </c>
      <c r="X378" s="54">
        <f>STOCK[[#This Row],[Ganancia Unitaria]]*STOCK[[#This Row],[Salidas]]</f>
        <v>5.1666666666667</v>
      </c>
      <c r="AA378" s="54">
        <f>STOCK[[#This Row],[Costo total]]*STOCK[[#This Row],[Entradas]]</f>
        <v>14.8333333333333</v>
      </c>
      <c r="AB378" s="54">
        <f>STOCK[[#This Row],[Stock Actual]]*STOCK[[#This Row],[Costo total]]</f>
        <v>0</v>
      </c>
    </row>
    <row r="379" s="53" customFormat="1" ht="50" customHeight="1" spans="1:28">
      <c r="A379" s="53" t="s">
        <v>797</v>
      </c>
      <c r="B379" s="66"/>
      <c r="C379" s="53" t="s">
        <v>32</v>
      </c>
      <c r="D379" s="53" t="s">
        <v>38</v>
      </c>
      <c r="E379" s="67" t="s">
        <v>798</v>
      </c>
      <c r="F379" s="53" t="s">
        <v>46</v>
      </c>
      <c r="G379" s="53" t="s">
        <v>36</v>
      </c>
      <c r="H379" s="53">
        <f>STOCK[[#This Row],[Precio Final]]</f>
        <v>20</v>
      </c>
      <c r="I379" s="53">
        <f>STOCK[[#This Row],[Precio Venta Ideal (x1.5)]]</f>
        <v>20.5833333333333</v>
      </c>
      <c r="J379" s="71">
        <v>1</v>
      </c>
      <c r="K379" s="71">
        <f>SUMIFS(VENTAS[Cantidad],VENTAS[Código del producto Vendido],STOCK[[#This Row],[Code]])</f>
        <v>1</v>
      </c>
      <c r="L379" s="71">
        <f>STOCK[[#This Row],[Entradas]]-STOCK[[#This Row],[Salidas]]</f>
        <v>0</v>
      </c>
      <c r="M379" s="53">
        <f>STOCK[[#This Row],[Precio Final]]*10%</f>
        <v>2</v>
      </c>
      <c r="N379" s="53">
        <v>175</v>
      </c>
      <c r="O379" s="53">
        <v>18</v>
      </c>
      <c r="P379" s="53">
        <v>9.72222222222222</v>
      </c>
      <c r="Q379" s="71">
        <v>200</v>
      </c>
      <c r="R379" s="53">
        <v>10</v>
      </c>
      <c r="S379" s="53">
        <f>STOCK[[#This Row],[Peso (g)]]*STOCK[[#This Row],[Precio Envío Kilogramo (USD)]]/1000</f>
        <v>2</v>
      </c>
      <c r="T379" s="53">
        <f>STOCK[[#This Row],[Costo Unitario (USD)]]+STOCK[[#This Row],[Costo Envío (USD)]]+STOCK[[#This Row],[Comisión 10%]]</f>
        <v>13.7222222222222</v>
      </c>
      <c r="U379" s="53">
        <f>STOCK[[#This Row],[Costo total]]*1.5</f>
        <v>20.5833333333333</v>
      </c>
      <c r="V379" s="53">
        <v>20</v>
      </c>
      <c r="W379" s="53">
        <f>STOCK[[#This Row],[Precio Final]]-STOCK[[#This Row],[Costo total]]</f>
        <v>6.27777777777778</v>
      </c>
      <c r="X379" s="53">
        <f>STOCK[[#This Row],[Ganancia Unitaria]]*STOCK[[#This Row],[Salidas]]</f>
        <v>6.27777777777778</v>
      </c>
      <c r="AA379" s="53">
        <f>STOCK[[#This Row],[Costo total]]*STOCK[[#This Row],[Entradas]]</f>
        <v>13.7222222222222</v>
      </c>
      <c r="AB379" s="53">
        <f>STOCK[[#This Row],[Stock Actual]]*STOCK[[#This Row],[Costo total]]</f>
        <v>0</v>
      </c>
    </row>
    <row r="380" s="54" customFormat="1" ht="50" customHeight="1" spans="1:29">
      <c r="A380" s="54" t="s">
        <v>799</v>
      </c>
      <c r="B380" s="66"/>
      <c r="C380" s="54" t="s">
        <v>32</v>
      </c>
      <c r="D380" s="54" t="s">
        <v>484</v>
      </c>
      <c r="E380" s="68" t="s">
        <v>800</v>
      </c>
      <c r="F380" s="54" t="s">
        <v>62</v>
      </c>
      <c r="G380" s="54" t="s">
        <v>36</v>
      </c>
      <c r="H380" s="54">
        <f>STOCK[[#This Row],[Precio Final]]</f>
        <v>18</v>
      </c>
      <c r="I380" s="54">
        <f>STOCK[[#This Row],[Precio Venta Ideal (x1.5)]]</f>
        <v>13.6166666666667</v>
      </c>
      <c r="J380" s="72">
        <v>3</v>
      </c>
      <c r="K380" s="72">
        <f>SUMIFS(VENTAS[Cantidad],VENTAS[Código del producto Vendido],STOCK[[#This Row],[Code]])</f>
        <v>1</v>
      </c>
      <c r="L380" s="72">
        <f>STOCK[[#This Row],[Entradas]]-STOCK[[#This Row],[Salidas]]</f>
        <v>2</v>
      </c>
      <c r="M380" s="54">
        <f>STOCK[[#This Row],[Precio Final]]*10%</f>
        <v>1.8</v>
      </c>
      <c r="N380" s="54">
        <v>95</v>
      </c>
      <c r="O380" s="54">
        <v>18</v>
      </c>
      <c r="P380" s="54">
        <v>5.27777777777778</v>
      </c>
      <c r="Q380" s="72">
        <v>200</v>
      </c>
      <c r="R380" s="54">
        <v>10</v>
      </c>
      <c r="S380" s="54">
        <f>STOCK[[#This Row],[Peso (g)]]*STOCK[[#This Row],[Precio Envío Kilogramo (USD)]]/1000</f>
        <v>2</v>
      </c>
      <c r="T380" s="53">
        <f>STOCK[[#This Row],[Costo Unitario (USD)]]+STOCK[[#This Row],[Costo Envío (USD)]]+STOCK[[#This Row],[Comisión 10%]]</f>
        <v>9.07777777777778</v>
      </c>
      <c r="U380" s="54">
        <f>STOCK[[#This Row],[Costo total]]*1.5</f>
        <v>13.6166666666667</v>
      </c>
      <c r="V380" s="54">
        <v>18</v>
      </c>
      <c r="W380" s="54">
        <f>STOCK[[#This Row],[Precio Final]]-STOCK[[#This Row],[Costo total]]</f>
        <v>8.92222222222222</v>
      </c>
      <c r="X380" s="54">
        <f>STOCK[[#This Row],[Ganancia Unitaria]]*STOCK[[#This Row],[Salidas]]</f>
        <v>8.92222222222222</v>
      </c>
      <c r="AA380" s="54">
        <f>STOCK[[#This Row],[Costo total]]*STOCK[[#This Row],[Entradas]]</f>
        <v>27.2333333333333</v>
      </c>
      <c r="AB380" s="54">
        <f>STOCK[[#This Row],[Stock Actual]]*STOCK[[#This Row],[Costo total]]</f>
        <v>18.1555555555556</v>
      </c>
      <c r="AC380" s="54">
        <v>12</v>
      </c>
    </row>
    <row r="381" s="53" customFormat="1" ht="50" customHeight="1" spans="1:28">
      <c r="A381" s="53" t="s">
        <v>801</v>
      </c>
      <c r="B381" s="66"/>
      <c r="C381" s="53" t="s">
        <v>32</v>
      </c>
      <c r="D381" s="53" t="s">
        <v>802</v>
      </c>
      <c r="E381" s="67" t="s">
        <v>803</v>
      </c>
      <c r="F381" s="53" t="s">
        <v>187</v>
      </c>
      <c r="G381" s="53" t="s">
        <v>36</v>
      </c>
      <c r="H381" s="53">
        <f>STOCK[[#This Row],[Precio Final]]</f>
        <v>15</v>
      </c>
      <c r="I381" s="53">
        <f>STOCK[[#This Row],[Precio Venta Ideal (x1.5)]]</f>
        <v>15.6666666666667</v>
      </c>
      <c r="J381" s="71">
        <v>1</v>
      </c>
      <c r="K381" s="71">
        <f>SUMIFS(VENTAS[Cantidad],VENTAS[Código del producto Vendido],STOCK[[#This Row],[Code]])</f>
        <v>1</v>
      </c>
      <c r="L381" s="71">
        <f>STOCK[[#This Row],[Entradas]]-STOCK[[#This Row],[Salidas]]</f>
        <v>0</v>
      </c>
      <c r="M381" s="53">
        <f>STOCK[[#This Row],[Precio Final]]*10%</f>
        <v>1.5</v>
      </c>
      <c r="N381" s="53">
        <v>125</v>
      </c>
      <c r="O381" s="53">
        <v>18</v>
      </c>
      <c r="P381" s="53">
        <v>6.94444444444444</v>
      </c>
      <c r="Q381" s="71">
        <v>200</v>
      </c>
      <c r="R381" s="53">
        <v>10</v>
      </c>
      <c r="S381" s="53">
        <f>STOCK[[#This Row],[Peso (g)]]*STOCK[[#This Row],[Precio Envío Kilogramo (USD)]]/1000</f>
        <v>2</v>
      </c>
      <c r="T381" s="53">
        <f>STOCK[[#This Row],[Costo Unitario (USD)]]+STOCK[[#This Row],[Costo Envío (USD)]]+STOCK[[#This Row],[Comisión 10%]]</f>
        <v>10.4444444444444</v>
      </c>
      <c r="U381" s="53">
        <f>STOCK[[#This Row],[Costo total]]*1.5</f>
        <v>15.6666666666667</v>
      </c>
      <c r="V381" s="53">
        <v>15</v>
      </c>
      <c r="W381" s="53">
        <f>STOCK[[#This Row],[Precio Final]]-STOCK[[#This Row],[Costo total]]</f>
        <v>4.55555555555556</v>
      </c>
      <c r="X381" s="53">
        <f>STOCK[[#This Row],[Ganancia Unitaria]]*STOCK[[#This Row],[Salidas]]</f>
        <v>4.55555555555556</v>
      </c>
      <c r="AA381" s="53">
        <f>STOCK[[#This Row],[Costo total]]*STOCK[[#This Row],[Entradas]]</f>
        <v>10.4444444444444</v>
      </c>
      <c r="AB381" s="53">
        <f>STOCK[[#This Row],[Stock Actual]]*STOCK[[#This Row],[Costo total]]</f>
        <v>0</v>
      </c>
    </row>
    <row r="382" s="54" customFormat="1" ht="50" customHeight="1" spans="1:29">
      <c r="A382" s="54" t="s">
        <v>804</v>
      </c>
      <c r="B382" s="66"/>
      <c r="C382" s="54" t="s">
        <v>32</v>
      </c>
      <c r="D382" s="54" t="s">
        <v>44</v>
      </c>
      <c r="E382" s="68" t="s">
        <v>805</v>
      </c>
      <c r="F382" s="54" t="s">
        <v>49</v>
      </c>
      <c r="G382" s="54" t="s">
        <v>36</v>
      </c>
      <c r="H382" s="54">
        <f>STOCK[[#This Row],[Precio Final]]</f>
        <v>20</v>
      </c>
      <c r="I382" s="54">
        <f>STOCK[[#This Row],[Precio Venta Ideal (x1.5)]]</f>
        <v>15.75</v>
      </c>
      <c r="J382" s="72">
        <v>3</v>
      </c>
      <c r="K382" s="72">
        <f>SUMIFS(VENTAS[Cantidad],VENTAS[Código del producto Vendido],STOCK[[#This Row],[Code]])</f>
        <v>1</v>
      </c>
      <c r="L382" s="72">
        <f>STOCK[[#This Row],[Entradas]]-STOCK[[#This Row],[Salidas]]</f>
        <v>2</v>
      </c>
      <c r="M382" s="54">
        <f>STOCK[[#This Row],[Precio Final]]*10%</f>
        <v>2</v>
      </c>
      <c r="N382" s="54">
        <v>135</v>
      </c>
      <c r="O382" s="54">
        <v>18</v>
      </c>
      <c r="P382" s="54">
        <v>7.5</v>
      </c>
      <c r="Q382" s="72">
        <v>100</v>
      </c>
      <c r="R382" s="54">
        <v>10</v>
      </c>
      <c r="S382" s="54">
        <f>STOCK[[#This Row],[Peso (g)]]*STOCK[[#This Row],[Precio Envío Kilogramo (USD)]]/1000</f>
        <v>1</v>
      </c>
      <c r="T382" s="53">
        <f>STOCK[[#This Row],[Costo Unitario (USD)]]+STOCK[[#This Row],[Costo Envío (USD)]]+STOCK[[#This Row],[Comisión 10%]]</f>
        <v>10.5</v>
      </c>
      <c r="U382" s="54">
        <f>STOCK[[#This Row],[Costo total]]*1.5</f>
        <v>15.75</v>
      </c>
      <c r="V382" s="54">
        <v>20</v>
      </c>
      <c r="W382" s="54">
        <f>STOCK[[#This Row],[Precio Final]]-STOCK[[#This Row],[Costo total]]</f>
        <v>9.5</v>
      </c>
      <c r="X382" s="54">
        <f>STOCK[[#This Row],[Ganancia Unitaria]]*STOCK[[#This Row],[Salidas]]</f>
        <v>9.5</v>
      </c>
      <c r="AA382" s="54">
        <f>STOCK[[#This Row],[Costo total]]*STOCK[[#This Row],[Entradas]]</f>
        <v>31.5</v>
      </c>
      <c r="AB382" s="54">
        <f>STOCK[[#This Row],[Stock Actual]]*STOCK[[#This Row],[Costo total]]</f>
        <v>21</v>
      </c>
      <c r="AC382" s="54">
        <v>15</v>
      </c>
    </row>
    <row r="383" s="53" customFormat="1" ht="50" customHeight="1" spans="1:28">
      <c r="A383" s="53" t="s">
        <v>806</v>
      </c>
      <c r="B383" s="66"/>
      <c r="C383" s="53" t="s">
        <v>32</v>
      </c>
      <c r="D383" s="53" t="s">
        <v>38</v>
      </c>
      <c r="E383" s="67" t="s">
        <v>807</v>
      </c>
      <c r="F383" s="53" t="s">
        <v>49</v>
      </c>
      <c r="G383" s="53" t="s">
        <v>36</v>
      </c>
      <c r="H383" s="53">
        <f>STOCK[[#This Row],[Precio Final]]</f>
        <v>20</v>
      </c>
      <c r="I383" s="53">
        <f>STOCK[[#This Row],[Precio Venta Ideal (x1.5)]]</f>
        <v>26.3333333333334</v>
      </c>
      <c r="J383" s="71">
        <v>3</v>
      </c>
      <c r="K383" s="71">
        <f>SUMIFS(VENTAS[Cantidad],VENTAS[Código del producto Vendido],STOCK[[#This Row],[Code]])</f>
        <v>3</v>
      </c>
      <c r="L383" s="71">
        <f>STOCK[[#This Row],[Entradas]]-STOCK[[#This Row],[Salidas]]</f>
        <v>0</v>
      </c>
      <c r="M383" s="53">
        <f>STOCK[[#This Row],[Precio Final]]*10%</f>
        <v>2</v>
      </c>
      <c r="N383" s="53">
        <v>235</v>
      </c>
      <c r="O383" s="53">
        <v>18</v>
      </c>
      <c r="P383" s="53">
        <v>13.0555555555556</v>
      </c>
      <c r="Q383" s="71">
        <v>250</v>
      </c>
      <c r="R383" s="53">
        <v>10</v>
      </c>
      <c r="S383" s="53">
        <f>STOCK[[#This Row],[Peso (g)]]*STOCK[[#This Row],[Precio Envío Kilogramo (USD)]]/1000</f>
        <v>2.5</v>
      </c>
      <c r="T383" s="53">
        <f>STOCK[[#This Row],[Costo Unitario (USD)]]+STOCK[[#This Row],[Costo Envío (USD)]]+STOCK[[#This Row],[Comisión 10%]]</f>
        <v>17.5555555555556</v>
      </c>
      <c r="U383" s="53">
        <f>STOCK[[#This Row],[Costo total]]*1.5</f>
        <v>26.3333333333334</v>
      </c>
      <c r="V383" s="53">
        <v>20</v>
      </c>
      <c r="W383" s="53">
        <f>STOCK[[#This Row],[Precio Final]]-STOCK[[#This Row],[Costo total]]</f>
        <v>2.4444444444444</v>
      </c>
      <c r="X383" s="53">
        <f>STOCK[[#This Row],[Ganancia Unitaria]]*STOCK[[#This Row],[Salidas]]</f>
        <v>7.3333333333332</v>
      </c>
      <c r="AA383" s="53">
        <f>STOCK[[#This Row],[Costo total]]*STOCK[[#This Row],[Entradas]]</f>
        <v>52.6666666666668</v>
      </c>
      <c r="AB383" s="53">
        <f>STOCK[[#This Row],[Stock Actual]]*STOCK[[#This Row],[Costo total]]</f>
        <v>0</v>
      </c>
    </row>
    <row r="384" s="54" customFormat="1" ht="50" customHeight="1" spans="1:28">
      <c r="A384" s="54" t="s">
        <v>808</v>
      </c>
      <c r="B384" s="66"/>
      <c r="C384" s="54" t="s">
        <v>32</v>
      </c>
      <c r="D384" s="54" t="s">
        <v>38</v>
      </c>
      <c r="E384" s="68" t="s">
        <v>809</v>
      </c>
      <c r="F384" s="54" t="s">
        <v>62</v>
      </c>
      <c r="G384" s="54" t="s">
        <v>36</v>
      </c>
      <c r="H384" s="54">
        <f>STOCK[[#This Row],[Precio Final]]</f>
        <v>18</v>
      </c>
      <c r="I384" s="54">
        <f>STOCK[[#This Row],[Precio Venta Ideal (x1.5)]]</f>
        <v>16.95</v>
      </c>
      <c r="J384" s="72">
        <v>2</v>
      </c>
      <c r="K384" s="72">
        <f>SUMIFS(VENTAS[Cantidad],VENTAS[Código del producto Vendido],STOCK[[#This Row],[Code]])</f>
        <v>2</v>
      </c>
      <c r="L384" s="72">
        <f>STOCK[[#This Row],[Entradas]]-STOCK[[#This Row],[Salidas]]</f>
        <v>0</v>
      </c>
      <c r="M384" s="54">
        <f>STOCK[[#This Row],[Precio Final]]*10%</f>
        <v>1.8</v>
      </c>
      <c r="N384" s="54">
        <v>126</v>
      </c>
      <c r="O384" s="54">
        <v>18</v>
      </c>
      <c r="P384" s="54">
        <v>7</v>
      </c>
      <c r="Q384" s="72">
        <v>250</v>
      </c>
      <c r="R384" s="54">
        <v>10</v>
      </c>
      <c r="S384" s="54">
        <f>STOCK[[#This Row],[Peso (g)]]*STOCK[[#This Row],[Precio Envío Kilogramo (USD)]]/1000</f>
        <v>2.5</v>
      </c>
      <c r="T384" s="53">
        <f>STOCK[[#This Row],[Costo Unitario (USD)]]+STOCK[[#This Row],[Costo Envío (USD)]]+STOCK[[#This Row],[Comisión 10%]]</f>
        <v>11.3</v>
      </c>
      <c r="U384" s="54">
        <f>STOCK[[#This Row],[Costo total]]*1.5</f>
        <v>16.95</v>
      </c>
      <c r="V384" s="54">
        <v>18</v>
      </c>
      <c r="W384" s="54">
        <f>STOCK[[#This Row],[Precio Final]]-STOCK[[#This Row],[Costo total]]</f>
        <v>6.7</v>
      </c>
      <c r="X384" s="54">
        <f>STOCK[[#This Row],[Ganancia Unitaria]]*STOCK[[#This Row],[Salidas]]</f>
        <v>13.4</v>
      </c>
      <c r="AA384" s="54">
        <f>STOCK[[#This Row],[Costo total]]*STOCK[[#This Row],[Entradas]]</f>
        <v>22.6</v>
      </c>
      <c r="AB384" s="54">
        <f>STOCK[[#This Row],[Stock Actual]]*STOCK[[#This Row],[Costo total]]</f>
        <v>0</v>
      </c>
    </row>
    <row r="385" s="53" customFormat="1" ht="50" customHeight="1" spans="1:29">
      <c r="A385" s="53" t="s">
        <v>810</v>
      </c>
      <c r="B385" s="66"/>
      <c r="C385" s="53" t="s">
        <v>32</v>
      </c>
      <c r="D385" s="53" t="s">
        <v>484</v>
      </c>
      <c r="E385" s="67" t="s">
        <v>811</v>
      </c>
      <c r="F385" s="53" t="s">
        <v>40</v>
      </c>
      <c r="G385" s="53" t="s">
        <v>36</v>
      </c>
      <c r="H385" s="53">
        <f>STOCK[[#This Row],[Precio Final]]</f>
        <v>18</v>
      </c>
      <c r="I385" s="53">
        <f>STOCK[[#This Row],[Precio Venta Ideal (x1.5)]]</f>
        <v>14.45</v>
      </c>
      <c r="J385" s="71">
        <v>3</v>
      </c>
      <c r="K385" s="71">
        <f>SUMIFS(VENTAS[Cantidad],VENTAS[Código del producto Vendido],STOCK[[#This Row],[Code]])</f>
        <v>3</v>
      </c>
      <c r="L385" s="71">
        <f>STOCK[[#This Row],[Entradas]]-STOCK[[#This Row],[Salidas]]</f>
        <v>0</v>
      </c>
      <c r="M385" s="53">
        <f>STOCK[[#This Row],[Precio Final]]*10%</f>
        <v>1.8</v>
      </c>
      <c r="N385" s="53">
        <v>96</v>
      </c>
      <c r="O385" s="53">
        <v>18</v>
      </c>
      <c r="P385" s="53">
        <v>5.33333333333333</v>
      </c>
      <c r="Q385" s="71">
        <v>250</v>
      </c>
      <c r="R385" s="53">
        <v>10</v>
      </c>
      <c r="S385" s="53">
        <f>STOCK[[#This Row],[Peso (g)]]*STOCK[[#This Row],[Precio Envío Kilogramo (USD)]]/1000</f>
        <v>2.5</v>
      </c>
      <c r="T385" s="53">
        <f>STOCK[[#This Row],[Costo Unitario (USD)]]+STOCK[[#This Row],[Costo Envío (USD)]]+STOCK[[#This Row],[Comisión 10%]]</f>
        <v>9.63333333333333</v>
      </c>
      <c r="U385" s="53">
        <f>STOCK[[#This Row],[Costo total]]*1.5</f>
        <v>14.45</v>
      </c>
      <c r="V385" s="53">
        <v>18</v>
      </c>
      <c r="W385" s="53">
        <f>STOCK[[#This Row],[Precio Final]]-STOCK[[#This Row],[Costo total]]</f>
        <v>8.36666666666667</v>
      </c>
      <c r="X385" s="53">
        <f>STOCK[[#This Row],[Ganancia Unitaria]]*STOCK[[#This Row],[Salidas]]</f>
        <v>25.1</v>
      </c>
      <c r="AA385" s="53">
        <f>STOCK[[#This Row],[Costo total]]*STOCK[[#This Row],[Entradas]]</f>
        <v>28.9</v>
      </c>
      <c r="AB385" s="53">
        <f>STOCK[[#This Row],[Stock Actual]]*STOCK[[#This Row],[Costo total]]</f>
        <v>0</v>
      </c>
      <c r="AC385" s="53">
        <v>12</v>
      </c>
    </row>
    <row r="386" s="54" customFormat="1" ht="50" customHeight="1" spans="1:29">
      <c r="A386" s="54" t="s">
        <v>812</v>
      </c>
      <c r="B386" s="66"/>
      <c r="C386" s="54" t="s">
        <v>32</v>
      </c>
      <c r="D386" s="54" t="s">
        <v>216</v>
      </c>
      <c r="E386" s="68" t="s">
        <v>813</v>
      </c>
      <c r="F386" s="54" t="s">
        <v>46</v>
      </c>
      <c r="G386" s="54" t="s">
        <v>36</v>
      </c>
      <c r="H386" s="54">
        <f>STOCK[[#This Row],[Precio Final]]</f>
        <v>12</v>
      </c>
      <c r="I386" s="54">
        <f>STOCK[[#This Row],[Precio Venta Ideal (x1.5)]]</f>
        <v>11.9666666666667</v>
      </c>
      <c r="J386" s="72">
        <v>2</v>
      </c>
      <c r="K386" s="72">
        <f>SUMIFS(VENTAS[Cantidad],VENTAS[Código del producto Vendido],STOCK[[#This Row],[Code]])</f>
        <v>1</v>
      </c>
      <c r="L386" s="72">
        <f>STOCK[[#This Row],[Entradas]]-STOCK[[#This Row],[Salidas]]</f>
        <v>1</v>
      </c>
      <c r="M386" s="54">
        <f>STOCK[[#This Row],[Precio Final]]*10%</f>
        <v>1.2</v>
      </c>
      <c r="N386" s="54">
        <v>95</v>
      </c>
      <c r="O386" s="54">
        <v>18</v>
      </c>
      <c r="P386" s="54">
        <v>5.27777777777778</v>
      </c>
      <c r="Q386" s="72">
        <v>150</v>
      </c>
      <c r="R386" s="54">
        <v>10</v>
      </c>
      <c r="S386" s="54">
        <f>STOCK[[#This Row],[Peso (g)]]*STOCK[[#This Row],[Precio Envío Kilogramo (USD)]]/1000</f>
        <v>1.5</v>
      </c>
      <c r="T386" s="53">
        <f>STOCK[[#This Row],[Costo Unitario (USD)]]+STOCK[[#This Row],[Costo Envío (USD)]]+STOCK[[#This Row],[Comisión 10%]]</f>
        <v>7.97777777777778</v>
      </c>
      <c r="U386" s="54">
        <f>STOCK[[#This Row],[Costo total]]*1.5</f>
        <v>11.9666666666667</v>
      </c>
      <c r="V386" s="54">
        <v>12</v>
      </c>
      <c r="W386" s="54">
        <f>STOCK[[#This Row],[Precio Final]]-STOCK[[#This Row],[Costo total]]</f>
        <v>4.02222222222222</v>
      </c>
      <c r="X386" s="54">
        <f>STOCK[[#This Row],[Ganancia Unitaria]]*STOCK[[#This Row],[Salidas]]</f>
        <v>4.02222222222222</v>
      </c>
      <c r="AA386" s="54">
        <f>STOCK[[#This Row],[Costo total]]*STOCK[[#This Row],[Entradas]]</f>
        <v>15.9555555555556</v>
      </c>
      <c r="AB386" s="54">
        <f>STOCK[[#This Row],[Stock Actual]]*STOCK[[#This Row],[Costo total]]</f>
        <v>7.97777777777778</v>
      </c>
      <c r="AC386" s="54">
        <v>8</v>
      </c>
    </row>
    <row r="387" s="53" customFormat="1" ht="50" customHeight="1" spans="1:28">
      <c r="A387" s="53" t="s">
        <v>814</v>
      </c>
      <c r="B387" s="66"/>
      <c r="C387" s="53" t="s">
        <v>32</v>
      </c>
      <c r="D387" s="53" t="s">
        <v>815</v>
      </c>
      <c r="E387" s="67" t="s">
        <v>816</v>
      </c>
      <c r="F387" s="53" t="s">
        <v>88</v>
      </c>
      <c r="G387" s="53" t="s">
        <v>36</v>
      </c>
      <c r="H387" s="53">
        <f>STOCK[[#This Row],[Precio Final]]</f>
        <v>10</v>
      </c>
      <c r="I387" s="53">
        <f>STOCK[[#This Row],[Precio Venta Ideal (x1.5)]]</f>
        <v>10.8333333333333</v>
      </c>
      <c r="J387" s="71">
        <v>1</v>
      </c>
      <c r="K387" s="71">
        <f>SUMIFS(VENTAS[Cantidad],VENTAS[Código del producto Vendido],STOCK[[#This Row],[Code]])</f>
        <v>1</v>
      </c>
      <c r="L387" s="71">
        <f>STOCK[[#This Row],[Entradas]]-STOCK[[#This Row],[Salidas]]</f>
        <v>0</v>
      </c>
      <c r="M387" s="53">
        <f>STOCK[[#This Row],[Precio Final]]*10%</f>
        <v>1</v>
      </c>
      <c r="N387" s="53">
        <v>103</v>
      </c>
      <c r="O387" s="53">
        <v>18</v>
      </c>
      <c r="P387" s="53">
        <v>5.72222222222222</v>
      </c>
      <c r="Q387" s="71">
        <v>50</v>
      </c>
      <c r="R387" s="53">
        <v>10</v>
      </c>
      <c r="S387" s="53">
        <f>STOCK[[#This Row],[Peso (g)]]*STOCK[[#This Row],[Precio Envío Kilogramo (USD)]]/1000</f>
        <v>0.5</v>
      </c>
      <c r="T387" s="53">
        <f>STOCK[[#This Row],[Costo Unitario (USD)]]+STOCK[[#This Row],[Costo Envío (USD)]]+STOCK[[#This Row],[Comisión 10%]]</f>
        <v>7.22222222222222</v>
      </c>
      <c r="U387" s="53">
        <f>STOCK[[#This Row],[Costo total]]*1.5</f>
        <v>10.8333333333333</v>
      </c>
      <c r="V387" s="53">
        <v>10</v>
      </c>
      <c r="W387" s="53">
        <f>STOCK[[#This Row],[Precio Final]]-STOCK[[#This Row],[Costo total]]</f>
        <v>2.77777777777778</v>
      </c>
      <c r="X387" s="53">
        <f>STOCK[[#This Row],[Ganancia Unitaria]]*STOCK[[#This Row],[Salidas]]</f>
        <v>2.77777777777778</v>
      </c>
      <c r="AA387" s="53">
        <f>STOCK[[#This Row],[Costo total]]*STOCK[[#This Row],[Entradas]]</f>
        <v>7.22222222222222</v>
      </c>
      <c r="AB387" s="53">
        <f>STOCK[[#This Row],[Stock Actual]]*STOCK[[#This Row],[Costo total]]</f>
        <v>0</v>
      </c>
    </row>
    <row r="388" s="54" customFormat="1" ht="50" customHeight="1" spans="1:28">
      <c r="A388" s="54" t="s">
        <v>817</v>
      </c>
      <c r="B388" s="66"/>
      <c r="C388" s="54" t="s">
        <v>32</v>
      </c>
      <c r="D388" s="54" t="s">
        <v>680</v>
      </c>
      <c r="E388" s="68" t="s">
        <v>818</v>
      </c>
      <c r="F388" s="54" t="s">
        <v>819</v>
      </c>
      <c r="G388" s="54" t="s">
        <v>36</v>
      </c>
      <c r="H388" s="54">
        <f>STOCK[[#This Row],[Precio Final]]</f>
        <v>10</v>
      </c>
      <c r="I388" s="54">
        <f>STOCK[[#This Row],[Precio Venta Ideal (x1.5)]]</f>
        <v>11.6666666666667</v>
      </c>
      <c r="J388" s="72">
        <v>3</v>
      </c>
      <c r="K388" s="72">
        <f>SUMIFS(VENTAS[Cantidad],VENTAS[Código del producto Vendido],STOCK[[#This Row],[Code]])</f>
        <v>3</v>
      </c>
      <c r="L388" s="72">
        <f>STOCK[[#This Row],[Entradas]]-STOCK[[#This Row],[Salidas]]</f>
        <v>0</v>
      </c>
      <c r="M388" s="54">
        <f>STOCK[[#This Row],[Precio Final]]*10%</f>
        <v>1</v>
      </c>
      <c r="N388" s="54">
        <v>113</v>
      </c>
      <c r="O388" s="54">
        <v>18</v>
      </c>
      <c r="P388" s="54">
        <v>6.27777777777778</v>
      </c>
      <c r="Q388" s="72">
        <v>50</v>
      </c>
      <c r="R388" s="54">
        <v>10</v>
      </c>
      <c r="S388" s="54">
        <f>STOCK[[#This Row],[Peso (g)]]*STOCK[[#This Row],[Precio Envío Kilogramo (USD)]]/1000</f>
        <v>0.5</v>
      </c>
      <c r="T388" s="53">
        <f>STOCK[[#This Row],[Costo Unitario (USD)]]+STOCK[[#This Row],[Costo Envío (USD)]]+STOCK[[#This Row],[Comisión 10%]]</f>
        <v>7.77777777777778</v>
      </c>
      <c r="U388" s="54">
        <f>STOCK[[#This Row],[Costo total]]*1.5</f>
        <v>11.6666666666667</v>
      </c>
      <c r="V388" s="54">
        <v>10</v>
      </c>
      <c r="W388" s="54">
        <f>STOCK[[#This Row],[Precio Final]]-STOCK[[#This Row],[Costo total]]</f>
        <v>2.22222222222222</v>
      </c>
      <c r="X388" s="54">
        <f>STOCK[[#This Row],[Ganancia Unitaria]]*STOCK[[#This Row],[Salidas]]</f>
        <v>6.66666666666666</v>
      </c>
      <c r="AA388" s="54">
        <f>STOCK[[#This Row],[Costo total]]*STOCK[[#This Row],[Entradas]]</f>
        <v>23.3333333333333</v>
      </c>
      <c r="AB388" s="54">
        <f>STOCK[[#This Row],[Stock Actual]]*STOCK[[#This Row],[Costo total]]</f>
        <v>0</v>
      </c>
    </row>
    <row r="389" s="53" customFormat="1" ht="50" customHeight="1" spans="1:28">
      <c r="A389" s="53" t="s">
        <v>820</v>
      </c>
      <c r="B389" s="66"/>
      <c r="C389" s="53" t="s">
        <v>32</v>
      </c>
      <c r="D389" s="53" t="s">
        <v>821</v>
      </c>
      <c r="E389" s="67" t="s">
        <v>822</v>
      </c>
      <c r="F389" s="53" t="s">
        <v>62</v>
      </c>
      <c r="G389" s="53" t="s">
        <v>36</v>
      </c>
      <c r="H389" s="53">
        <f>STOCK[[#This Row],[Precio Final]]</f>
        <v>10</v>
      </c>
      <c r="I389" s="53">
        <f>STOCK[[#This Row],[Precio Venta Ideal (x1.5)]]</f>
        <v>13.5</v>
      </c>
      <c r="J389" s="71">
        <v>1</v>
      </c>
      <c r="K389" s="71">
        <f>SUMIFS(VENTAS[Cantidad],VENTAS[Código del producto Vendido],STOCK[[#This Row],[Code]])</f>
        <v>1</v>
      </c>
      <c r="L389" s="71">
        <f>STOCK[[#This Row],[Entradas]]-STOCK[[#This Row],[Salidas]]</f>
        <v>0</v>
      </c>
      <c r="M389" s="53">
        <f>STOCK[[#This Row],[Precio Final]]*10%</f>
        <v>1</v>
      </c>
      <c r="N389" s="53">
        <v>135</v>
      </c>
      <c r="O389" s="53">
        <v>18</v>
      </c>
      <c r="P389" s="53">
        <v>7.5</v>
      </c>
      <c r="Q389" s="71">
        <v>50</v>
      </c>
      <c r="R389" s="53">
        <v>10</v>
      </c>
      <c r="S389" s="53">
        <f>STOCK[[#This Row],[Peso (g)]]*STOCK[[#This Row],[Precio Envío Kilogramo (USD)]]/1000</f>
        <v>0.5</v>
      </c>
      <c r="T389" s="53">
        <f>STOCK[[#This Row],[Costo Unitario (USD)]]+STOCK[[#This Row],[Costo Envío (USD)]]+STOCK[[#This Row],[Comisión 10%]]</f>
        <v>9</v>
      </c>
      <c r="U389" s="53">
        <f>STOCK[[#This Row],[Costo total]]*1.5</f>
        <v>13.5</v>
      </c>
      <c r="V389" s="53">
        <v>10</v>
      </c>
      <c r="W389" s="53">
        <f>STOCK[[#This Row],[Precio Final]]-STOCK[[#This Row],[Costo total]]</f>
        <v>1</v>
      </c>
      <c r="X389" s="53">
        <f>STOCK[[#This Row],[Ganancia Unitaria]]*STOCK[[#This Row],[Salidas]]</f>
        <v>1</v>
      </c>
      <c r="AA389" s="53">
        <f>STOCK[[#This Row],[Costo total]]*STOCK[[#This Row],[Entradas]]</f>
        <v>9</v>
      </c>
      <c r="AB389" s="53">
        <f>STOCK[[#This Row],[Stock Actual]]*STOCK[[#This Row],[Costo total]]</f>
        <v>0</v>
      </c>
    </row>
    <row r="390" s="54" customFormat="1" ht="50" customHeight="1" spans="1:29">
      <c r="A390" s="54" t="s">
        <v>823</v>
      </c>
      <c r="B390" s="66"/>
      <c r="C390" s="54" t="s">
        <v>32</v>
      </c>
      <c r="D390" s="54" t="s">
        <v>294</v>
      </c>
      <c r="E390" s="68" t="s">
        <v>824</v>
      </c>
      <c r="F390" s="54" t="s">
        <v>62</v>
      </c>
      <c r="G390" s="54" t="s">
        <v>36</v>
      </c>
      <c r="H390" s="54">
        <f>STOCK[[#This Row],[Precio Final]]</f>
        <v>15</v>
      </c>
      <c r="I390" s="54">
        <f>STOCK[[#This Row],[Precio Venta Ideal (x1.5)]]</f>
        <v>12.4166666666667</v>
      </c>
      <c r="J390" s="72">
        <v>1</v>
      </c>
      <c r="K390" s="72">
        <f>SUMIFS(VENTAS[Cantidad],VENTAS[Código del producto Vendido],STOCK[[#This Row],[Code]])</f>
        <v>0</v>
      </c>
      <c r="L390" s="72">
        <f>STOCK[[#This Row],[Entradas]]-STOCK[[#This Row],[Salidas]]</f>
        <v>1</v>
      </c>
      <c r="M390" s="54">
        <f>STOCK[[#This Row],[Precio Final]]*10%</f>
        <v>1.5</v>
      </c>
      <c r="N390" s="54">
        <v>113</v>
      </c>
      <c r="O390" s="54">
        <v>18</v>
      </c>
      <c r="P390" s="54">
        <v>6.27777777777778</v>
      </c>
      <c r="Q390" s="72">
        <v>50</v>
      </c>
      <c r="R390" s="54">
        <v>10</v>
      </c>
      <c r="S390" s="54">
        <f>STOCK[[#This Row],[Peso (g)]]*STOCK[[#This Row],[Precio Envío Kilogramo (USD)]]/1000</f>
        <v>0.5</v>
      </c>
      <c r="T390" s="53">
        <f>STOCK[[#This Row],[Costo Unitario (USD)]]+STOCK[[#This Row],[Costo Envío (USD)]]+STOCK[[#This Row],[Comisión 10%]]</f>
        <v>8.27777777777778</v>
      </c>
      <c r="U390" s="54">
        <f>STOCK[[#This Row],[Costo total]]*1.5</f>
        <v>12.4166666666667</v>
      </c>
      <c r="V390" s="54">
        <v>15</v>
      </c>
      <c r="W390" s="54">
        <f>STOCK[[#This Row],[Precio Final]]-STOCK[[#This Row],[Costo total]]</f>
        <v>6.72222222222222</v>
      </c>
      <c r="X390" s="54">
        <f>STOCK[[#This Row],[Ganancia Unitaria]]*STOCK[[#This Row],[Salidas]]</f>
        <v>0</v>
      </c>
      <c r="AA390" s="54">
        <f>STOCK[[#This Row],[Costo total]]*STOCK[[#This Row],[Entradas]]</f>
        <v>8.27777777777778</v>
      </c>
      <c r="AB390" s="54">
        <f>STOCK[[#This Row],[Stock Actual]]*STOCK[[#This Row],[Costo total]]</f>
        <v>8.27777777777778</v>
      </c>
      <c r="AC390" s="54">
        <v>10</v>
      </c>
    </row>
    <row r="391" s="53" customFormat="1" ht="50" customHeight="1" spans="1:29">
      <c r="A391" s="53" t="s">
        <v>825</v>
      </c>
      <c r="B391" s="66"/>
      <c r="C391" s="53" t="s">
        <v>32</v>
      </c>
      <c r="D391" s="53" t="s">
        <v>484</v>
      </c>
      <c r="E391" s="67" t="s">
        <v>826</v>
      </c>
      <c r="F391" s="53" t="s">
        <v>40</v>
      </c>
      <c r="G391" s="53" t="s">
        <v>36</v>
      </c>
      <c r="H391" s="53">
        <f>STOCK[[#This Row],[Precio Final]]</f>
        <v>20</v>
      </c>
      <c r="I391" s="53">
        <f>STOCK[[#This Row],[Precio Venta Ideal (x1.5)]]</f>
        <v>12.8333333333333</v>
      </c>
      <c r="J391" s="71">
        <v>1</v>
      </c>
      <c r="K391" s="71">
        <f>SUMIFS(VENTAS[Cantidad],VENTAS[Código del producto Vendido],STOCK[[#This Row],[Code]])</f>
        <v>1</v>
      </c>
      <c r="L391" s="71">
        <f>STOCK[[#This Row],[Entradas]]-STOCK[[#This Row],[Salidas]]</f>
        <v>0</v>
      </c>
      <c r="M391" s="53">
        <f>STOCK[[#This Row],[Precio Final]]*10%</f>
        <v>2</v>
      </c>
      <c r="N391" s="53">
        <v>109</v>
      </c>
      <c r="O391" s="53">
        <v>18</v>
      </c>
      <c r="P391" s="53">
        <v>6.05555555555556</v>
      </c>
      <c r="Q391" s="71">
        <v>50</v>
      </c>
      <c r="R391" s="53">
        <v>10</v>
      </c>
      <c r="S391" s="53">
        <f>STOCK[[#This Row],[Peso (g)]]*STOCK[[#This Row],[Precio Envío Kilogramo (USD)]]/1000</f>
        <v>0.5</v>
      </c>
      <c r="T391" s="53">
        <f>STOCK[[#This Row],[Costo Unitario (USD)]]+STOCK[[#This Row],[Costo Envío (USD)]]+STOCK[[#This Row],[Comisión 10%]]</f>
        <v>8.55555555555556</v>
      </c>
      <c r="U391" s="53">
        <f>STOCK[[#This Row],[Costo total]]*1.5</f>
        <v>12.8333333333333</v>
      </c>
      <c r="V391" s="53">
        <v>20</v>
      </c>
      <c r="W391" s="53">
        <f>STOCK[[#This Row],[Precio Final]]-STOCK[[#This Row],[Costo total]]</f>
        <v>11.4444444444444</v>
      </c>
      <c r="X391" s="53">
        <f>STOCK[[#This Row],[Ganancia Unitaria]]*STOCK[[#This Row],[Salidas]]</f>
        <v>11.4444444444444</v>
      </c>
      <c r="AA391" s="53">
        <f>STOCK[[#This Row],[Costo total]]*STOCK[[#This Row],[Entradas]]</f>
        <v>8.55555555555556</v>
      </c>
      <c r="AB391" s="53">
        <f>STOCK[[#This Row],[Stock Actual]]*STOCK[[#This Row],[Costo total]]</f>
        <v>0</v>
      </c>
      <c r="AC391" s="53">
        <v>15</v>
      </c>
    </row>
    <row r="392" s="54" customFormat="1" ht="50" customHeight="1" spans="1:28">
      <c r="A392" s="54" t="s">
        <v>827</v>
      </c>
      <c r="B392" s="66"/>
      <c r="C392" s="54" t="s">
        <v>32</v>
      </c>
      <c r="D392" s="54" t="s">
        <v>828</v>
      </c>
      <c r="E392" s="68" t="s">
        <v>829</v>
      </c>
      <c r="F392" s="54" t="s">
        <v>46</v>
      </c>
      <c r="G392" s="54" t="s">
        <v>36</v>
      </c>
      <c r="H392" s="54">
        <f>STOCK[[#This Row],[Precio Final]]</f>
        <v>12</v>
      </c>
      <c r="I392" s="54">
        <f>STOCK[[#This Row],[Precio Venta Ideal (x1.5)]]</f>
        <v>12.3833333333333</v>
      </c>
      <c r="J392" s="72">
        <v>1</v>
      </c>
      <c r="K392" s="72">
        <f>SUMIFS(VENTAS[Cantidad],VENTAS[Código del producto Vendido],STOCK[[#This Row],[Code]])</f>
        <v>1</v>
      </c>
      <c r="L392" s="72">
        <f>STOCK[[#This Row],[Entradas]]-STOCK[[#This Row],[Salidas]]</f>
        <v>0</v>
      </c>
      <c r="M392" s="54">
        <f>STOCK[[#This Row],[Precio Final]]*10%</f>
        <v>1.2</v>
      </c>
      <c r="N392" s="54">
        <v>109</v>
      </c>
      <c r="O392" s="54">
        <v>18</v>
      </c>
      <c r="P392" s="54">
        <v>6.05555555555556</v>
      </c>
      <c r="Q392" s="72">
        <v>100</v>
      </c>
      <c r="R392" s="54">
        <v>10</v>
      </c>
      <c r="S392" s="54">
        <f>STOCK[[#This Row],[Peso (g)]]*STOCK[[#This Row],[Precio Envío Kilogramo (USD)]]/1000</f>
        <v>1</v>
      </c>
      <c r="T392" s="53">
        <f>STOCK[[#This Row],[Costo Unitario (USD)]]+STOCK[[#This Row],[Costo Envío (USD)]]+STOCK[[#This Row],[Comisión 10%]]</f>
        <v>8.25555555555556</v>
      </c>
      <c r="U392" s="54">
        <f>STOCK[[#This Row],[Costo total]]*1.5</f>
        <v>12.3833333333333</v>
      </c>
      <c r="V392" s="54">
        <v>12</v>
      </c>
      <c r="W392" s="54">
        <f>STOCK[[#This Row],[Precio Final]]-STOCK[[#This Row],[Costo total]]</f>
        <v>3.74444444444444</v>
      </c>
      <c r="X392" s="54">
        <f>STOCK[[#This Row],[Ganancia Unitaria]]*STOCK[[#This Row],[Salidas]]</f>
        <v>3.74444444444444</v>
      </c>
      <c r="AA392" s="54">
        <f>STOCK[[#This Row],[Costo total]]*STOCK[[#This Row],[Entradas]]</f>
        <v>8.25555555555556</v>
      </c>
      <c r="AB392" s="54">
        <f>STOCK[[#This Row],[Stock Actual]]*STOCK[[#This Row],[Costo total]]</f>
        <v>0</v>
      </c>
    </row>
    <row r="393" s="53" customFormat="1" ht="50" customHeight="1" spans="1:28">
      <c r="A393" s="53" t="s">
        <v>830</v>
      </c>
      <c r="B393" s="66"/>
      <c r="C393" s="53" t="s">
        <v>32</v>
      </c>
      <c r="D393" s="54" t="s">
        <v>38</v>
      </c>
      <c r="E393" s="67" t="s">
        <v>831</v>
      </c>
      <c r="F393" s="53" t="s">
        <v>62</v>
      </c>
      <c r="G393" s="53" t="s">
        <v>36</v>
      </c>
      <c r="H393" s="53">
        <f>STOCK[[#This Row],[Precio Final]]</f>
        <v>15</v>
      </c>
      <c r="I393" s="53">
        <f>STOCK[[#This Row],[Precio Venta Ideal (x1.5)]]</f>
        <v>16.0833333333333</v>
      </c>
      <c r="J393" s="71">
        <v>1</v>
      </c>
      <c r="K393" s="71">
        <f>SUMIFS(VENTAS[Cantidad],VENTAS[Código del producto Vendido],STOCK[[#This Row],[Code]])</f>
        <v>1</v>
      </c>
      <c r="L393" s="71">
        <f>STOCK[[#This Row],[Entradas]]-STOCK[[#This Row],[Salidas]]</f>
        <v>0</v>
      </c>
      <c r="M393" s="53">
        <f>STOCK[[#This Row],[Precio Final]]*10%</f>
        <v>1.5</v>
      </c>
      <c r="N393" s="53">
        <v>148</v>
      </c>
      <c r="O393" s="53">
        <v>18</v>
      </c>
      <c r="P393" s="53">
        <v>8.22222222222222</v>
      </c>
      <c r="Q393" s="71">
        <v>100</v>
      </c>
      <c r="R393" s="53">
        <v>10</v>
      </c>
      <c r="S393" s="53">
        <f>STOCK[[#This Row],[Peso (g)]]*STOCK[[#This Row],[Precio Envío Kilogramo (USD)]]/1000</f>
        <v>1</v>
      </c>
      <c r="T393" s="53">
        <f>STOCK[[#This Row],[Costo Unitario (USD)]]+STOCK[[#This Row],[Costo Envío (USD)]]+STOCK[[#This Row],[Comisión 10%]]</f>
        <v>10.7222222222222</v>
      </c>
      <c r="U393" s="53">
        <f>STOCK[[#This Row],[Costo total]]*1.5</f>
        <v>16.0833333333333</v>
      </c>
      <c r="V393" s="53">
        <v>15</v>
      </c>
      <c r="W393" s="53">
        <f>STOCK[[#This Row],[Precio Final]]-STOCK[[#This Row],[Costo total]]</f>
        <v>4.27777777777778</v>
      </c>
      <c r="X393" s="53">
        <f>STOCK[[#This Row],[Ganancia Unitaria]]*STOCK[[#This Row],[Salidas]]</f>
        <v>4.27777777777778</v>
      </c>
      <c r="AA393" s="53">
        <f>STOCK[[#This Row],[Costo total]]*STOCK[[#This Row],[Entradas]]</f>
        <v>10.7222222222222</v>
      </c>
      <c r="AB393" s="53">
        <f>STOCK[[#This Row],[Stock Actual]]*STOCK[[#This Row],[Costo total]]</f>
        <v>0</v>
      </c>
    </row>
    <row r="394" s="54" customFormat="1" ht="50" customHeight="1" spans="1:29">
      <c r="A394" s="54" t="s">
        <v>832</v>
      </c>
      <c r="B394" s="66"/>
      <c r="C394" s="54" t="s">
        <v>32</v>
      </c>
      <c r="D394" s="54" t="s">
        <v>216</v>
      </c>
      <c r="E394" s="68" t="s">
        <v>833</v>
      </c>
      <c r="F394" s="54" t="s">
        <v>40</v>
      </c>
      <c r="G394" s="54" t="s">
        <v>36</v>
      </c>
      <c r="H394" s="54">
        <f>STOCK[[#This Row],[Precio Final]]</f>
        <v>25</v>
      </c>
      <c r="I394" s="54">
        <f>STOCK[[#This Row],[Precio Venta Ideal (x1.5)]]</f>
        <v>17.75</v>
      </c>
      <c r="J394" s="72">
        <v>3</v>
      </c>
      <c r="K394" s="72">
        <f>SUMIFS(VENTAS[Cantidad],VENTAS[Código del producto Vendido],STOCK[[#This Row],[Code]])</f>
        <v>1</v>
      </c>
      <c r="L394" s="72">
        <f>STOCK[[#This Row],[Entradas]]-STOCK[[#This Row],[Salidas]]</f>
        <v>2</v>
      </c>
      <c r="M394" s="54">
        <f>STOCK[[#This Row],[Precio Final]]*10%</f>
        <v>2.5</v>
      </c>
      <c r="N394" s="54">
        <v>150</v>
      </c>
      <c r="O394" s="54">
        <v>18</v>
      </c>
      <c r="P394" s="54">
        <v>8.33333333333333</v>
      </c>
      <c r="Q394" s="72">
        <v>100</v>
      </c>
      <c r="R394" s="54">
        <v>10</v>
      </c>
      <c r="S394" s="54">
        <f>STOCK[[#This Row],[Peso (g)]]*STOCK[[#This Row],[Precio Envío Kilogramo (USD)]]/1000</f>
        <v>1</v>
      </c>
      <c r="T394" s="53">
        <f>STOCK[[#This Row],[Costo Unitario (USD)]]+STOCK[[#This Row],[Costo Envío (USD)]]+STOCK[[#This Row],[Comisión 10%]]</f>
        <v>11.8333333333333</v>
      </c>
      <c r="U394" s="54">
        <f>STOCK[[#This Row],[Costo total]]*1.5</f>
        <v>17.75</v>
      </c>
      <c r="V394" s="54">
        <v>25</v>
      </c>
      <c r="W394" s="54">
        <f>STOCK[[#This Row],[Precio Final]]-STOCK[[#This Row],[Costo total]]</f>
        <v>13.1666666666667</v>
      </c>
      <c r="X394" s="54">
        <f>STOCK[[#This Row],[Ganancia Unitaria]]*STOCK[[#This Row],[Salidas]]</f>
        <v>13.1666666666667</v>
      </c>
      <c r="AA394" s="54">
        <f>STOCK[[#This Row],[Costo total]]*STOCK[[#This Row],[Entradas]]</f>
        <v>35.5</v>
      </c>
      <c r="AB394" s="54">
        <f>STOCK[[#This Row],[Stock Actual]]*STOCK[[#This Row],[Costo total]]</f>
        <v>23.6666666666667</v>
      </c>
      <c r="AC394" s="54">
        <v>18</v>
      </c>
    </row>
    <row r="395" s="53" customFormat="1" ht="50" customHeight="1" spans="1:28">
      <c r="A395" s="53" t="s">
        <v>834</v>
      </c>
      <c r="B395" s="66"/>
      <c r="C395" s="53" t="s">
        <v>32</v>
      </c>
      <c r="D395" s="53" t="s">
        <v>835</v>
      </c>
      <c r="E395" s="67" t="s">
        <v>836</v>
      </c>
      <c r="F395" s="53" t="s">
        <v>525</v>
      </c>
      <c r="G395" s="53" t="s">
        <v>36</v>
      </c>
      <c r="H395" s="53">
        <f>STOCK[[#This Row],[Precio Final]]</f>
        <v>10</v>
      </c>
      <c r="I395" s="53">
        <f>STOCK[[#This Row],[Precio Venta Ideal (x1.5)]]</f>
        <v>8</v>
      </c>
      <c r="J395" s="71">
        <v>2</v>
      </c>
      <c r="K395" s="71">
        <f>SUMIFS(VENTAS[Cantidad],VENTAS[Código del producto Vendido],STOCK[[#This Row],[Code]])</f>
        <v>1</v>
      </c>
      <c r="L395" s="71">
        <f>STOCK[[#This Row],[Entradas]]-STOCK[[#This Row],[Salidas]]</f>
        <v>1</v>
      </c>
      <c r="M395" s="53">
        <f>STOCK[[#This Row],[Precio Final]]*10%</f>
        <v>1</v>
      </c>
      <c r="N395" s="53">
        <v>69</v>
      </c>
      <c r="O395" s="53">
        <v>18</v>
      </c>
      <c r="P395" s="53">
        <v>3.83333333333333</v>
      </c>
      <c r="Q395" s="71">
        <v>50</v>
      </c>
      <c r="R395" s="53">
        <v>10</v>
      </c>
      <c r="S395" s="53">
        <f>STOCK[[#This Row],[Peso (g)]]*STOCK[[#This Row],[Precio Envío Kilogramo (USD)]]/1000</f>
        <v>0.5</v>
      </c>
      <c r="T395" s="53">
        <f>STOCK[[#This Row],[Costo Unitario (USD)]]+STOCK[[#This Row],[Costo Envío (USD)]]+STOCK[[#This Row],[Comisión 10%]]</f>
        <v>5.33333333333333</v>
      </c>
      <c r="U395" s="53">
        <f>STOCK[[#This Row],[Costo total]]*1.5</f>
        <v>8</v>
      </c>
      <c r="V395" s="53">
        <v>10</v>
      </c>
      <c r="W395" s="53">
        <f>STOCK[[#This Row],[Precio Final]]-STOCK[[#This Row],[Costo total]]</f>
        <v>4.66666666666667</v>
      </c>
      <c r="X395" s="53">
        <f>STOCK[[#This Row],[Ganancia Unitaria]]*STOCK[[#This Row],[Salidas]]</f>
        <v>4.66666666666667</v>
      </c>
      <c r="AA395" s="53">
        <f>STOCK[[#This Row],[Costo total]]*STOCK[[#This Row],[Entradas]]</f>
        <v>10.6666666666667</v>
      </c>
      <c r="AB395" s="53">
        <f>STOCK[[#This Row],[Stock Actual]]*STOCK[[#This Row],[Costo total]]</f>
        <v>5.33333333333333</v>
      </c>
    </row>
    <row r="396" s="54" customFormat="1" ht="50" customHeight="1" spans="1:28">
      <c r="A396" s="54" t="s">
        <v>837</v>
      </c>
      <c r="B396" s="66"/>
      <c r="C396" s="54" t="s">
        <v>32</v>
      </c>
      <c r="D396" s="54" t="s">
        <v>44</v>
      </c>
      <c r="E396" s="68" t="s">
        <v>838</v>
      </c>
      <c r="F396" s="54" t="s">
        <v>40</v>
      </c>
      <c r="G396" s="54" t="s">
        <v>36</v>
      </c>
      <c r="H396" s="54">
        <f>STOCK[[#This Row],[Precio Final]]</f>
        <v>35</v>
      </c>
      <c r="I396" s="54">
        <f>STOCK[[#This Row],[Precio Venta Ideal (x1.5)]]</f>
        <v>44.8333333333333</v>
      </c>
      <c r="J396" s="72">
        <v>1</v>
      </c>
      <c r="K396" s="72">
        <f>SUMIFS(VENTAS[Cantidad],VENTAS[Código del producto Vendido],STOCK[[#This Row],[Code]])</f>
        <v>1</v>
      </c>
      <c r="L396" s="72">
        <f>STOCK[[#This Row],[Entradas]]-STOCK[[#This Row],[Salidas]]</f>
        <v>0</v>
      </c>
      <c r="M396" s="54">
        <f>STOCK[[#This Row],[Precio Final]]*10%</f>
        <v>3.5</v>
      </c>
      <c r="N396" s="54">
        <v>385</v>
      </c>
      <c r="O396" s="54">
        <v>18</v>
      </c>
      <c r="P396" s="54">
        <v>21.3888888888889</v>
      </c>
      <c r="Q396" s="72">
        <v>500</v>
      </c>
      <c r="R396" s="54">
        <v>10</v>
      </c>
      <c r="S396" s="54">
        <f>STOCK[[#This Row],[Peso (g)]]*STOCK[[#This Row],[Precio Envío Kilogramo (USD)]]/1000</f>
        <v>5</v>
      </c>
      <c r="T396" s="53">
        <f>STOCK[[#This Row],[Costo Unitario (USD)]]+STOCK[[#This Row],[Costo Envío (USD)]]+STOCK[[#This Row],[Comisión 10%]]</f>
        <v>29.8888888888889</v>
      </c>
      <c r="U396" s="54">
        <f>STOCK[[#This Row],[Costo total]]*1.5</f>
        <v>44.8333333333333</v>
      </c>
      <c r="V396" s="54">
        <v>35</v>
      </c>
      <c r="W396" s="54">
        <f>STOCK[[#This Row],[Precio Final]]-STOCK[[#This Row],[Costo total]]</f>
        <v>5.1111111111111</v>
      </c>
      <c r="X396" s="54">
        <f>STOCK[[#This Row],[Ganancia Unitaria]]*STOCK[[#This Row],[Salidas]]</f>
        <v>5.1111111111111</v>
      </c>
      <c r="AA396" s="54">
        <f>STOCK[[#This Row],[Costo total]]*STOCK[[#This Row],[Entradas]]</f>
        <v>29.8888888888889</v>
      </c>
      <c r="AB396" s="54">
        <f>STOCK[[#This Row],[Stock Actual]]*STOCK[[#This Row],[Costo total]]</f>
        <v>0</v>
      </c>
    </row>
    <row r="397" s="53" customFormat="1" ht="50" customHeight="1" spans="1:28">
      <c r="A397" s="53" t="s">
        <v>839</v>
      </c>
      <c r="B397" s="66"/>
      <c r="C397" s="53" t="s">
        <v>32</v>
      </c>
      <c r="D397" s="53" t="s">
        <v>294</v>
      </c>
      <c r="E397" s="67" t="s">
        <v>840</v>
      </c>
      <c r="F397" s="53" t="s">
        <v>62</v>
      </c>
      <c r="G397" s="53" t="s">
        <v>36</v>
      </c>
      <c r="H397" s="53">
        <f>STOCK[[#This Row],[Precio Final]]</f>
        <v>9</v>
      </c>
      <c r="I397" s="53">
        <f>STOCK[[#This Row],[Precio Venta Ideal (x1.5)]]</f>
        <v>7.35</v>
      </c>
      <c r="J397" s="71">
        <v>1</v>
      </c>
      <c r="K397" s="71">
        <f>SUMIFS(VENTAS[Cantidad],VENTAS[Código del producto Vendido],STOCK[[#This Row],[Code]])</f>
        <v>0</v>
      </c>
      <c r="L397" s="71">
        <f>STOCK[[#This Row],[Entradas]]-STOCK[[#This Row],[Salidas]]</f>
        <v>1</v>
      </c>
      <c r="M397" s="53">
        <f>STOCK[[#This Row],[Precio Final]]*10%</f>
        <v>0.9</v>
      </c>
      <c r="N397" s="53">
        <v>63</v>
      </c>
      <c r="O397" s="53">
        <v>18</v>
      </c>
      <c r="P397" s="53">
        <v>3.5</v>
      </c>
      <c r="Q397" s="71">
        <v>50</v>
      </c>
      <c r="R397" s="53">
        <v>10</v>
      </c>
      <c r="S397" s="53">
        <f>STOCK[[#This Row],[Peso (g)]]*STOCK[[#This Row],[Precio Envío Kilogramo (USD)]]/1000</f>
        <v>0.5</v>
      </c>
      <c r="T397" s="53">
        <f>STOCK[[#This Row],[Costo Unitario (USD)]]+STOCK[[#This Row],[Costo Envío (USD)]]+STOCK[[#This Row],[Comisión 10%]]</f>
        <v>4.9</v>
      </c>
      <c r="U397" s="53">
        <f>STOCK[[#This Row],[Costo total]]*1.5</f>
        <v>7.35</v>
      </c>
      <c r="V397" s="53">
        <v>9</v>
      </c>
      <c r="W397" s="53">
        <f>STOCK[[#This Row],[Precio Final]]-STOCK[[#This Row],[Costo total]]</f>
        <v>4.1</v>
      </c>
      <c r="X397" s="53">
        <f>STOCK[[#This Row],[Ganancia Unitaria]]*STOCK[[#This Row],[Salidas]]</f>
        <v>0</v>
      </c>
      <c r="AA397" s="53">
        <f>STOCK[[#This Row],[Costo total]]*STOCK[[#This Row],[Entradas]]</f>
        <v>4.9</v>
      </c>
      <c r="AB397" s="53">
        <f>STOCK[[#This Row],[Stock Actual]]*STOCK[[#This Row],[Costo total]]</f>
        <v>4.9</v>
      </c>
    </row>
    <row r="398" s="54" customFormat="1" ht="50" customHeight="1" spans="1:28">
      <c r="A398" s="54" t="s">
        <v>841</v>
      </c>
      <c r="B398" s="66"/>
      <c r="C398" s="54" t="s">
        <v>32</v>
      </c>
      <c r="D398" s="54" t="s">
        <v>38</v>
      </c>
      <c r="E398" s="68" t="s">
        <v>842</v>
      </c>
      <c r="F398" s="54" t="s">
        <v>62</v>
      </c>
      <c r="G398" s="54" t="s">
        <v>36</v>
      </c>
      <c r="H398" s="54">
        <f>STOCK[[#This Row],[Precio Final]]</f>
        <v>10</v>
      </c>
      <c r="I398" s="54">
        <f>STOCK[[#This Row],[Precio Venta Ideal (x1.5)]]</f>
        <v>7.01666666666667</v>
      </c>
      <c r="J398" s="72">
        <v>1</v>
      </c>
      <c r="K398" s="72">
        <f>SUMIFS(VENTAS[Cantidad],VENTAS[Código del producto Vendido],STOCK[[#This Row],[Code]])</f>
        <v>1</v>
      </c>
      <c r="L398" s="72">
        <f>STOCK[[#This Row],[Entradas]]-STOCK[[#This Row],[Salidas]]</f>
        <v>0</v>
      </c>
      <c r="M398" s="54">
        <f>STOCK[[#This Row],[Precio Final]]*10%</f>
        <v>1</v>
      </c>
      <c r="N398" s="54">
        <v>59</v>
      </c>
      <c r="O398" s="54">
        <v>18</v>
      </c>
      <c r="P398" s="54">
        <v>3.27777777777778</v>
      </c>
      <c r="Q398" s="72">
        <v>40</v>
      </c>
      <c r="R398" s="54">
        <v>10</v>
      </c>
      <c r="S398" s="54">
        <f>STOCK[[#This Row],[Peso (g)]]*STOCK[[#This Row],[Precio Envío Kilogramo (USD)]]/1000</f>
        <v>0.4</v>
      </c>
      <c r="T398" s="53">
        <f>STOCK[[#This Row],[Costo Unitario (USD)]]+STOCK[[#This Row],[Costo Envío (USD)]]+STOCK[[#This Row],[Comisión 10%]]</f>
        <v>4.67777777777778</v>
      </c>
      <c r="U398" s="54">
        <f>STOCK[[#This Row],[Costo total]]*1.5</f>
        <v>7.01666666666667</v>
      </c>
      <c r="V398" s="54">
        <v>10</v>
      </c>
      <c r="W398" s="54">
        <f>STOCK[[#This Row],[Precio Final]]-STOCK[[#This Row],[Costo total]]</f>
        <v>5.32222222222222</v>
      </c>
      <c r="X398" s="54">
        <f>STOCK[[#This Row],[Ganancia Unitaria]]*STOCK[[#This Row],[Salidas]]</f>
        <v>5.32222222222222</v>
      </c>
      <c r="AA398" s="54">
        <f>STOCK[[#This Row],[Costo total]]*STOCK[[#This Row],[Entradas]]</f>
        <v>4.67777777777778</v>
      </c>
      <c r="AB398" s="54">
        <f>STOCK[[#This Row],[Stock Actual]]*STOCK[[#This Row],[Costo total]]</f>
        <v>0</v>
      </c>
    </row>
    <row r="399" s="53" customFormat="1" ht="50" customHeight="1" spans="1:28">
      <c r="A399" s="53" t="s">
        <v>843</v>
      </c>
      <c r="B399" s="66"/>
      <c r="C399" s="53" t="s">
        <v>32</v>
      </c>
      <c r="D399" s="53" t="s">
        <v>174</v>
      </c>
      <c r="E399" s="67" t="s">
        <v>844</v>
      </c>
      <c r="F399" s="53" t="s">
        <v>46</v>
      </c>
      <c r="G399" s="53" t="s">
        <v>36</v>
      </c>
      <c r="H399" s="53">
        <f>STOCK[[#This Row],[Precio Final]]</f>
        <v>9</v>
      </c>
      <c r="I399" s="53">
        <f>STOCK[[#This Row],[Precio Venta Ideal (x1.5)]]</f>
        <v>6.53333333333334</v>
      </c>
      <c r="J399" s="71">
        <v>1</v>
      </c>
      <c r="K399" s="71">
        <f>SUMIFS(VENTAS[Cantidad],VENTAS[Código del producto Vendido],STOCK[[#This Row],[Code]])</f>
        <v>1</v>
      </c>
      <c r="L399" s="71">
        <f>STOCK[[#This Row],[Entradas]]-STOCK[[#This Row],[Salidas]]</f>
        <v>0</v>
      </c>
      <c r="M399" s="53">
        <f>STOCK[[#This Row],[Precio Final]]*10%</f>
        <v>0.9</v>
      </c>
      <c r="N399" s="53">
        <v>55</v>
      </c>
      <c r="O399" s="53">
        <v>18</v>
      </c>
      <c r="P399" s="53">
        <v>3.05555555555556</v>
      </c>
      <c r="Q399" s="71">
        <v>40</v>
      </c>
      <c r="R399" s="53">
        <v>10</v>
      </c>
      <c r="S399" s="53">
        <f>STOCK[[#This Row],[Peso (g)]]*STOCK[[#This Row],[Precio Envío Kilogramo (USD)]]/1000</f>
        <v>0.4</v>
      </c>
      <c r="T399" s="53">
        <f>STOCK[[#This Row],[Costo Unitario (USD)]]+STOCK[[#This Row],[Costo Envío (USD)]]+STOCK[[#This Row],[Comisión 10%]]</f>
        <v>4.35555555555556</v>
      </c>
      <c r="U399" s="53">
        <f>STOCK[[#This Row],[Costo total]]*1.5</f>
        <v>6.53333333333334</v>
      </c>
      <c r="V399" s="53">
        <v>9</v>
      </c>
      <c r="W399" s="53">
        <f>STOCK[[#This Row],[Precio Final]]-STOCK[[#This Row],[Costo total]]</f>
        <v>4.64444444444444</v>
      </c>
      <c r="X399" s="53">
        <f>STOCK[[#This Row],[Ganancia Unitaria]]*STOCK[[#This Row],[Salidas]]</f>
        <v>4.64444444444444</v>
      </c>
      <c r="AA399" s="53">
        <f>STOCK[[#This Row],[Costo total]]*STOCK[[#This Row],[Entradas]]</f>
        <v>4.35555555555556</v>
      </c>
      <c r="AB399" s="53">
        <f>STOCK[[#This Row],[Stock Actual]]*STOCK[[#This Row],[Costo total]]</f>
        <v>0</v>
      </c>
    </row>
    <row r="400" s="54" customFormat="1" ht="50" customHeight="1" spans="1:29">
      <c r="A400" s="54" t="s">
        <v>845</v>
      </c>
      <c r="B400" s="66"/>
      <c r="C400" s="54" t="s">
        <v>32</v>
      </c>
      <c r="D400" s="54" t="s">
        <v>294</v>
      </c>
      <c r="E400" s="68" t="s">
        <v>846</v>
      </c>
      <c r="F400" s="54" t="s">
        <v>49</v>
      </c>
      <c r="G400" s="54" t="s">
        <v>36</v>
      </c>
      <c r="H400" s="54">
        <f>STOCK[[#This Row],[Precio Final]]</f>
        <v>12</v>
      </c>
      <c r="I400" s="54">
        <f>STOCK[[#This Row],[Precio Venta Ideal (x1.5)]]</f>
        <v>8.11666666666666</v>
      </c>
      <c r="J400" s="72">
        <v>1</v>
      </c>
      <c r="K400" s="72">
        <f>SUMIFS(VENTAS[Cantidad],VENTAS[Código del producto Vendido],STOCK[[#This Row],[Code]])</f>
        <v>0</v>
      </c>
      <c r="L400" s="72">
        <f>STOCK[[#This Row],[Entradas]]-STOCK[[#This Row],[Salidas]]</f>
        <v>1</v>
      </c>
      <c r="M400" s="54">
        <f>STOCK[[#This Row],[Precio Final]]*10%</f>
        <v>1.2</v>
      </c>
      <c r="N400" s="54">
        <v>65</v>
      </c>
      <c r="O400" s="54">
        <v>18</v>
      </c>
      <c r="P400" s="54">
        <v>3.61111111111111</v>
      </c>
      <c r="Q400" s="72">
        <v>60</v>
      </c>
      <c r="R400" s="54">
        <v>10</v>
      </c>
      <c r="S400" s="54">
        <f>STOCK[[#This Row],[Peso (g)]]*STOCK[[#This Row],[Precio Envío Kilogramo (USD)]]/1000</f>
        <v>0.6</v>
      </c>
      <c r="T400" s="53">
        <f>STOCK[[#This Row],[Costo Unitario (USD)]]+STOCK[[#This Row],[Costo Envío (USD)]]+STOCK[[#This Row],[Comisión 10%]]</f>
        <v>5.41111111111111</v>
      </c>
      <c r="U400" s="54">
        <f>STOCK[[#This Row],[Costo total]]*1.5</f>
        <v>8.11666666666666</v>
      </c>
      <c r="V400" s="54">
        <v>12</v>
      </c>
      <c r="W400" s="54">
        <f>STOCK[[#This Row],[Precio Final]]-STOCK[[#This Row],[Costo total]]</f>
        <v>6.58888888888889</v>
      </c>
      <c r="X400" s="54">
        <f>STOCK[[#This Row],[Ganancia Unitaria]]*STOCK[[#This Row],[Salidas]]</f>
        <v>0</v>
      </c>
      <c r="AA400" s="54">
        <f>STOCK[[#This Row],[Costo total]]*STOCK[[#This Row],[Entradas]]</f>
        <v>5.41111111111111</v>
      </c>
      <c r="AB400" s="54">
        <f>STOCK[[#This Row],[Stock Actual]]*STOCK[[#This Row],[Costo total]]</f>
        <v>5.41111111111111</v>
      </c>
      <c r="AC400" s="54">
        <v>9</v>
      </c>
    </row>
    <row r="401" s="53" customFormat="1" ht="50" customHeight="1" spans="1:29">
      <c r="A401" s="53" t="s">
        <v>847</v>
      </c>
      <c r="B401" s="66"/>
      <c r="C401" s="53" t="s">
        <v>32</v>
      </c>
      <c r="D401" s="53" t="s">
        <v>294</v>
      </c>
      <c r="E401" s="67" t="s">
        <v>846</v>
      </c>
      <c r="F401" s="53" t="s">
        <v>62</v>
      </c>
      <c r="G401" s="53" t="s">
        <v>36</v>
      </c>
      <c r="H401" s="53">
        <f>STOCK[[#This Row],[Precio Final]]</f>
        <v>12</v>
      </c>
      <c r="I401" s="53">
        <f>STOCK[[#This Row],[Precio Venta Ideal (x1.5)]]</f>
        <v>8.11666666666666</v>
      </c>
      <c r="J401" s="71">
        <v>1</v>
      </c>
      <c r="K401" s="71">
        <f>SUMIFS(VENTAS[Cantidad],VENTAS[Código del producto Vendido],STOCK[[#This Row],[Code]])</f>
        <v>0</v>
      </c>
      <c r="L401" s="71">
        <f>STOCK[[#This Row],[Entradas]]-STOCK[[#This Row],[Salidas]]</f>
        <v>1</v>
      </c>
      <c r="M401" s="53">
        <f>STOCK[[#This Row],[Precio Final]]*10%</f>
        <v>1.2</v>
      </c>
      <c r="N401" s="53">
        <v>65</v>
      </c>
      <c r="O401" s="53">
        <v>18</v>
      </c>
      <c r="P401" s="53">
        <v>3.61111111111111</v>
      </c>
      <c r="Q401" s="71">
        <v>60</v>
      </c>
      <c r="R401" s="53">
        <v>10</v>
      </c>
      <c r="S401" s="53">
        <f>STOCK[[#This Row],[Peso (g)]]*STOCK[[#This Row],[Precio Envío Kilogramo (USD)]]/1000</f>
        <v>0.6</v>
      </c>
      <c r="T401" s="53">
        <f>STOCK[[#This Row],[Costo Unitario (USD)]]+STOCK[[#This Row],[Costo Envío (USD)]]+STOCK[[#This Row],[Comisión 10%]]</f>
        <v>5.41111111111111</v>
      </c>
      <c r="U401" s="53">
        <f>STOCK[[#This Row],[Costo total]]*1.5</f>
        <v>8.11666666666666</v>
      </c>
      <c r="V401" s="53">
        <v>12</v>
      </c>
      <c r="W401" s="53">
        <f>STOCK[[#This Row],[Precio Final]]-STOCK[[#This Row],[Costo total]]</f>
        <v>6.58888888888889</v>
      </c>
      <c r="X401" s="53">
        <f>STOCK[[#This Row],[Ganancia Unitaria]]*STOCK[[#This Row],[Salidas]]</f>
        <v>0</v>
      </c>
      <c r="AA401" s="53">
        <f>STOCK[[#This Row],[Costo total]]*STOCK[[#This Row],[Entradas]]</f>
        <v>5.41111111111111</v>
      </c>
      <c r="AB401" s="53">
        <f>STOCK[[#This Row],[Stock Actual]]*STOCK[[#This Row],[Costo total]]</f>
        <v>5.41111111111111</v>
      </c>
      <c r="AC401" s="53">
        <v>9</v>
      </c>
    </row>
    <row r="402" s="54" customFormat="1" ht="50" customHeight="1" spans="1:29">
      <c r="A402" s="54" t="s">
        <v>848</v>
      </c>
      <c r="B402" s="66"/>
      <c r="C402" s="54" t="s">
        <v>32</v>
      </c>
      <c r="D402" s="54" t="s">
        <v>152</v>
      </c>
      <c r="E402" s="68" t="s">
        <v>849</v>
      </c>
      <c r="F402" s="54" t="s">
        <v>46</v>
      </c>
      <c r="G402" s="54" t="s">
        <v>36</v>
      </c>
      <c r="H402" s="54">
        <f>STOCK[[#This Row],[Precio Final]]</f>
        <v>12</v>
      </c>
      <c r="I402" s="54">
        <f>STOCK[[#This Row],[Precio Venta Ideal (x1.5)]]</f>
        <v>8.59999999999999</v>
      </c>
      <c r="J402" s="72">
        <v>1</v>
      </c>
      <c r="K402" s="72">
        <f>SUMIFS(VENTAS[Cantidad],VENTAS[Código del producto Vendido],STOCK[[#This Row],[Code]])</f>
        <v>0</v>
      </c>
      <c r="L402" s="72">
        <f>STOCK[[#This Row],[Entradas]]-STOCK[[#This Row],[Salidas]]</f>
        <v>1</v>
      </c>
      <c r="M402" s="54">
        <f>STOCK[[#This Row],[Precio Final]]*10%</f>
        <v>1.2</v>
      </c>
      <c r="N402" s="54">
        <v>69</v>
      </c>
      <c r="O402" s="54">
        <v>18</v>
      </c>
      <c r="P402" s="54">
        <v>3.83333333333333</v>
      </c>
      <c r="Q402" s="72">
        <v>70</v>
      </c>
      <c r="R402" s="54">
        <v>10</v>
      </c>
      <c r="S402" s="54">
        <f>STOCK[[#This Row],[Peso (g)]]*STOCK[[#This Row],[Precio Envío Kilogramo (USD)]]/1000</f>
        <v>0.7</v>
      </c>
      <c r="T402" s="53">
        <f>STOCK[[#This Row],[Costo Unitario (USD)]]+STOCK[[#This Row],[Costo Envío (USD)]]+STOCK[[#This Row],[Comisión 10%]]</f>
        <v>5.73333333333333</v>
      </c>
      <c r="U402" s="54">
        <f>STOCK[[#This Row],[Costo total]]*1.5</f>
        <v>8.59999999999999</v>
      </c>
      <c r="V402" s="54">
        <v>12</v>
      </c>
      <c r="W402" s="54">
        <f>STOCK[[#This Row],[Precio Final]]-STOCK[[#This Row],[Costo total]]</f>
        <v>6.26666666666667</v>
      </c>
      <c r="X402" s="54">
        <f>STOCK[[#This Row],[Ganancia Unitaria]]*STOCK[[#This Row],[Salidas]]</f>
        <v>0</v>
      </c>
      <c r="AA402" s="54">
        <f>STOCK[[#This Row],[Costo total]]*STOCK[[#This Row],[Entradas]]</f>
        <v>5.73333333333333</v>
      </c>
      <c r="AB402" s="54">
        <f>STOCK[[#This Row],[Stock Actual]]*STOCK[[#This Row],[Costo total]]</f>
        <v>5.73333333333333</v>
      </c>
      <c r="AC402" s="54">
        <v>9</v>
      </c>
    </row>
    <row r="403" s="53" customFormat="1" ht="50" customHeight="1" spans="1:28">
      <c r="A403" s="53" t="s">
        <v>850</v>
      </c>
      <c r="B403" s="66"/>
      <c r="C403" s="53" t="s">
        <v>32</v>
      </c>
      <c r="D403" s="53" t="s">
        <v>38</v>
      </c>
      <c r="E403" s="67" t="s">
        <v>851</v>
      </c>
      <c r="F403" s="53" t="s">
        <v>49</v>
      </c>
      <c r="G403" s="53" t="s">
        <v>36</v>
      </c>
      <c r="H403" s="53">
        <f>STOCK[[#This Row],[Precio Final]]</f>
        <v>30</v>
      </c>
      <c r="I403" s="53">
        <f>STOCK[[#This Row],[Precio Venta Ideal (x1.5)]]</f>
        <v>34.5833333333334</v>
      </c>
      <c r="J403" s="71">
        <v>1</v>
      </c>
      <c r="K403" s="71">
        <f>SUMIFS(VENTAS[Cantidad],VENTAS[Código del producto Vendido],STOCK[[#This Row],[Code]])</f>
        <v>1</v>
      </c>
      <c r="L403" s="71">
        <f>STOCK[[#This Row],[Entradas]]-STOCK[[#This Row],[Salidas]]</f>
        <v>0</v>
      </c>
      <c r="M403" s="53">
        <f>STOCK[[#This Row],[Precio Final]]*10%</f>
        <v>3</v>
      </c>
      <c r="N403" s="53">
        <v>289</v>
      </c>
      <c r="O403" s="53">
        <v>18</v>
      </c>
      <c r="P403" s="53">
        <v>16.0555555555556</v>
      </c>
      <c r="Q403" s="71">
        <v>400</v>
      </c>
      <c r="R403" s="53">
        <v>10</v>
      </c>
      <c r="S403" s="53">
        <f>STOCK[[#This Row],[Peso (g)]]*STOCK[[#This Row],[Precio Envío Kilogramo (USD)]]/1000</f>
        <v>4</v>
      </c>
      <c r="T403" s="53">
        <f>STOCK[[#This Row],[Costo Unitario (USD)]]+STOCK[[#This Row],[Costo Envío (USD)]]+STOCK[[#This Row],[Comisión 10%]]</f>
        <v>23.0555555555556</v>
      </c>
      <c r="U403" s="53">
        <f>STOCK[[#This Row],[Costo total]]*1.5</f>
        <v>34.5833333333334</v>
      </c>
      <c r="V403" s="53">
        <v>30</v>
      </c>
      <c r="W403" s="53">
        <f>STOCK[[#This Row],[Precio Final]]-STOCK[[#This Row],[Costo total]]</f>
        <v>6.9444444444444</v>
      </c>
      <c r="X403" s="53">
        <f>STOCK[[#This Row],[Ganancia Unitaria]]*STOCK[[#This Row],[Salidas]]</f>
        <v>6.9444444444444</v>
      </c>
      <c r="AA403" s="53">
        <f>STOCK[[#This Row],[Costo total]]*STOCK[[#This Row],[Entradas]]</f>
        <v>23.0555555555556</v>
      </c>
      <c r="AB403" s="53">
        <f>STOCK[[#This Row],[Stock Actual]]*STOCK[[#This Row],[Costo total]]</f>
        <v>0</v>
      </c>
    </row>
    <row r="404" s="54" customFormat="1" ht="50" customHeight="1" spans="1:28">
      <c r="A404" s="54" t="s">
        <v>852</v>
      </c>
      <c r="B404" s="66"/>
      <c r="C404" s="54" t="s">
        <v>32</v>
      </c>
      <c r="D404" s="54" t="s">
        <v>44</v>
      </c>
      <c r="E404" s="68" t="s">
        <v>853</v>
      </c>
      <c r="F404" s="54" t="s">
        <v>62</v>
      </c>
      <c r="G404" s="54" t="s">
        <v>36</v>
      </c>
      <c r="H404" s="54">
        <f>STOCK[[#This Row],[Precio Final]]</f>
        <v>25</v>
      </c>
      <c r="I404" s="54">
        <f>STOCK[[#This Row],[Precio Venta Ideal (x1.5)]]</f>
        <v>28.9166666666667</v>
      </c>
      <c r="J404" s="72">
        <v>1</v>
      </c>
      <c r="K404" s="72">
        <f>SUMIFS(VENTAS[Cantidad],VENTAS[Código del producto Vendido],STOCK[[#This Row],[Code]])</f>
        <v>1</v>
      </c>
      <c r="L404" s="72">
        <f>STOCK[[#This Row],[Entradas]]-STOCK[[#This Row],[Salidas]]</f>
        <v>0</v>
      </c>
      <c r="M404" s="54">
        <f>STOCK[[#This Row],[Precio Final]]*10%</f>
        <v>2.5</v>
      </c>
      <c r="N404" s="54">
        <v>275</v>
      </c>
      <c r="O404" s="54">
        <v>18</v>
      </c>
      <c r="P404" s="54">
        <v>15.2777777777778</v>
      </c>
      <c r="Q404" s="72">
        <v>150</v>
      </c>
      <c r="R404" s="54">
        <v>10</v>
      </c>
      <c r="S404" s="54">
        <f>STOCK[[#This Row],[Peso (g)]]*STOCK[[#This Row],[Precio Envío Kilogramo (USD)]]/1000</f>
        <v>1.5</v>
      </c>
      <c r="T404" s="53">
        <f>STOCK[[#This Row],[Costo Unitario (USD)]]+STOCK[[#This Row],[Costo Envío (USD)]]+STOCK[[#This Row],[Comisión 10%]]</f>
        <v>19.2777777777778</v>
      </c>
      <c r="U404" s="54">
        <f>STOCK[[#This Row],[Costo total]]*1.5</f>
        <v>28.9166666666667</v>
      </c>
      <c r="V404" s="54">
        <v>25</v>
      </c>
      <c r="W404" s="54">
        <f>STOCK[[#This Row],[Precio Final]]-STOCK[[#This Row],[Costo total]]</f>
        <v>5.7222222222222</v>
      </c>
      <c r="X404" s="54">
        <f>STOCK[[#This Row],[Ganancia Unitaria]]*STOCK[[#This Row],[Salidas]]</f>
        <v>5.7222222222222</v>
      </c>
      <c r="AA404" s="54">
        <f>STOCK[[#This Row],[Costo total]]*STOCK[[#This Row],[Entradas]]</f>
        <v>19.2777777777778</v>
      </c>
      <c r="AB404" s="54">
        <f>STOCK[[#This Row],[Stock Actual]]*STOCK[[#This Row],[Costo total]]</f>
        <v>0</v>
      </c>
    </row>
    <row r="405" s="53" customFormat="1" ht="50" customHeight="1" spans="1:28">
      <c r="A405" s="53" t="s">
        <v>854</v>
      </c>
      <c r="B405" s="66"/>
      <c r="C405" s="53" t="s">
        <v>32</v>
      </c>
      <c r="D405" s="53" t="s">
        <v>351</v>
      </c>
      <c r="E405" s="67" t="s">
        <v>855</v>
      </c>
      <c r="F405" s="53" t="s">
        <v>46</v>
      </c>
      <c r="G405" s="53" t="s">
        <v>36</v>
      </c>
      <c r="H405" s="53">
        <f>STOCK[[#This Row],[Precio Final]]</f>
        <v>10</v>
      </c>
      <c r="I405" s="53">
        <f>STOCK[[#This Row],[Precio Venta Ideal (x1.5)]]</f>
        <v>7.36666666666666</v>
      </c>
      <c r="J405" s="71">
        <v>0</v>
      </c>
      <c r="K405" s="71">
        <f>SUMIFS(VENTAS[Cantidad],VENTAS[Código del producto Vendido],STOCK[[#This Row],[Code]])</f>
        <v>0</v>
      </c>
      <c r="L405" s="71">
        <f>STOCK[[#This Row],[Entradas]]-STOCK[[#This Row],[Salidas]]</f>
        <v>0</v>
      </c>
      <c r="M405" s="53">
        <f>STOCK[[#This Row],[Precio Final]]*10%</f>
        <v>1</v>
      </c>
      <c r="N405" s="53">
        <v>65</v>
      </c>
      <c r="O405" s="53">
        <v>18</v>
      </c>
      <c r="P405" s="53">
        <v>3.61111111111111</v>
      </c>
      <c r="Q405" s="71">
        <v>30</v>
      </c>
      <c r="R405" s="53">
        <v>10</v>
      </c>
      <c r="S405" s="53">
        <f>STOCK[[#This Row],[Peso (g)]]*STOCK[[#This Row],[Precio Envío Kilogramo (USD)]]/1000</f>
        <v>0.3</v>
      </c>
      <c r="T405" s="53">
        <f>STOCK[[#This Row],[Costo Unitario (USD)]]+STOCK[[#This Row],[Costo Envío (USD)]]+STOCK[[#This Row],[Comisión 10%]]</f>
        <v>4.91111111111111</v>
      </c>
      <c r="U405" s="53">
        <f>STOCK[[#This Row],[Costo total]]*1.5</f>
        <v>7.36666666666666</v>
      </c>
      <c r="V405" s="53">
        <v>10</v>
      </c>
      <c r="W405" s="53">
        <f>STOCK[[#This Row],[Precio Final]]-STOCK[[#This Row],[Costo total]]</f>
        <v>5.08888888888889</v>
      </c>
      <c r="X405" s="53">
        <f>STOCK[[#This Row],[Ganancia Unitaria]]*STOCK[[#This Row],[Salidas]]</f>
        <v>0</v>
      </c>
      <c r="AA405" s="53">
        <f>STOCK[[#This Row],[Costo total]]*STOCK[[#This Row],[Entradas]]</f>
        <v>0</v>
      </c>
      <c r="AB405" s="53">
        <f>STOCK[[#This Row],[Stock Actual]]*STOCK[[#This Row],[Costo total]]</f>
        <v>0</v>
      </c>
    </row>
    <row r="406" s="54" customFormat="1" ht="50" customHeight="1" spans="1:28">
      <c r="A406" s="54" t="s">
        <v>856</v>
      </c>
      <c r="B406" s="66"/>
      <c r="C406" s="54" t="s">
        <v>32</v>
      </c>
      <c r="D406" s="54" t="s">
        <v>857</v>
      </c>
      <c r="E406" s="68" t="s">
        <v>858</v>
      </c>
      <c r="F406" s="54" t="s">
        <v>525</v>
      </c>
      <c r="G406" s="54" t="s">
        <v>36</v>
      </c>
      <c r="H406" s="54">
        <f>STOCK[[#This Row],[Precio Final]]</f>
        <v>7</v>
      </c>
      <c r="I406" s="54">
        <f>STOCK[[#This Row],[Precio Venta Ideal (x1.5)]]</f>
        <v>5.66666666666667</v>
      </c>
      <c r="J406" s="72">
        <v>1</v>
      </c>
      <c r="K406" s="72">
        <f>SUMIFS(VENTAS[Cantidad],VENTAS[Código del producto Vendido],STOCK[[#This Row],[Code]])</f>
        <v>0</v>
      </c>
      <c r="L406" s="72">
        <f>STOCK[[#This Row],[Entradas]]-STOCK[[#This Row],[Salidas]]</f>
        <v>1</v>
      </c>
      <c r="M406" s="54">
        <f>STOCK[[#This Row],[Precio Final]]*10%</f>
        <v>0.7</v>
      </c>
      <c r="N406" s="54">
        <v>50</v>
      </c>
      <c r="O406" s="54">
        <v>18</v>
      </c>
      <c r="P406" s="54">
        <v>2.77777777777778</v>
      </c>
      <c r="Q406" s="72">
        <v>30</v>
      </c>
      <c r="R406" s="54">
        <v>10</v>
      </c>
      <c r="S406" s="54">
        <f>STOCK[[#This Row],[Peso (g)]]*STOCK[[#This Row],[Precio Envío Kilogramo (USD)]]/1000</f>
        <v>0.3</v>
      </c>
      <c r="T406" s="53">
        <f>STOCK[[#This Row],[Costo Unitario (USD)]]+STOCK[[#This Row],[Costo Envío (USD)]]+STOCK[[#This Row],[Comisión 10%]]</f>
        <v>3.77777777777778</v>
      </c>
      <c r="U406" s="54">
        <f>STOCK[[#This Row],[Costo total]]*1.5</f>
        <v>5.66666666666667</v>
      </c>
      <c r="V406" s="54">
        <v>7</v>
      </c>
      <c r="W406" s="54">
        <f>STOCK[[#This Row],[Precio Final]]-STOCK[[#This Row],[Costo total]]</f>
        <v>3.22222222222222</v>
      </c>
      <c r="X406" s="54">
        <f>STOCK[[#This Row],[Ganancia Unitaria]]*STOCK[[#This Row],[Salidas]]</f>
        <v>0</v>
      </c>
      <c r="AA406" s="54">
        <f>STOCK[[#This Row],[Costo total]]*STOCK[[#This Row],[Entradas]]</f>
        <v>3.77777777777778</v>
      </c>
      <c r="AB406" s="54">
        <f>STOCK[[#This Row],[Stock Actual]]*STOCK[[#This Row],[Costo total]]</f>
        <v>3.77777777777778</v>
      </c>
    </row>
    <row r="407" s="53" customFormat="1" ht="50" customHeight="1" spans="1:28">
      <c r="A407" s="53" t="s">
        <v>859</v>
      </c>
      <c r="B407" s="66"/>
      <c r="C407" s="53" t="s">
        <v>32</v>
      </c>
      <c r="D407" s="53" t="s">
        <v>44</v>
      </c>
      <c r="E407" s="67" t="s">
        <v>860</v>
      </c>
      <c r="F407" s="53" t="s">
        <v>62</v>
      </c>
      <c r="G407" s="53" t="s">
        <v>36</v>
      </c>
      <c r="H407" s="53">
        <f>STOCK[[#This Row],[Precio Final]]</f>
        <v>16</v>
      </c>
      <c r="I407" s="53">
        <f>STOCK[[#This Row],[Precio Venta Ideal (x1.5)]]</f>
        <v>16.0666666666667</v>
      </c>
      <c r="J407" s="71">
        <v>1</v>
      </c>
      <c r="K407" s="71">
        <f>SUMIFS(VENTAS[Cantidad],VENTAS[Código del producto Vendido],STOCK[[#This Row],[Code]])</f>
        <v>1</v>
      </c>
      <c r="L407" s="71">
        <f>STOCK[[#This Row],[Entradas]]-STOCK[[#This Row],[Salidas]]</f>
        <v>0</v>
      </c>
      <c r="M407" s="53">
        <f>STOCK[[#This Row],[Precio Final]]*10%</f>
        <v>1.6</v>
      </c>
      <c r="N407" s="53">
        <v>110</v>
      </c>
      <c r="O407" s="53">
        <v>18</v>
      </c>
      <c r="P407" s="53">
        <v>6.11111111111111</v>
      </c>
      <c r="Q407" s="71">
        <v>300</v>
      </c>
      <c r="R407" s="53">
        <v>10</v>
      </c>
      <c r="S407" s="53">
        <f>STOCK[[#This Row],[Peso (g)]]*STOCK[[#This Row],[Precio Envío Kilogramo (USD)]]/1000</f>
        <v>3</v>
      </c>
      <c r="T407" s="53">
        <f>STOCK[[#This Row],[Costo Unitario (USD)]]+STOCK[[#This Row],[Costo Envío (USD)]]+STOCK[[#This Row],[Comisión 10%]]</f>
        <v>10.7111111111111</v>
      </c>
      <c r="U407" s="53">
        <f>STOCK[[#This Row],[Costo total]]*1.5</f>
        <v>16.0666666666667</v>
      </c>
      <c r="V407" s="53">
        <v>16</v>
      </c>
      <c r="W407" s="53">
        <f>STOCK[[#This Row],[Precio Final]]-STOCK[[#This Row],[Costo total]]</f>
        <v>5.28888888888889</v>
      </c>
      <c r="X407" s="53">
        <f>STOCK[[#This Row],[Ganancia Unitaria]]*STOCK[[#This Row],[Salidas]]</f>
        <v>5.28888888888889</v>
      </c>
      <c r="AA407" s="53">
        <f>STOCK[[#This Row],[Costo total]]*STOCK[[#This Row],[Entradas]]</f>
        <v>10.7111111111111</v>
      </c>
      <c r="AB407" s="53">
        <f>STOCK[[#This Row],[Stock Actual]]*STOCK[[#This Row],[Costo total]]</f>
        <v>0</v>
      </c>
    </row>
    <row r="408" s="54" customFormat="1" ht="50" customHeight="1" spans="1:28">
      <c r="A408" s="54" t="s">
        <v>861</v>
      </c>
      <c r="B408" s="66"/>
      <c r="C408" s="54" t="s">
        <v>32</v>
      </c>
      <c r="D408" s="54" t="s">
        <v>44</v>
      </c>
      <c r="E408" s="68" t="s">
        <v>862</v>
      </c>
      <c r="F408" s="54" t="s">
        <v>211</v>
      </c>
      <c r="G408" s="54" t="s">
        <v>36</v>
      </c>
      <c r="H408" s="54">
        <f>STOCK[[#This Row],[Precio Final]]</f>
        <v>18</v>
      </c>
      <c r="I408" s="54">
        <f>STOCK[[#This Row],[Precio Venta Ideal (x1.5)]]</f>
        <v>16.3666666666667</v>
      </c>
      <c r="J408" s="72">
        <v>2</v>
      </c>
      <c r="K408" s="72">
        <f>SUMIFS(VENTAS[Cantidad],VENTAS[Código del producto Vendido],STOCK[[#This Row],[Code]])</f>
        <v>2</v>
      </c>
      <c r="L408" s="72">
        <f>STOCK[[#This Row],[Entradas]]-STOCK[[#This Row],[Salidas]]</f>
        <v>0</v>
      </c>
      <c r="M408" s="54">
        <f>STOCK[[#This Row],[Precio Final]]*10%</f>
        <v>1.8</v>
      </c>
      <c r="N408" s="54">
        <v>110</v>
      </c>
      <c r="O408" s="54">
        <v>18</v>
      </c>
      <c r="P408" s="54">
        <v>6.11111111111111</v>
      </c>
      <c r="Q408" s="72">
        <v>300</v>
      </c>
      <c r="R408" s="54">
        <v>10</v>
      </c>
      <c r="S408" s="54">
        <f>STOCK[[#This Row],[Peso (g)]]*STOCK[[#This Row],[Precio Envío Kilogramo (USD)]]/1000</f>
        <v>3</v>
      </c>
      <c r="T408" s="53">
        <f>STOCK[[#This Row],[Costo Unitario (USD)]]+STOCK[[#This Row],[Costo Envío (USD)]]+STOCK[[#This Row],[Comisión 10%]]</f>
        <v>10.9111111111111</v>
      </c>
      <c r="U408" s="54">
        <f>STOCK[[#This Row],[Costo total]]*1.5</f>
        <v>16.3666666666667</v>
      </c>
      <c r="V408" s="54">
        <v>18</v>
      </c>
      <c r="W408" s="54">
        <f>STOCK[[#This Row],[Precio Final]]-STOCK[[#This Row],[Costo total]]</f>
        <v>7.08888888888889</v>
      </c>
      <c r="X408" s="54">
        <f>STOCK[[#This Row],[Ganancia Unitaria]]*STOCK[[#This Row],[Salidas]]</f>
        <v>14.1777777777778</v>
      </c>
      <c r="AA408" s="54">
        <f>STOCK[[#This Row],[Costo total]]*STOCK[[#This Row],[Entradas]]</f>
        <v>21.8222222222222</v>
      </c>
      <c r="AB408" s="54">
        <f>STOCK[[#This Row],[Stock Actual]]*STOCK[[#This Row],[Costo total]]</f>
        <v>0</v>
      </c>
    </row>
    <row r="409" s="53" customFormat="1" ht="50" customHeight="1" spans="1:28">
      <c r="A409" s="53" t="s">
        <v>863</v>
      </c>
      <c r="B409" s="66"/>
      <c r="C409" s="53" t="s">
        <v>32</v>
      </c>
      <c r="D409" s="53" t="s">
        <v>38</v>
      </c>
      <c r="E409" s="67" t="s">
        <v>864</v>
      </c>
      <c r="F409" s="53" t="s">
        <v>62</v>
      </c>
      <c r="G409" s="53" t="s">
        <v>36</v>
      </c>
      <c r="H409" s="53">
        <f>STOCK[[#This Row],[Precio Final]]</f>
        <v>20</v>
      </c>
      <c r="I409" s="53">
        <f>STOCK[[#This Row],[Precio Venta Ideal (x1.5)]]</f>
        <v>23.1666666666666</v>
      </c>
      <c r="J409" s="71">
        <v>2</v>
      </c>
      <c r="K409" s="71">
        <f>SUMIFS(VENTAS[Cantidad],VENTAS[Código del producto Vendido],STOCK[[#This Row],[Code]])</f>
        <v>2</v>
      </c>
      <c r="L409" s="71">
        <f>STOCK[[#This Row],[Entradas]]-STOCK[[#This Row],[Salidas]]</f>
        <v>0</v>
      </c>
      <c r="M409" s="53">
        <f>STOCK[[#This Row],[Precio Final]]*10%</f>
        <v>2</v>
      </c>
      <c r="N409" s="53">
        <v>206</v>
      </c>
      <c r="O409" s="53">
        <v>18</v>
      </c>
      <c r="P409" s="53">
        <v>11.4444444444444</v>
      </c>
      <c r="Q409" s="71">
        <v>200</v>
      </c>
      <c r="R409" s="53">
        <v>10</v>
      </c>
      <c r="S409" s="53">
        <f>STOCK[[#This Row],[Peso (g)]]*STOCK[[#This Row],[Precio Envío Kilogramo (USD)]]/1000</f>
        <v>2</v>
      </c>
      <c r="T409" s="53">
        <f>STOCK[[#This Row],[Costo Unitario (USD)]]+STOCK[[#This Row],[Costo Envío (USD)]]+STOCK[[#This Row],[Comisión 10%]]</f>
        <v>15.4444444444444</v>
      </c>
      <c r="U409" s="53">
        <f>STOCK[[#This Row],[Costo total]]*1.5</f>
        <v>23.1666666666666</v>
      </c>
      <c r="V409" s="53">
        <v>20</v>
      </c>
      <c r="W409" s="53">
        <f>STOCK[[#This Row],[Precio Final]]-STOCK[[#This Row],[Costo total]]</f>
        <v>4.5555555555556</v>
      </c>
      <c r="X409" s="53">
        <f>STOCK[[#This Row],[Ganancia Unitaria]]*STOCK[[#This Row],[Salidas]]</f>
        <v>9.1111111111112</v>
      </c>
      <c r="AA409" s="53">
        <f>STOCK[[#This Row],[Costo total]]*STOCK[[#This Row],[Entradas]]</f>
        <v>30.8888888888888</v>
      </c>
      <c r="AB409" s="53">
        <f>STOCK[[#This Row],[Stock Actual]]*STOCK[[#This Row],[Costo total]]</f>
        <v>0</v>
      </c>
    </row>
    <row r="410" s="54" customFormat="1" ht="50" customHeight="1" spans="1:28">
      <c r="A410" s="54" t="s">
        <v>865</v>
      </c>
      <c r="B410" s="66"/>
      <c r="C410" s="54" t="s">
        <v>32</v>
      </c>
      <c r="D410" s="54" t="s">
        <v>38</v>
      </c>
      <c r="E410" s="68" t="s">
        <v>866</v>
      </c>
      <c r="F410" s="54" t="s">
        <v>49</v>
      </c>
      <c r="G410" s="54" t="s">
        <v>36</v>
      </c>
      <c r="H410" s="54">
        <f>STOCK[[#This Row],[Precio Final]]</f>
        <v>20</v>
      </c>
      <c r="I410" s="54">
        <f>STOCK[[#This Row],[Precio Venta Ideal (x1.5)]]</f>
        <v>23.1666666666666</v>
      </c>
      <c r="J410" s="72">
        <v>1</v>
      </c>
      <c r="K410" s="72">
        <f>SUMIFS(VENTAS[Cantidad],VENTAS[Código del producto Vendido],STOCK[[#This Row],[Code]])</f>
        <v>1</v>
      </c>
      <c r="L410" s="72">
        <f>STOCK[[#This Row],[Entradas]]-STOCK[[#This Row],[Salidas]]</f>
        <v>0</v>
      </c>
      <c r="M410" s="54">
        <f>STOCK[[#This Row],[Precio Final]]*10%</f>
        <v>2</v>
      </c>
      <c r="N410" s="54">
        <v>206</v>
      </c>
      <c r="O410" s="54">
        <v>18</v>
      </c>
      <c r="P410" s="54">
        <v>11.4444444444444</v>
      </c>
      <c r="Q410" s="72">
        <v>200</v>
      </c>
      <c r="R410" s="54">
        <v>10</v>
      </c>
      <c r="S410" s="54">
        <f>STOCK[[#This Row],[Peso (g)]]*STOCK[[#This Row],[Precio Envío Kilogramo (USD)]]/1000</f>
        <v>2</v>
      </c>
      <c r="T410" s="53">
        <f>STOCK[[#This Row],[Costo Unitario (USD)]]+STOCK[[#This Row],[Costo Envío (USD)]]+STOCK[[#This Row],[Comisión 10%]]</f>
        <v>15.4444444444444</v>
      </c>
      <c r="U410" s="54">
        <f>STOCK[[#This Row],[Costo total]]*1.5</f>
        <v>23.1666666666666</v>
      </c>
      <c r="V410" s="54">
        <v>20</v>
      </c>
      <c r="W410" s="54">
        <f>STOCK[[#This Row],[Precio Final]]-STOCK[[#This Row],[Costo total]]</f>
        <v>4.5555555555556</v>
      </c>
      <c r="X410" s="54">
        <f>STOCK[[#This Row],[Ganancia Unitaria]]*STOCK[[#This Row],[Salidas]]</f>
        <v>4.5555555555556</v>
      </c>
      <c r="AA410" s="54">
        <f>STOCK[[#This Row],[Costo total]]*STOCK[[#This Row],[Entradas]]</f>
        <v>15.4444444444444</v>
      </c>
      <c r="AB410" s="54">
        <f>STOCK[[#This Row],[Stock Actual]]*STOCK[[#This Row],[Costo total]]</f>
        <v>0</v>
      </c>
    </row>
    <row r="411" s="53" customFormat="1" ht="50" customHeight="1" spans="1:28">
      <c r="A411" s="53" t="s">
        <v>867</v>
      </c>
      <c r="B411" s="66"/>
      <c r="C411" s="53" t="s">
        <v>32</v>
      </c>
      <c r="D411" s="53" t="s">
        <v>216</v>
      </c>
      <c r="E411" s="67" t="s">
        <v>868</v>
      </c>
      <c r="F411" s="53" t="s">
        <v>49</v>
      </c>
      <c r="G411" s="53" t="s">
        <v>36</v>
      </c>
      <c r="H411" s="53">
        <f>STOCK[[#This Row],[Precio Final]]</f>
        <v>20</v>
      </c>
      <c r="I411" s="53">
        <f>STOCK[[#This Row],[Precio Venta Ideal (x1.5)]]</f>
        <v>16.6666666666667</v>
      </c>
      <c r="J411" s="71">
        <v>1</v>
      </c>
      <c r="K411" s="71">
        <f>SUMIFS(VENTAS[Cantidad],VENTAS[Código del producto Vendido],STOCK[[#This Row],[Code]])</f>
        <v>0</v>
      </c>
      <c r="L411" s="71">
        <f>STOCK[[#This Row],[Entradas]]-STOCK[[#This Row],[Salidas]]</f>
        <v>1</v>
      </c>
      <c r="M411" s="53">
        <f>STOCK[[#This Row],[Precio Final]]*10%</f>
        <v>2</v>
      </c>
      <c r="N411" s="53">
        <v>128</v>
      </c>
      <c r="O411" s="53">
        <v>18</v>
      </c>
      <c r="P411" s="53">
        <v>7.11111111111111</v>
      </c>
      <c r="Q411" s="71">
        <v>200</v>
      </c>
      <c r="R411" s="53">
        <v>10</v>
      </c>
      <c r="S411" s="53">
        <f>STOCK[[#This Row],[Peso (g)]]*STOCK[[#This Row],[Precio Envío Kilogramo (USD)]]/1000</f>
        <v>2</v>
      </c>
      <c r="T411" s="53">
        <f>STOCK[[#This Row],[Costo Unitario (USD)]]+STOCK[[#This Row],[Costo Envío (USD)]]+STOCK[[#This Row],[Comisión 10%]]</f>
        <v>11.1111111111111</v>
      </c>
      <c r="U411" s="53">
        <f>STOCK[[#This Row],[Costo total]]*1.5</f>
        <v>16.6666666666667</v>
      </c>
      <c r="V411" s="53">
        <v>20</v>
      </c>
      <c r="W411" s="53">
        <f>STOCK[[#This Row],[Precio Final]]-STOCK[[#This Row],[Costo total]]</f>
        <v>8.88888888888889</v>
      </c>
      <c r="X411" s="53">
        <f>STOCK[[#This Row],[Ganancia Unitaria]]*STOCK[[#This Row],[Salidas]]</f>
        <v>0</v>
      </c>
      <c r="AA411" s="53">
        <f>STOCK[[#This Row],[Costo total]]*STOCK[[#This Row],[Entradas]]</f>
        <v>11.1111111111111</v>
      </c>
      <c r="AB411" s="53">
        <f>STOCK[[#This Row],[Stock Actual]]*STOCK[[#This Row],[Costo total]]</f>
        <v>11.1111111111111</v>
      </c>
    </row>
    <row r="412" s="54" customFormat="1" ht="50" customHeight="1" spans="1:28">
      <c r="A412" s="54" t="s">
        <v>869</v>
      </c>
      <c r="B412" s="66"/>
      <c r="C412" s="54" t="s">
        <v>32</v>
      </c>
      <c r="D412" s="54" t="s">
        <v>82</v>
      </c>
      <c r="E412" s="68" t="s">
        <v>870</v>
      </c>
      <c r="F412" s="54" t="s">
        <v>205</v>
      </c>
      <c r="G412" s="54" t="s">
        <v>36</v>
      </c>
      <c r="H412" s="54">
        <f>STOCK[[#This Row],[Precio Final]]</f>
        <v>16</v>
      </c>
      <c r="I412" s="54">
        <f>STOCK[[#This Row],[Precio Venta Ideal (x1.5)]]</f>
        <v>17.9</v>
      </c>
      <c r="J412" s="72">
        <v>1</v>
      </c>
      <c r="K412" s="72">
        <f>SUMIFS(VENTAS[Cantidad],VENTAS[Código del producto Vendido],STOCK[[#This Row],[Code]])</f>
        <v>1</v>
      </c>
      <c r="L412" s="72">
        <f>STOCK[[#This Row],[Entradas]]-STOCK[[#This Row],[Salidas]]</f>
        <v>0</v>
      </c>
      <c r="M412" s="54">
        <f>STOCK[[#This Row],[Precio Final]]*10%</f>
        <v>1.6</v>
      </c>
      <c r="N412" s="54">
        <v>150</v>
      </c>
      <c r="O412" s="54">
        <v>18</v>
      </c>
      <c r="P412" s="54">
        <v>8.33333333333333</v>
      </c>
      <c r="Q412" s="72">
        <v>200</v>
      </c>
      <c r="R412" s="54">
        <v>10</v>
      </c>
      <c r="S412" s="54">
        <f>STOCK[[#This Row],[Peso (g)]]*STOCK[[#This Row],[Precio Envío Kilogramo (USD)]]/1000</f>
        <v>2</v>
      </c>
      <c r="T412" s="53">
        <f>STOCK[[#This Row],[Costo Unitario (USD)]]+STOCK[[#This Row],[Costo Envío (USD)]]+STOCK[[#This Row],[Comisión 10%]]</f>
        <v>11.9333333333333</v>
      </c>
      <c r="U412" s="54">
        <f>STOCK[[#This Row],[Costo total]]*1.5</f>
        <v>17.9</v>
      </c>
      <c r="V412" s="54">
        <v>16</v>
      </c>
      <c r="W412" s="54">
        <f>STOCK[[#This Row],[Precio Final]]-STOCK[[#This Row],[Costo total]]</f>
        <v>4.06666666666667</v>
      </c>
      <c r="X412" s="54">
        <f>STOCK[[#This Row],[Ganancia Unitaria]]*STOCK[[#This Row],[Salidas]]</f>
        <v>4.06666666666667</v>
      </c>
      <c r="AA412" s="54">
        <f>STOCK[[#This Row],[Costo total]]*STOCK[[#This Row],[Entradas]]</f>
        <v>11.9333333333333</v>
      </c>
      <c r="AB412" s="54">
        <f>STOCK[[#This Row],[Stock Actual]]*STOCK[[#This Row],[Costo total]]</f>
        <v>0</v>
      </c>
    </row>
    <row r="413" s="53" customFormat="1" ht="50" customHeight="1" spans="1:28">
      <c r="A413" s="53" t="s">
        <v>871</v>
      </c>
      <c r="B413" s="66"/>
      <c r="C413" s="53" t="s">
        <v>32</v>
      </c>
      <c r="D413" s="53" t="s">
        <v>515</v>
      </c>
      <c r="E413" s="67" t="s">
        <v>872</v>
      </c>
      <c r="F413" s="53" t="s">
        <v>540</v>
      </c>
      <c r="G413" s="53" t="s">
        <v>36</v>
      </c>
      <c r="H413" s="53">
        <f>STOCK[[#This Row],[Precio Final]]</f>
        <v>35</v>
      </c>
      <c r="I413" s="53">
        <f>STOCK[[#This Row],[Precio Venta Ideal (x1.5)]]</f>
        <v>41.25</v>
      </c>
      <c r="J413" s="71">
        <v>0</v>
      </c>
      <c r="K413" s="71">
        <f>SUMIFS(VENTAS[Cantidad],VENTAS[Código del producto Vendido],STOCK[[#This Row],[Code]])</f>
        <v>0</v>
      </c>
      <c r="L413" s="71">
        <f>STOCK[[#This Row],[Entradas]]-STOCK[[#This Row],[Salidas]]</f>
        <v>0</v>
      </c>
      <c r="M413" s="53">
        <f>STOCK[[#This Row],[Precio Final]]*10%</f>
        <v>3.5</v>
      </c>
      <c r="N413" s="53">
        <v>485</v>
      </c>
      <c r="O413" s="53">
        <v>18</v>
      </c>
      <c r="P413" s="53">
        <v>18</v>
      </c>
      <c r="Q413" s="71">
        <v>600</v>
      </c>
      <c r="R413" s="53">
        <v>10</v>
      </c>
      <c r="S413" s="53">
        <f>STOCK[[#This Row],[Peso (g)]]*STOCK[[#This Row],[Precio Envío Kilogramo (USD)]]/1000</f>
        <v>6</v>
      </c>
      <c r="T413" s="53">
        <f>STOCK[[#This Row],[Costo Unitario (USD)]]+STOCK[[#This Row],[Costo Envío (USD)]]+STOCK[[#This Row],[Comisión 10%]]</f>
        <v>27.5</v>
      </c>
      <c r="U413" s="53">
        <f>STOCK[[#This Row],[Costo total]]*1.5</f>
        <v>41.25</v>
      </c>
      <c r="V413" s="53">
        <v>35</v>
      </c>
      <c r="W413" s="53">
        <f>STOCK[[#This Row],[Precio Final]]-STOCK[[#This Row],[Costo total]]</f>
        <v>7.5</v>
      </c>
      <c r="X413" s="53">
        <f>STOCK[[#This Row],[Ganancia Unitaria]]*STOCK[[#This Row],[Salidas]]</f>
        <v>0</v>
      </c>
      <c r="AA413" s="53">
        <f>STOCK[[#This Row],[Costo total]]*STOCK[[#This Row],[Entradas]]</f>
        <v>0</v>
      </c>
      <c r="AB413" s="53">
        <f>STOCK[[#This Row],[Stock Actual]]*STOCK[[#This Row],[Costo total]]</f>
        <v>0</v>
      </c>
    </row>
    <row r="414" s="54" customFormat="1" ht="50" customHeight="1" spans="1:28">
      <c r="A414" s="54" t="s">
        <v>873</v>
      </c>
      <c r="B414" s="66"/>
      <c r="C414" s="54" t="s">
        <v>32</v>
      </c>
      <c r="D414" s="54" t="s">
        <v>743</v>
      </c>
      <c r="E414" s="68" t="s">
        <v>874</v>
      </c>
      <c r="F414" s="54" t="s">
        <v>759</v>
      </c>
      <c r="G414" s="54" t="s">
        <v>36</v>
      </c>
      <c r="H414" s="54">
        <f>STOCK[[#This Row],[Precio Final]]</f>
        <v>40</v>
      </c>
      <c r="I414" s="54">
        <f>STOCK[[#This Row],[Precio Venta Ideal (x1.5)]]</f>
        <v>56.9166666666666</v>
      </c>
      <c r="J414" s="72">
        <v>1</v>
      </c>
      <c r="K414" s="72">
        <f>SUMIFS(VENTAS[Cantidad],VENTAS[Código del producto Vendido],STOCK[[#This Row],[Code]])</f>
        <v>1</v>
      </c>
      <c r="L414" s="72">
        <f>STOCK[[#This Row],[Entradas]]-STOCK[[#This Row],[Salidas]]</f>
        <v>0</v>
      </c>
      <c r="M414" s="54">
        <f>STOCK[[#This Row],[Precio Final]]*10%</f>
        <v>4</v>
      </c>
      <c r="N414" s="54">
        <v>485</v>
      </c>
      <c r="O414" s="54">
        <v>18</v>
      </c>
      <c r="P414" s="54">
        <v>26.9444444444444</v>
      </c>
      <c r="Q414" s="72">
        <v>700</v>
      </c>
      <c r="R414" s="54">
        <v>10</v>
      </c>
      <c r="S414" s="54">
        <f>STOCK[[#This Row],[Peso (g)]]*STOCK[[#This Row],[Precio Envío Kilogramo (USD)]]/1000</f>
        <v>7</v>
      </c>
      <c r="T414" s="53">
        <f>STOCK[[#This Row],[Costo Unitario (USD)]]+STOCK[[#This Row],[Costo Envío (USD)]]+STOCK[[#This Row],[Comisión 10%]]</f>
        <v>37.9444444444444</v>
      </c>
      <c r="U414" s="54">
        <f>STOCK[[#This Row],[Costo total]]*1.5</f>
        <v>56.9166666666666</v>
      </c>
      <c r="V414" s="54">
        <v>40</v>
      </c>
      <c r="W414" s="54">
        <f>STOCK[[#This Row],[Precio Final]]-STOCK[[#This Row],[Costo total]]</f>
        <v>2.0555555555556</v>
      </c>
      <c r="X414" s="54">
        <f>STOCK[[#This Row],[Ganancia Unitaria]]*STOCK[[#This Row],[Salidas]]</f>
        <v>2.0555555555556</v>
      </c>
      <c r="AA414" s="54">
        <f>STOCK[[#This Row],[Costo total]]*STOCK[[#This Row],[Entradas]]</f>
        <v>37.9444444444444</v>
      </c>
      <c r="AB414" s="54">
        <f>STOCK[[#This Row],[Stock Actual]]*STOCK[[#This Row],[Costo total]]</f>
        <v>0</v>
      </c>
    </row>
    <row r="415" s="53" customFormat="1" ht="50" customHeight="1" spans="1:29">
      <c r="A415" s="53" t="s">
        <v>875</v>
      </c>
      <c r="B415" s="66"/>
      <c r="C415" s="53" t="s">
        <v>32</v>
      </c>
      <c r="D415" s="53" t="s">
        <v>556</v>
      </c>
      <c r="E415" s="67" t="s">
        <v>876</v>
      </c>
      <c r="F415" s="53" t="s">
        <v>540</v>
      </c>
      <c r="G415" s="53" t="s">
        <v>36</v>
      </c>
      <c r="H415" s="53">
        <f>STOCK[[#This Row],[Precio Final]]</f>
        <v>40</v>
      </c>
      <c r="I415" s="53">
        <f>STOCK[[#This Row],[Precio Venta Ideal (x1.5)]]</f>
        <v>54.1666666666667</v>
      </c>
      <c r="J415" s="71">
        <v>1</v>
      </c>
      <c r="K415" s="71">
        <f>SUMIFS(VENTAS[Cantidad],VENTAS[Código del producto Vendido],STOCK[[#This Row],[Code]])</f>
        <v>0</v>
      </c>
      <c r="L415" s="71">
        <f>STOCK[[#This Row],[Entradas]]-STOCK[[#This Row],[Salidas]]</f>
        <v>1</v>
      </c>
      <c r="M415" s="53">
        <f>STOCK[[#This Row],[Precio Final]]*10%</f>
        <v>4</v>
      </c>
      <c r="N415" s="53">
        <v>452</v>
      </c>
      <c r="O415" s="53">
        <v>18</v>
      </c>
      <c r="P415" s="53">
        <v>25.1111111111111</v>
      </c>
      <c r="Q415" s="71">
        <v>700</v>
      </c>
      <c r="R415" s="53">
        <v>10</v>
      </c>
      <c r="S415" s="53">
        <f>STOCK[[#This Row],[Peso (g)]]*STOCK[[#This Row],[Precio Envío Kilogramo (USD)]]/1000</f>
        <v>7</v>
      </c>
      <c r="T415" s="53">
        <f>STOCK[[#This Row],[Costo Unitario (USD)]]+STOCK[[#This Row],[Costo Envío (USD)]]+STOCK[[#This Row],[Comisión 10%]]</f>
        <v>36.1111111111111</v>
      </c>
      <c r="U415" s="53">
        <f>STOCK[[#This Row],[Costo total]]*1.5</f>
        <v>54.1666666666667</v>
      </c>
      <c r="V415" s="53">
        <v>40</v>
      </c>
      <c r="W415" s="53">
        <f>STOCK[[#This Row],[Precio Final]]-STOCK[[#This Row],[Costo total]]</f>
        <v>3.8888888888889</v>
      </c>
      <c r="X415" s="53">
        <f>STOCK[[#This Row],[Ganancia Unitaria]]*STOCK[[#This Row],[Salidas]]</f>
        <v>0</v>
      </c>
      <c r="AA415" s="53">
        <f>STOCK[[#This Row],[Costo total]]*STOCK[[#This Row],[Entradas]]</f>
        <v>36.1111111111111</v>
      </c>
      <c r="AB415" s="53">
        <f>STOCK[[#This Row],[Stock Actual]]*STOCK[[#This Row],[Costo total]]</f>
        <v>36.1111111111111</v>
      </c>
      <c r="AC415" s="53">
        <v>30</v>
      </c>
    </row>
    <row r="416" s="54" customFormat="1" ht="50" customHeight="1" spans="1:28">
      <c r="A416" s="54" t="s">
        <v>877</v>
      </c>
      <c r="B416" s="66"/>
      <c r="C416" s="54" t="s">
        <v>32</v>
      </c>
      <c r="D416" s="54" t="s">
        <v>546</v>
      </c>
      <c r="E416" s="68" t="s">
        <v>878</v>
      </c>
      <c r="F416" s="54" t="s">
        <v>394</v>
      </c>
      <c r="G416" s="54" t="s">
        <v>36</v>
      </c>
      <c r="H416" s="54">
        <f>STOCK[[#This Row],[Precio Final]]</f>
        <v>7</v>
      </c>
      <c r="I416" s="54">
        <f>STOCK[[#This Row],[Precio Venta Ideal (x1.5)]]</f>
        <v>6.61666666666666</v>
      </c>
      <c r="J416" s="72">
        <v>4</v>
      </c>
      <c r="K416" s="72">
        <f>SUMIFS(VENTAS[Cantidad],VENTAS[Código del producto Vendido],STOCK[[#This Row],[Code]])</f>
        <v>4</v>
      </c>
      <c r="L416" s="72">
        <f>STOCK[[#This Row],[Entradas]]-STOCK[[#This Row],[Salidas]]</f>
        <v>0</v>
      </c>
      <c r="M416" s="54">
        <f>STOCK[[#This Row],[Precio Final]]*10%</f>
        <v>0.7</v>
      </c>
      <c r="N416" s="54">
        <v>65</v>
      </c>
      <c r="O416" s="54">
        <v>18</v>
      </c>
      <c r="P416" s="54">
        <v>3.61111111111111</v>
      </c>
      <c r="Q416" s="72">
        <v>10</v>
      </c>
      <c r="R416" s="54">
        <v>10</v>
      </c>
      <c r="S416" s="54">
        <f>STOCK[[#This Row],[Peso (g)]]*STOCK[[#This Row],[Precio Envío Kilogramo (USD)]]/1000</f>
        <v>0.1</v>
      </c>
      <c r="T416" s="53">
        <f>STOCK[[#This Row],[Costo Unitario (USD)]]+STOCK[[#This Row],[Costo Envío (USD)]]+STOCK[[#This Row],[Comisión 10%]]</f>
        <v>4.41111111111111</v>
      </c>
      <c r="U416" s="54">
        <f>STOCK[[#This Row],[Costo total]]*1.5</f>
        <v>6.61666666666666</v>
      </c>
      <c r="V416" s="54">
        <v>7</v>
      </c>
      <c r="W416" s="54">
        <f>STOCK[[#This Row],[Precio Final]]-STOCK[[#This Row],[Costo total]]</f>
        <v>2.58888888888889</v>
      </c>
      <c r="X416" s="54">
        <f>STOCK[[#This Row],[Ganancia Unitaria]]*STOCK[[#This Row],[Salidas]]</f>
        <v>10.3555555555556</v>
      </c>
      <c r="AA416" s="54">
        <f>STOCK[[#This Row],[Costo total]]*STOCK[[#This Row],[Entradas]]</f>
        <v>17.6444444444444</v>
      </c>
      <c r="AB416" s="54">
        <f>STOCK[[#This Row],[Stock Actual]]*STOCK[[#This Row],[Costo total]]</f>
        <v>0</v>
      </c>
    </row>
    <row r="417" s="53" customFormat="1" ht="50" customHeight="1" spans="1:28">
      <c r="A417" s="53" t="s">
        <v>879</v>
      </c>
      <c r="B417" s="66"/>
      <c r="C417" s="53" t="s">
        <v>32</v>
      </c>
      <c r="D417" s="53" t="s">
        <v>880</v>
      </c>
      <c r="E417" s="67" t="s">
        <v>881</v>
      </c>
      <c r="F417" s="53" t="s">
        <v>882</v>
      </c>
      <c r="G417" s="53" t="s">
        <v>36</v>
      </c>
      <c r="H417" s="53">
        <f>STOCK[[#This Row],[Precio Final]]</f>
        <v>7</v>
      </c>
      <c r="I417" s="53">
        <f>STOCK[[#This Row],[Precio Venta Ideal (x1.5)]]</f>
        <v>6.61666666666666</v>
      </c>
      <c r="J417" s="71">
        <v>4</v>
      </c>
      <c r="K417" s="71">
        <f>SUMIFS(VENTAS[Cantidad],VENTAS[Código del producto Vendido],STOCK[[#This Row],[Code]])</f>
        <v>2</v>
      </c>
      <c r="L417" s="71">
        <f>STOCK[[#This Row],[Entradas]]-STOCK[[#This Row],[Salidas]]</f>
        <v>2</v>
      </c>
      <c r="M417" s="53">
        <f>STOCK[[#This Row],[Precio Final]]*10%</f>
        <v>0.7</v>
      </c>
      <c r="N417" s="53">
        <v>65</v>
      </c>
      <c r="O417" s="53">
        <v>18</v>
      </c>
      <c r="P417" s="53">
        <v>3.61111111111111</v>
      </c>
      <c r="Q417" s="71">
        <v>10</v>
      </c>
      <c r="R417" s="53">
        <v>10</v>
      </c>
      <c r="S417" s="53">
        <f>STOCK[[#This Row],[Peso (g)]]*STOCK[[#This Row],[Precio Envío Kilogramo (USD)]]/1000</f>
        <v>0.1</v>
      </c>
      <c r="T417" s="53">
        <f>STOCK[[#This Row],[Costo Unitario (USD)]]+STOCK[[#This Row],[Costo Envío (USD)]]+STOCK[[#This Row],[Comisión 10%]]</f>
        <v>4.41111111111111</v>
      </c>
      <c r="U417" s="53">
        <f>STOCK[[#This Row],[Costo total]]*1.5</f>
        <v>6.61666666666666</v>
      </c>
      <c r="V417" s="53">
        <v>7</v>
      </c>
      <c r="W417" s="53">
        <f>STOCK[[#This Row],[Precio Final]]-STOCK[[#This Row],[Costo total]]</f>
        <v>2.58888888888889</v>
      </c>
      <c r="X417" s="53">
        <f>STOCK[[#This Row],[Ganancia Unitaria]]*STOCK[[#This Row],[Salidas]]</f>
        <v>5.17777777777778</v>
      </c>
      <c r="AA417" s="53">
        <f>STOCK[[#This Row],[Costo total]]*STOCK[[#This Row],[Entradas]]</f>
        <v>17.6444444444444</v>
      </c>
      <c r="AB417" s="53">
        <f>STOCK[[#This Row],[Stock Actual]]*STOCK[[#This Row],[Costo total]]</f>
        <v>8.82222222222222</v>
      </c>
    </row>
    <row r="418" s="54" customFormat="1" ht="50" customHeight="1" spans="1:28">
      <c r="A418" s="54" t="s">
        <v>883</v>
      </c>
      <c r="B418" s="66"/>
      <c r="C418" s="54" t="s">
        <v>32</v>
      </c>
      <c r="D418" s="54" t="s">
        <v>546</v>
      </c>
      <c r="E418" s="68" t="s">
        <v>884</v>
      </c>
      <c r="F418" s="54" t="s">
        <v>62</v>
      </c>
      <c r="G418" s="54" t="s">
        <v>36</v>
      </c>
      <c r="H418" s="54">
        <f>STOCK[[#This Row],[Precio Final]]</f>
        <v>3.5</v>
      </c>
      <c r="I418" s="54">
        <f>STOCK[[#This Row],[Precio Venta Ideal (x1.5)]]</f>
        <v>3.51666666666666</v>
      </c>
      <c r="J418" s="72">
        <v>5</v>
      </c>
      <c r="K418" s="72">
        <f>SUMIFS(VENTAS[Cantidad],VENTAS[Código del producto Vendido],STOCK[[#This Row],[Code]])</f>
        <v>3</v>
      </c>
      <c r="L418" s="72">
        <f>STOCK[[#This Row],[Entradas]]-STOCK[[#This Row],[Salidas]]</f>
        <v>2</v>
      </c>
      <c r="M418" s="54">
        <f>STOCK[[#This Row],[Precio Final]]*10%</f>
        <v>0.35</v>
      </c>
      <c r="N418" s="54">
        <v>35</v>
      </c>
      <c r="O418" s="54">
        <v>18</v>
      </c>
      <c r="P418" s="54">
        <v>1.94444444444444</v>
      </c>
      <c r="Q418" s="72">
        <v>5</v>
      </c>
      <c r="R418" s="54">
        <v>10</v>
      </c>
      <c r="S418" s="54">
        <f>STOCK[[#This Row],[Peso (g)]]*STOCK[[#This Row],[Precio Envío Kilogramo (USD)]]/1000</f>
        <v>0.05</v>
      </c>
      <c r="T418" s="53">
        <f>STOCK[[#This Row],[Costo Unitario (USD)]]+STOCK[[#This Row],[Costo Envío (USD)]]+STOCK[[#This Row],[Comisión 10%]]</f>
        <v>2.34444444444444</v>
      </c>
      <c r="U418" s="54">
        <f>STOCK[[#This Row],[Costo total]]*1.5</f>
        <v>3.51666666666666</v>
      </c>
      <c r="V418" s="54">
        <v>3.5</v>
      </c>
      <c r="W418" s="54">
        <f>STOCK[[#This Row],[Precio Final]]-STOCK[[#This Row],[Costo total]]</f>
        <v>1.15555555555556</v>
      </c>
      <c r="X418" s="54">
        <f>STOCK[[#This Row],[Ganancia Unitaria]]*STOCK[[#This Row],[Salidas]]</f>
        <v>3.46666666666668</v>
      </c>
      <c r="AA418" s="54">
        <f>STOCK[[#This Row],[Costo total]]*STOCK[[#This Row],[Entradas]]</f>
        <v>11.7222222222222</v>
      </c>
      <c r="AB418" s="54">
        <f>STOCK[[#This Row],[Stock Actual]]*STOCK[[#This Row],[Costo total]]</f>
        <v>4.68888888888888</v>
      </c>
    </row>
    <row r="419" s="53" customFormat="1" ht="50" customHeight="1" spans="1:28">
      <c r="A419" s="53" t="s">
        <v>885</v>
      </c>
      <c r="B419" s="66"/>
      <c r="C419" s="53" t="s">
        <v>32</v>
      </c>
      <c r="D419" s="53" t="s">
        <v>392</v>
      </c>
      <c r="E419" s="67" t="s">
        <v>886</v>
      </c>
      <c r="F419" s="53" t="s">
        <v>887</v>
      </c>
      <c r="G419" s="53" t="s">
        <v>36</v>
      </c>
      <c r="H419" s="53">
        <f>STOCK[[#This Row],[Precio Final]]</f>
        <v>0</v>
      </c>
      <c r="I419" s="53">
        <f>STOCK[[#This Row],[Precio Venta Ideal (x1.5)]]</f>
        <v>18.1666666666667</v>
      </c>
      <c r="J419" s="71">
        <v>0</v>
      </c>
      <c r="K419" s="71">
        <f>SUMIFS(VENTAS[Cantidad],VENTAS[Código del producto Vendido],STOCK[[#This Row],[Code]])</f>
        <v>0</v>
      </c>
      <c r="L419" s="71">
        <f>STOCK[[#This Row],[Entradas]]-STOCK[[#This Row],[Salidas]]</f>
        <v>0</v>
      </c>
      <c r="M419" s="53">
        <f>STOCK[[#This Row],[Precio Final]]*10%</f>
        <v>0</v>
      </c>
      <c r="N419" s="53">
        <v>200</v>
      </c>
      <c r="O419" s="53">
        <v>18</v>
      </c>
      <c r="P419" s="53">
        <v>11.1111111111111</v>
      </c>
      <c r="Q419" s="71">
        <v>100</v>
      </c>
      <c r="R419" s="53">
        <v>10</v>
      </c>
      <c r="S419" s="53">
        <f>STOCK[[#This Row],[Peso (g)]]*STOCK[[#This Row],[Precio Envío Kilogramo (USD)]]/1000</f>
        <v>1</v>
      </c>
      <c r="T419" s="53">
        <f>STOCK[[#This Row],[Costo Unitario (USD)]]+STOCK[[#This Row],[Costo Envío (USD)]]+STOCK[[#This Row],[Comisión 10%]]</f>
        <v>12.1111111111111</v>
      </c>
      <c r="U419" s="53">
        <f>STOCK[[#This Row],[Costo total]]*1.5</f>
        <v>18.1666666666667</v>
      </c>
      <c r="V419" s="53">
        <v>0</v>
      </c>
      <c r="W419" s="53">
        <f>STOCK[[#This Row],[Precio Final]]-STOCK[[#This Row],[Costo total]]</f>
        <v>-12.1111111111111</v>
      </c>
      <c r="X419" s="53">
        <f>STOCK[[#This Row],[Ganancia Unitaria]]*STOCK[[#This Row],[Salidas]]</f>
        <v>0</v>
      </c>
      <c r="AA419" s="53">
        <f>STOCK[[#This Row],[Costo total]]*STOCK[[#This Row],[Entradas]]</f>
        <v>0</v>
      </c>
      <c r="AB419" s="53">
        <f>STOCK[[#This Row],[Stock Actual]]*STOCK[[#This Row],[Costo total]]</f>
        <v>0</v>
      </c>
    </row>
    <row r="420" s="54" customFormat="1" ht="50" customHeight="1" spans="1:28">
      <c r="A420" s="54" t="s">
        <v>888</v>
      </c>
      <c r="B420" s="66"/>
      <c r="C420" s="54" t="s">
        <v>32</v>
      </c>
      <c r="D420" s="54" t="s">
        <v>152</v>
      </c>
      <c r="E420" s="68" t="s">
        <v>889</v>
      </c>
      <c r="F420" s="54" t="s">
        <v>187</v>
      </c>
      <c r="G420" s="54" t="s">
        <v>36</v>
      </c>
      <c r="H420" s="54">
        <f>STOCK[[#This Row],[Precio Final]]</f>
        <v>8</v>
      </c>
      <c r="I420" s="54">
        <f>STOCK[[#This Row],[Precio Venta Ideal (x1.5)]]</f>
        <v>6.93333333333333</v>
      </c>
      <c r="J420" s="72">
        <v>0</v>
      </c>
      <c r="K420" s="72">
        <f>SUMIFS(VENTAS[Cantidad],VENTAS[Código del producto Vendido],STOCK[[#This Row],[Code]])</f>
        <v>0</v>
      </c>
      <c r="L420" s="72">
        <f>STOCK[[#This Row],[Entradas]]-STOCK[[#This Row],[Salidas]]</f>
        <v>0</v>
      </c>
      <c r="M420" s="54">
        <f>STOCK[[#This Row],[Precio Final]]*10%</f>
        <v>0.8</v>
      </c>
      <c r="N420" s="54">
        <v>58</v>
      </c>
      <c r="O420" s="54">
        <v>18</v>
      </c>
      <c r="P420" s="54">
        <v>3.22222222222222</v>
      </c>
      <c r="Q420" s="72">
        <v>60</v>
      </c>
      <c r="R420" s="54">
        <v>10</v>
      </c>
      <c r="S420" s="54">
        <f>STOCK[[#This Row],[Peso (g)]]*STOCK[[#This Row],[Precio Envío Kilogramo (USD)]]/1000</f>
        <v>0.6</v>
      </c>
      <c r="T420" s="53">
        <f>STOCK[[#This Row],[Costo Unitario (USD)]]+STOCK[[#This Row],[Costo Envío (USD)]]+STOCK[[#This Row],[Comisión 10%]]</f>
        <v>4.62222222222222</v>
      </c>
      <c r="U420" s="54">
        <f>STOCK[[#This Row],[Costo total]]*1.5</f>
        <v>6.93333333333333</v>
      </c>
      <c r="V420" s="54">
        <v>8</v>
      </c>
      <c r="W420" s="54">
        <f>STOCK[[#This Row],[Precio Final]]-STOCK[[#This Row],[Costo total]]</f>
        <v>3.37777777777778</v>
      </c>
      <c r="X420" s="54">
        <f>STOCK[[#This Row],[Ganancia Unitaria]]*STOCK[[#This Row],[Salidas]]</f>
        <v>0</v>
      </c>
      <c r="AA420" s="54">
        <f>STOCK[[#This Row],[Costo total]]*STOCK[[#This Row],[Entradas]]</f>
        <v>0</v>
      </c>
      <c r="AB420" s="54">
        <f>STOCK[[#This Row],[Stock Actual]]*STOCK[[#This Row],[Costo total]]</f>
        <v>0</v>
      </c>
    </row>
    <row r="421" s="53" customFormat="1" ht="50" customHeight="1" spans="1:28">
      <c r="A421" s="53" t="s">
        <v>890</v>
      </c>
      <c r="B421" s="66"/>
      <c r="C421" s="53" t="s">
        <v>32</v>
      </c>
      <c r="D421" s="53" t="s">
        <v>546</v>
      </c>
      <c r="E421" s="67" t="s">
        <v>884</v>
      </c>
      <c r="F421" s="53" t="s">
        <v>49</v>
      </c>
      <c r="G421" s="53" t="s">
        <v>36</v>
      </c>
      <c r="H421" s="53">
        <f>STOCK[[#This Row],[Precio Final]]</f>
        <v>3.5</v>
      </c>
      <c r="I421" s="53">
        <f>STOCK[[#This Row],[Precio Venta Ideal (x1.5)]]</f>
        <v>3.51666666666666</v>
      </c>
      <c r="J421" s="71">
        <v>5</v>
      </c>
      <c r="K421" s="71">
        <f>SUMIFS(VENTAS[Cantidad],VENTAS[Código del producto Vendido],STOCK[[#This Row],[Code]])</f>
        <v>3</v>
      </c>
      <c r="L421" s="71">
        <f>STOCK[[#This Row],[Entradas]]-STOCK[[#This Row],[Salidas]]</f>
        <v>2</v>
      </c>
      <c r="M421" s="53">
        <f>STOCK[[#This Row],[Precio Final]]*10%</f>
        <v>0.35</v>
      </c>
      <c r="N421" s="53">
        <v>35</v>
      </c>
      <c r="O421" s="53">
        <v>18</v>
      </c>
      <c r="P421" s="53">
        <v>1.94444444444444</v>
      </c>
      <c r="Q421" s="71">
        <v>5</v>
      </c>
      <c r="R421" s="53">
        <v>10</v>
      </c>
      <c r="S421" s="53">
        <f>STOCK[[#This Row],[Peso (g)]]*STOCK[[#This Row],[Precio Envío Kilogramo (USD)]]/1000</f>
        <v>0.05</v>
      </c>
      <c r="T421" s="53">
        <f>STOCK[[#This Row],[Costo Unitario (USD)]]+STOCK[[#This Row],[Costo Envío (USD)]]+STOCK[[#This Row],[Comisión 10%]]</f>
        <v>2.34444444444444</v>
      </c>
      <c r="U421" s="53">
        <f>STOCK[[#This Row],[Costo total]]*1.5</f>
        <v>3.51666666666666</v>
      </c>
      <c r="V421" s="53">
        <v>3.5</v>
      </c>
      <c r="W421" s="53">
        <f>STOCK[[#This Row],[Precio Final]]-STOCK[[#This Row],[Costo total]]</f>
        <v>1.15555555555556</v>
      </c>
      <c r="X421" s="53">
        <f>STOCK[[#This Row],[Ganancia Unitaria]]*STOCK[[#This Row],[Salidas]]</f>
        <v>3.46666666666668</v>
      </c>
      <c r="AA421" s="53">
        <f>STOCK[[#This Row],[Costo total]]*STOCK[[#This Row],[Entradas]]</f>
        <v>11.7222222222222</v>
      </c>
      <c r="AB421" s="53">
        <f>STOCK[[#This Row],[Stock Actual]]*STOCK[[#This Row],[Costo total]]</f>
        <v>4.68888888888888</v>
      </c>
    </row>
    <row r="422" s="54" customFormat="1" ht="50" customHeight="1" spans="1:28">
      <c r="A422" s="54" t="s">
        <v>891</v>
      </c>
      <c r="B422" s="66"/>
      <c r="C422" s="54" t="s">
        <v>32</v>
      </c>
      <c r="D422" s="54" t="s">
        <v>174</v>
      </c>
      <c r="E422" s="68" t="s">
        <v>892</v>
      </c>
      <c r="F422" s="54" t="s">
        <v>62</v>
      </c>
      <c r="G422" s="54" t="s">
        <v>36</v>
      </c>
      <c r="H422" s="54">
        <f>STOCK[[#This Row],[Precio Final]]</f>
        <v>12</v>
      </c>
      <c r="I422" s="54">
        <f>STOCK[[#This Row],[Precio Venta Ideal (x1.5)]]</f>
        <v>11.3372727272727</v>
      </c>
      <c r="J422" s="72">
        <v>4</v>
      </c>
      <c r="K422" s="72">
        <f>SUMIFS(VENTAS[Cantidad],VENTAS[Código del producto Vendido],STOCK[[#This Row],[Code]])</f>
        <v>4</v>
      </c>
      <c r="L422" s="72">
        <f>STOCK[[#This Row],[Entradas]]-STOCK[[#This Row],[Salidas]]</f>
        <v>0</v>
      </c>
      <c r="M422" s="54">
        <f>STOCK[[#This Row],[Precio Final]]*10%</f>
        <v>1.2</v>
      </c>
      <c r="N422" s="54">
        <v>76</v>
      </c>
      <c r="O422" s="54">
        <v>17.6</v>
      </c>
      <c r="P422" s="54">
        <v>4.31818181818182</v>
      </c>
      <c r="Q422" s="72">
        <v>120</v>
      </c>
      <c r="R422" s="54">
        <v>17</v>
      </c>
      <c r="S422" s="54">
        <f>STOCK[[#This Row],[Peso (g)]]*STOCK[[#This Row],[Precio Envío Kilogramo (USD)]]/1000</f>
        <v>2.04</v>
      </c>
      <c r="T422" s="53">
        <f>STOCK[[#This Row],[Costo Unitario (USD)]]+STOCK[[#This Row],[Costo Envío (USD)]]+STOCK[[#This Row],[Comisión 10%]]</f>
        <v>7.55818181818182</v>
      </c>
      <c r="U422" s="54">
        <f>STOCK[[#This Row],[Costo total]]*1.5</f>
        <v>11.3372727272727</v>
      </c>
      <c r="V422" s="54">
        <v>12</v>
      </c>
      <c r="W422" s="54">
        <f>STOCK[[#This Row],[Precio Final]]-STOCK[[#This Row],[Costo total]]</f>
        <v>4.44181818181818</v>
      </c>
      <c r="X422" s="54">
        <f>STOCK[[#This Row],[Ganancia Unitaria]]*STOCK[[#This Row],[Salidas]]</f>
        <v>17.7672727272727</v>
      </c>
      <c r="Y422" s="54" t="s">
        <v>893</v>
      </c>
      <c r="AA422" s="54">
        <f>STOCK[[#This Row],[Costo total]]*STOCK[[#This Row],[Entradas]]</f>
        <v>30.2327272727273</v>
      </c>
      <c r="AB422" s="54">
        <f>STOCK[[#This Row],[Stock Actual]]*STOCK[[#This Row],[Costo total]]</f>
        <v>0</v>
      </c>
    </row>
    <row r="423" s="53" customFormat="1" ht="50" customHeight="1" spans="1:28">
      <c r="A423" s="53" t="s">
        <v>894</v>
      </c>
      <c r="B423" s="66"/>
      <c r="C423" s="53" t="s">
        <v>32</v>
      </c>
      <c r="D423" s="53" t="s">
        <v>174</v>
      </c>
      <c r="E423" s="67" t="s">
        <v>895</v>
      </c>
      <c r="F423" s="53" t="s">
        <v>40</v>
      </c>
      <c r="G423" s="53" t="s">
        <v>36</v>
      </c>
      <c r="H423" s="53">
        <f>STOCK[[#This Row],[Precio Final]]</f>
        <v>14</v>
      </c>
      <c r="I423" s="53">
        <f>STOCK[[#This Row],[Precio Venta Ideal (x1.5)]]</f>
        <v>14.0597727272727</v>
      </c>
      <c r="J423" s="71">
        <v>2</v>
      </c>
      <c r="K423" s="71">
        <f>SUMIFS(VENTAS[Cantidad],VENTAS[Código del producto Vendido],STOCK[[#This Row],[Code]])</f>
        <v>2</v>
      </c>
      <c r="L423" s="71">
        <f>STOCK[[#This Row],[Entradas]]-STOCK[[#This Row],[Salidas]]</f>
        <v>0</v>
      </c>
      <c r="M423" s="53">
        <f>STOCK[[#This Row],[Precio Final]]*10%</f>
        <v>1.4</v>
      </c>
      <c r="N423" s="53">
        <v>76</v>
      </c>
      <c r="O423" s="53">
        <v>17.6</v>
      </c>
      <c r="P423" s="53">
        <v>4.31818181818182</v>
      </c>
      <c r="Q423" s="71">
        <v>215</v>
      </c>
      <c r="R423" s="53">
        <v>17</v>
      </c>
      <c r="S423" s="53">
        <f>STOCK[[#This Row],[Peso (g)]]*STOCK[[#This Row],[Precio Envío Kilogramo (USD)]]/1000</f>
        <v>3.655</v>
      </c>
      <c r="T423" s="53">
        <f>STOCK[[#This Row],[Costo Unitario (USD)]]+STOCK[[#This Row],[Costo Envío (USD)]]+STOCK[[#This Row],[Comisión 10%]]</f>
        <v>9.37318181818182</v>
      </c>
      <c r="U423" s="53">
        <f>STOCK[[#This Row],[Costo total]]*1.5</f>
        <v>14.0597727272727</v>
      </c>
      <c r="V423" s="53">
        <v>14</v>
      </c>
      <c r="W423" s="53">
        <f>STOCK[[#This Row],[Precio Final]]-STOCK[[#This Row],[Costo total]]</f>
        <v>4.62681818181818</v>
      </c>
      <c r="X423" s="53">
        <f>STOCK[[#This Row],[Ganancia Unitaria]]*STOCK[[#This Row],[Salidas]]</f>
        <v>9.25363636363636</v>
      </c>
      <c r="Y423" s="53" t="s">
        <v>896</v>
      </c>
      <c r="AA423" s="53">
        <f>STOCK[[#This Row],[Costo total]]*STOCK[[#This Row],[Entradas]]</f>
        <v>18.7463636363636</v>
      </c>
      <c r="AB423" s="53">
        <f>STOCK[[#This Row],[Stock Actual]]*STOCK[[#This Row],[Costo total]]</f>
        <v>0</v>
      </c>
    </row>
    <row r="424" s="54" customFormat="1" ht="50" customHeight="1" spans="1:28">
      <c r="A424" s="54" t="s">
        <v>897</v>
      </c>
      <c r="B424" s="66"/>
      <c r="C424" s="54" t="s">
        <v>32</v>
      </c>
      <c r="D424" s="54" t="s">
        <v>174</v>
      </c>
      <c r="E424" s="68" t="s">
        <v>895</v>
      </c>
      <c r="F424" s="54" t="s">
        <v>46</v>
      </c>
      <c r="G424" s="54" t="s">
        <v>36</v>
      </c>
      <c r="H424" s="54">
        <f>STOCK[[#This Row],[Precio Final]]</f>
        <v>14</v>
      </c>
      <c r="I424" s="54">
        <f>STOCK[[#This Row],[Precio Venta Ideal (x1.5)]]</f>
        <v>14.0597727272727</v>
      </c>
      <c r="J424" s="72">
        <v>2</v>
      </c>
      <c r="K424" s="72">
        <f>SUMIFS(VENTAS[Cantidad],VENTAS[Código del producto Vendido],STOCK[[#This Row],[Code]])</f>
        <v>2</v>
      </c>
      <c r="L424" s="72">
        <f>STOCK[[#This Row],[Entradas]]-STOCK[[#This Row],[Salidas]]</f>
        <v>0</v>
      </c>
      <c r="M424" s="54">
        <f>STOCK[[#This Row],[Precio Final]]*10%</f>
        <v>1.4</v>
      </c>
      <c r="N424" s="54">
        <v>76</v>
      </c>
      <c r="O424" s="54">
        <v>17.6</v>
      </c>
      <c r="P424" s="54">
        <v>4.31818181818182</v>
      </c>
      <c r="Q424" s="72">
        <v>215</v>
      </c>
      <c r="R424" s="54">
        <v>17</v>
      </c>
      <c r="S424" s="54">
        <f>STOCK[[#This Row],[Peso (g)]]*STOCK[[#This Row],[Precio Envío Kilogramo (USD)]]/1000</f>
        <v>3.655</v>
      </c>
      <c r="T424" s="53">
        <f>STOCK[[#This Row],[Costo Unitario (USD)]]+STOCK[[#This Row],[Costo Envío (USD)]]+STOCK[[#This Row],[Comisión 10%]]</f>
        <v>9.37318181818182</v>
      </c>
      <c r="U424" s="54">
        <f>STOCK[[#This Row],[Costo total]]*1.5</f>
        <v>14.0597727272727</v>
      </c>
      <c r="V424" s="54">
        <v>14</v>
      </c>
      <c r="W424" s="54">
        <f>STOCK[[#This Row],[Precio Final]]-STOCK[[#This Row],[Costo total]]</f>
        <v>4.62681818181818</v>
      </c>
      <c r="X424" s="54">
        <f>STOCK[[#This Row],[Ganancia Unitaria]]*STOCK[[#This Row],[Salidas]]</f>
        <v>9.25363636363636</v>
      </c>
      <c r="Y424" s="54" t="s">
        <v>896</v>
      </c>
      <c r="AA424" s="54">
        <f>STOCK[[#This Row],[Costo total]]*STOCK[[#This Row],[Entradas]]</f>
        <v>18.7463636363636</v>
      </c>
      <c r="AB424" s="54">
        <f>STOCK[[#This Row],[Stock Actual]]*STOCK[[#This Row],[Costo total]]</f>
        <v>0</v>
      </c>
    </row>
    <row r="425" s="53" customFormat="1" ht="50" customHeight="1" spans="1:28">
      <c r="A425" s="53" t="s">
        <v>898</v>
      </c>
      <c r="B425" s="66"/>
      <c r="C425" s="53" t="s">
        <v>32</v>
      </c>
      <c r="D425" s="53" t="s">
        <v>38</v>
      </c>
      <c r="E425" s="67" t="s">
        <v>899</v>
      </c>
      <c r="F425" s="53" t="s">
        <v>42</v>
      </c>
      <c r="G425" s="53" t="s">
        <v>36</v>
      </c>
      <c r="H425" s="53">
        <f>STOCK[[#This Row],[Precio Final]]</f>
        <v>25</v>
      </c>
      <c r="I425" s="53">
        <f>STOCK[[#This Row],[Precio Venta Ideal (x1.5)]]</f>
        <v>28.0193181818182</v>
      </c>
      <c r="J425" s="71">
        <v>1</v>
      </c>
      <c r="K425" s="71">
        <f>SUMIFS(VENTAS[Cantidad],VENTAS[Código del producto Vendido],STOCK[[#This Row],[Code]])</f>
        <v>1</v>
      </c>
      <c r="L425" s="71">
        <f>STOCK[[#This Row],[Entradas]]-STOCK[[#This Row],[Salidas]]</f>
        <v>0</v>
      </c>
      <c r="M425" s="53">
        <f>STOCK[[#This Row],[Precio Final]]*10%</f>
        <v>2.5</v>
      </c>
      <c r="N425" s="53">
        <v>195</v>
      </c>
      <c r="O425" s="53">
        <v>17.6</v>
      </c>
      <c r="P425" s="53">
        <v>11.0795454545455</v>
      </c>
      <c r="Q425" s="71">
        <v>300</v>
      </c>
      <c r="R425" s="53">
        <v>17</v>
      </c>
      <c r="S425" s="53">
        <f>STOCK[[#This Row],[Peso (g)]]*STOCK[[#This Row],[Precio Envío Kilogramo (USD)]]/1000</f>
        <v>5.1</v>
      </c>
      <c r="T425" s="53">
        <f>STOCK[[#This Row],[Costo Unitario (USD)]]+STOCK[[#This Row],[Costo Envío (USD)]]+STOCK[[#This Row],[Comisión 10%]]</f>
        <v>18.6795454545455</v>
      </c>
      <c r="U425" s="53">
        <f>STOCK[[#This Row],[Costo total]]*1.5</f>
        <v>28.0193181818182</v>
      </c>
      <c r="V425" s="53">
        <v>25</v>
      </c>
      <c r="W425" s="53">
        <f>STOCK[[#This Row],[Precio Final]]-STOCK[[#This Row],[Costo total]]</f>
        <v>6.3204545454545</v>
      </c>
      <c r="X425" s="53">
        <f>STOCK[[#This Row],[Ganancia Unitaria]]*STOCK[[#This Row],[Salidas]]</f>
        <v>6.3204545454545</v>
      </c>
      <c r="Y425" s="53" t="s">
        <v>896</v>
      </c>
      <c r="AA425" s="53">
        <f>STOCK[[#This Row],[Costo total]]*STOCK[[#This Row],[Entradas]]</f>
        <v>18.6795454545455</v>
      </c>
      <c r="AB425" s="53">
        <f>STOCK[[#This Row],[Stock Actual]]*STOCK[[#This Row],[Costo total]]</f>
        <v>0</v>
      </c>
    </row>
    <row r="426" s="54" customFormat="1" ht="50" customHeight="1" spans="1:28">
      <c r="A426" s="54" t="s">
        <v>900</v>
      </c>
      <c r="B426" s="66"/>
      <c r="C426" s="54" t="s">
        <v>32</v>
      </c>
      <c r="D426" s="54" t="s">
        <v>38</v>
      </c>
      <c r="E426" s="68" t="s">
        <v>899</v>
      </c>
      <c r="F426" s="54" t="s">
        <v>46</v>
      </c>
      <c r="G426" s="54" t="s">
        <v>36</v>
      </c>
      <c r="H426" s="54">
        <f>STOCK[[#This Row],[Precio Final]]</f>
        <v>25</v>
      </c>
      <c r="I426" s="54">
        <f>STOCK[[#This Row],[Precio Venta Ideal (x1.5)]]</f>
        <v>26.7443181818183</v>
      </c>
      <c r="J426" s="72">
        <v>2</v>
      </c>
      <c r="K426" s="72">
        <f>SUMIFS(VENTAS[Cantidad],VENTAS[Código del producto Vendido],STOCK[[#This Row],[Code]])</f>
        <v>2</v>
      </c>
      <c r="L426" s="72">
        <f>STOCK[[#This Row],[Entradas]]-STOCK[[#This Row],[Salidas]]</f>
        <v>0</v>
      </c>
      <c r="M426" s="54">
        <f>STOCK[[#This Row],[Precio Final]]*10%</f>
        <v>2.5</v>
      </c>
      <c r="N426" s="54">
        <v>195</v>
      </c>
      <c r="O426" s="54">
        <v>17.6</v>
      </c>
      <c r="P426" s="54">
        <v>11.0795454545455</v>
      </c>
      <c r="Q426" s="72">
        <v>250</v>
      </c>
      <c r="R426" s="54">
        <v>17</v>
      </c>
      <c r="S426" s="54">
        <f>STOCK[[#This Row],[Peso (g)]]*STOCK[[#This Row],[Precio Envío Kilogramo (USD)]]/1000</f>
        <v>4.25</v>
      </c>
      <c r="T426" s="53">
        <f>STOCK[[#This Row],[Costo Unitario (USD)]]+STOCK[[#This Row],[Costo Envío (USD)]]+STOCK[[#This Row],[Comisión 10%]]</f>
        <v>17.8295454545455</v>
      </c>
      <c r="U426" s="54">
        <f>STOCK[[#This Row],[Costo total]]*1.5</f>
        <v>26.7443181818183</v>
      </c>
      <c r="V426" s="54">
        <v>25</v>
      </c>
      <c r="W426" s="54">
        <f>STOCK[[#This Row],[Precio Final]]-STOCK[[#This Row],[Costo total]]</f>
        <v>7.1704545454545</v>
      </c>
      <c r="X426" s="54">
        <f>STOCK[[#This Row],[Ganancia Unitaria]]*STOCK[[#This Row],[Salidas]]</f>
        <v>14.340909090909</v>
      </c>
      <c r="Y426" s="54" t="s">
        <v>896</v>
      </c>
      <c r="AA426" s="54">
        <f>STOCK[[#This Row],[Costo total]]*STOCK[[#This Row],[Entradas]]</f>
        <v>35.659090909091</v>
      </c>
      <c r="AB426" s="54">
        <f>STOCK[[#This Row],[Stock Actual]]*STOCK[[#This Row],[Costo total]]</f>
        <v>0</v>
      </c>
    </row>
    <row r="427" s="53" customFormat="1" ht="50" customHeight="1" spans="1:28">
      <c r="A427" s="53" t="s">
        <v>901</v>
      </c>
      <c r="B427" s="66"/>
      <c r="C427" s="53" t="s">
        <v>32</v>
      </c>
      <c r="D427" s="53" t="s">
        <v>38</v>
      </c>
      <c r="E427" s="67" t="s">
        <v>899</v>
      </c>
      <c r="F427" s="53" t="s">
        <v>49</v>
      </c>
      <c r="G427" s="53" t="s">
        <v>36</v>
      </c>
      <c r="H427" s="53">
        <f>STOCK[[#This Row],[Precio Final]]</f>
        <v>25</v>
      </c>
      <c r="I427" s="53">
        <f>STOCK[[#This Row],[Precio Venta Ideal (x1.5)]]</f>
        <v>26.7443181818183</v>
      </c>
      <c r="J427" s="71">
        <v>2</v>
      </c>
      <c r="K427" s="71">
        <f>SUMIFS(VENTAS[Cantidad],VENTAS[Código del producto Vendido],STOCK[[#This Row],[Code]])</f>
        <v>2</v>
      </c>
      <c r="L427" s="71">
        <f>STOCK[[#This Row],[Entradas]]-STOCK[[#This Row],[Salidas]]</f>
        <v>0</v>
      </c>
      <c r="M427" s="53">
        <f>STOCK[[#This Row],[Precio Final]]*10%</f>
        <v>2.5</v>
      </c>
      <c r="N427" s="53">
        <v>195</v>
      </c>
      <c r="O427" s="53">
        <v>17.6</v>
      </c>
      <c r="P427" s="53">
        <v>11.0795454545455</v>
      </c>
      <c r="Q427" s="71">
        <v>250</v>
      </c>
      <c r="R427" s="53">
        <v>17</v>
      </c>
      <c r="S427" s="53">
        <f>STOCK[[#This Row],[Peso (g)]]*STOCK[[#This Row],[Precio Envío Kilogramo (USD)]]/1000</f>
        <v>4.25</v>
      </c>
      <c r="T427" s="53">
        <f>STOCK[[#This Row],[Costo Unitario (USD)]]+STOCK[[#This Row],[Costo Envío (USD)]]+STOCK[[#This Row],[Comisión 10%]]</f>
        <v>17.8295454545455</v>
      </c>
      <c r="U427" s="53">
        <f>STOCK[[#This Row],[Costo total]]*1.5</f>
        <v>26.7443181818183</v>
      </c>
      <c r="V427" s="53">
        <v>25</v>
      </c>
      <c r="W427" s="53">
        <f>STOCK[[#This Row],[Precio Final]]-STOCK[[#This Row],[Costo total]]</f>
        <v>7.1704545454545</v>
      </c>
      <c r="X427" s="53">
        <f>STOCK[[#This Row],[Ganancia Unitaria]]*STOCK[[#This Row],[Salidas]]</f>
        <v>14.340909090909</v>
      </c>
      <c r="Y427" s="53" t="s">
        <v>896</v>
      </c>
      <c r="AA427" s="53">
        <f>STOCK[[#This Row],[Costo total]]*STOCK[[#This Row],[Entradas]]</f>
        <v>35.659090909091</v>
      </c>
      <c r="AB427" s="53">
        <f>STOCK[[#This Row],[Stock Actual]]*STOCK[[#This Row],[Costo total]]</f>
        <v>0</v>
      </c>
    </row>
    <row r="428" s="54" customFormat="1" ht="50" customHeight="1" spans="1:29">
      <c r="A428" s="54" t="s">
        <v>902</v>
      </c>
      <c r="B428" s="66"/>
      <c r="C428" s="54" t="s">
        <v>32</v>
      </c>
      <c r="D428" s="54" t="s">
        <v>203</v>
      </c>
      <c r="E428" s="68" t="s">
        <v>903</v>
      </c>
      <c r="F428" s="54" t="s">
        <v>42</v>
      </c>
      <c r="G428" s="54" t="s">
        <v>36</v>
      </c>
      <c r="H428" s="54">
        <f>STOCK[[#This Row],[Precio Final]]</f>
        <v>35</v>
      </c>
      <c r="I428" s="54">
        <f>STOCK[[#This Row],[Precio Venta Ideal (x1.5)]]</f>
        <v>37.4345454545454</v>
      </c>
      <c r="J428" s="72">
        <v>1</v>
      </c>
      <c r="K428" s="72">
        <f>SUMIFS(VENTAS[Cantidad],VENTAS[Código del producto Vendido],STOCK[[#This Row],[Code]])</f>
        <v>1</v>
      </c>
      <c r="L428" s="72">
        <f>STOCK[[#This Row],[Entradas]]-STOCK[[#This Row],[Salidas]]</f>
        <v>0</v>
      </c>
      <c r="M428" s="54">
        <f>STOCK[[#This Row],[Precio Final]]*10%</f>
        <v>3.5</v>
      </c>
      <c r="N428" s="54">
        <v>240</v>
      </c>
      <c r="O428" s="54">
        <v>17.6</v>
      </c>
      <c r="P428" s="54">
        <v>13.6363636363636</v>
      </c>
      <c r="Q428" s="72">
        <v>460</v>
      </c>
      <c r="R428" s="54">
        <v>17</v>
      </c>
      <c r="S428" s="54">
        <f>STOCK[[#This Row],[Peso (g)]]*STOCK[[#This Row],[Precio Envío Kilogramo (USD)]]/1000</f>
        <v>7.82</v>
      </c>
      <c r="T428" s="53">
        <f>STOCK[[#This Row],[Costo Unitario (USD)]]+STOCK[[#This Row],[Costo Envío (USD)]]+STOCK[[#This Row],[Comisión 10%]]</f>
        <v>24.9563636363636</v>
      </c>
      <c r="U428" s="54">
        <f>STOCK[[#This Row],[Costo total]]*1.5</f>
        <v>37.4345454545454</v>
      </c>
      <c r="V428" s="54">
        <v>35</v>
      </c>
      <c r="W428" s="54">
        <f>STOCK[[#This Row],[Precio Final]]-STOCK[[#This Row],[Costo total]]</f>
        <v>10.0436363636364</v>
      </c>
      <c r="X428" s="54">
        <f>STOCK[[#This Row],[Ganancia Unitaria]]*STOCK[[#This Row],[Salidas]]</f>
        <v>10.0436363636364</v>
      </c>
      <c r="Y428" s="54" t="s">
        <v>896</v>
      </c>
      <c r="AA428" s="54">
        <f>STOCK[[#This Row],[Costo total]]*STOCK[[#This Row],[Entradas]]</f>
        <v>24.9563636363636</v>
      </c>
      <c r="AB428" s="54">
        <f>STOCK[[#This Row],[Stock Actual]]*STOCK[[#This Row],[Costo total]]</f>
        <v>0</v>
      </c>
      <c r="AC428" s="54">
        <v>30</v>
      </c>
    </row>
    <row r="429" s="53" customFormat="1" ht="50" customHeight="1" spans="1:28">
      <c r="A429" s="53" t="s">
        <v>904</v>
      </c>
      <c r="B429" s="66"/>
      <c r="C429" s="53" t="s">
        <v>32</v>
      </c>
      <c r="D429" s="53" t="s">
        <v>44</v>
      </c>
      <c r="E429" s="67" t="s">
        <v>903</v>
      </c>
      <c r="F429" s="53" t="s">
        <v>46</v>
      </c>
      <c r="G429" s="53" t="s">
        <v>36</v>
      </c>
      <c r="H429" s="53">
        <f>STOCK[[#This Row],[Precio Final]]</f>
        <v>35</v>
      </c>
      <c r="I429" s="53">
        <f>STOCK[[#This Row],[Precio Venta Ideal (x1.5)]]</f>
        <v>37.4345454545454</v>
      </c>
      <c r="J429" s="71">
        <v>1</v>
      </c>
      <c r="K429" s="71">
        <f>SUMIFS(VENTAS[Cantidad],VENTAS[Código del producto Vendido],STOCK[[#This Row],[Code]])</f>
        <v>1</v>
      </c>
      <c r="L429" s="71">
        <f>STOCK[[#This Row],[Entradas]]-STOCK[[#This Row],[Salidas]]</f>
        <v>0</v>
      </c>
      <c r="M429" s="53">
        <f>STOCK[[#This Row],[Precio Final]]*10%</f>
        <v>3.5</v>
      </c>
      <c r="N429" s="53">
        <v>240</v>
      </c>
      <c r="O429" s="53">
        <v>17.6</v>
      </c>
      <c r="P429" s="53">
        <v>13.6363636363636</v>
      </c>
      <c r="Q429" s="71">
        <v>460</v>
      </c>
      <c r="R429" s="53">
        <v>17</v>
      </c>
      <c r="S429" s="53">
        <f>STOCK[[#This Row],[Peso (g)]]*STOCK[[#This Row],[Precio Envío Kilogramo (USD)]]/1000</f>
        <v>7.82</v>
      </c>
      <c r="T429" s="53">
        <f>STOCK[[#This Row],[Costo Unitario (USD)]]+STOCK[[#This Row],[Costo Envío (USD)]]+STOCK[[#This Row],[Comisión 10%]]</f>
        <v>24.9563636363636</v>
      </c>
      <c r="U429" s="53">
        <f>STOCK[[#This Row],[Costo total]]*1.5</f>
        <v>37.4345454545454</v>
      </c>
      <c r="V429" s="53">
        <v>35</v>
      </c>
      <c r="W429" s="53">
        <f>STOCK[[#This Row],[Precio Final]]-STOCK[[#This Row],[Costo total]]</f>
        <v>10.0436363636364</v>
      </c>
      <c r="X429" s="53">
        <f>STOCK[[#This Row],[Ganancia Unitaria]]*STOCK[[#This Row],[Salidas]]</f>
        <v>10.0436363636364</v>
      </c>
      <c r="Y429" s="53" t="s">
        <v>896</v>
      </c>
      <c r="AA429" s="53">
        <f>STOCK[[#This Row],[Costo total]]*STOCK[[#This Row],[Entradas]]</f>
        <v>24.9563636363636</v>
      </c>
      <c r="AB429" s="53">
        <f>STOCK[[#This Row],[Stock Actual]]*STOCK[[#This Row],[Costo total]]</f>
        <v>0</v>
      </c>
    </row>
    <row r="430" s="54" customFormat="1" ht="50" customHeight="1" spans="1:28">
      <c r="A430" s="54" t="s">
        <v>905</v>
      </c>
      <c r="B430" s="66"/>
      <c r="C430" s="54" t="s">
        <v>32</v>
      </c>
      <c r="D430" s="54" t="s">
        <v>44</v>
      </c>
      <c r="E430" s="68" t="s">
        <v>903</v>
      </c>
      <c r="F430" s="54" t="s">
        <v>49</v>
      </c>
      <c r="G430" s="54" t="s">
        <v>36</v>
      </c>
      <c r="H430" s="54">
        <f>STOCK[[#This Row],[Precio Final]]</f>
        <v>35</v>
      </c>
      <c r="I430" s="54">
        <f>STOCK[[#This Row],[Precio Venta Ideal (x1.5)]]</f>
        <v>37.4345454545454</v>
      </c>
      <c r="J430" s="72">
        <v>1</v>
      </c>
      <c r="K430" s="72">
        <f>SUMIFS(VENTAS[Cantidad],VENTAS[Código del producto Vendido],STOCK[[#This Row],[Code]])</f>
        <v>1</v>
      </c>
      <c r="L430" s="72">
        <f>STOCK[[#This Row],[Entradas]]-STOCK[[#This Row],[Salidas]]</f>
        <v>0</v>
      </c>
      <c r="M430" s="54">
        <f>STOCK[[#This Row],[Precio Final]]*10%</f>
        <v>3.5</v>
      </c>
      <c r="N430" s="54">
        <v>240</v>
      </c>
      <c r="O430" s="54">
        <v>17.6</v>
      </c>
      <c r="P430" s="54">
        <v>13.6363636363636</v>
      </c>
      <c r="Q430" s="72">
        <v>460</v>
      </c>
      <c r="R430" s="54">
        <v>17</v>
      </c>
      <c r="S430" s="54">
        <f>STOCK[[#This Row],[Peso (g)]]*STOCK[[#This Row],[Precio Envío Kilogramo (USD)]]/1000</f>
        <v>7.82</v>
      </c>
      <c r="T430" s="53">
        <f>STOCK[[#This Row],[Costo Unitario (USD)]]+STOCK[[#This Row],[Costo Envío (USD)]]+STOCK[[#This Row],[Comisión 10%]]</f>
        <v>24.9563636363636</v>
      </c>
      <c r="U430" s="54">
        <f>STOCK[[#This Row],[Costo total]]*1.5</f>
        <v>37.4345454545454</v>
      </c>
      <c r="V430" s="54">
        <v>35</v>
      </c>
      <c r="W430" s="54">
        <f>STOCK[[#This Row],[Precio Final]]-STOCK[[#This Row],[Costo total]]</f>
        <v>10.0436363636364</v>
      </c>
      <c r="X430" s="54">
        <f>STOCK[[#This Row],[Ganancia Unitaria]]*STOCK[[#This Row],[Salidas]]</f>
        <v>10.0436363636364</v>
      </c>
      <c r="AA430" s="54">
        <f>STOCK[[#This Row],[Costo total]]*STOCK[[#This Row],[Entradas]]</f>
        <v>24.9563636363636</v>
      </c>
      <c r="AB430" s="54">
        <f>STOCK[[#This Row],[Stock Actual]]*STOCK[[#This Row],[Costo total]]</f>
        <v>0</v>
      </c>
    </row>
    <row r="431" s="53" customFormat="1" ht="50" customHeight="1" spans="1:28">
      <c r="A431" s="53" t="s">
        <v>906</v>
      </c>
      <c r="B431" s="66"/>
      <c r="C431" s="53" t="s">
        <v>32</v>
      </c>
      <c r="D431" s="53" t="s">
        <v>38</v>
      </c>
      <c r="E431" s="67" t="s">
        <v>39</v>
      </c>
      <c r="F431" s="53" t="s">
        <v>49</v>
      </c>
      <c r="G431" s="53" t="s">
        <v>36</v>
      </c>
      <c r="H431" s="53">
        <f>STOCK[[#This Row],[Precio Final]]</f>
        <v>25</v>
      </c>
      <c r="I431" s="53">
        <f>STOCK[[#This Row],[Precio Venta Ideal (x1.5)]]</f>
        <v>30.0190909090909</v>
      </c>
      <c r="J431" s="71">
        <v>1</v>
      </c>
      <c r="K431" s="71">
        <f>SUMIFS(VENTAS[Cantidad],VENTAS[Código del producto Vendido],STOCK[[#This Row],[Code]])</f>
        <v>1</v>
      </c>
      <c r="L431" s="71">
        <f>STOCK[[#This Row],[Entradas]]-STOCK[[#This Row],[Salidas]]</f>
        <v>0</v>
      </c>
      <c r="M431" s="53">
        <f>STOCK[[#This Row],[Precio Final]]*10%</f>
        <v>2.5</v>
      </c>
      <c r="N431" s="53">
        <v>205</v>
      </c>
      <c r="O431" s="53">
        <v>17.6</v>
      </c>
      <c r="P431" s="53">
        <v>11.6477272727273</v>
      </c>
      <c r="Q431" s="71">
        <v>345</v>
      </c>
      <c r="R431" s="53">
        <v>17</v>
      </c>
      <c r="S431" s="53">
        <f>STOCK[[#This Row],[Peso (g)]]*STOCK[[#This Row],[Precio Envío Kilogramo (USD)]]/1000</f>
        <v>5.865</v>
      </c>
      <c r="T431" s="53">
        <f>STOCK[[#This Row],[Costo Unitario (USD)]]+STOCK[[#This Row],[Costo Envío (USD)]]+STOCK[[#This Row],[Comisión 10%]]</f>
        <v>20.0127272727273</v>
      </c>
      <c r="U431" s="53">
        <f>STOCK[[#This Row],[Costo total]]*1.5</f>
        <v>30.0190909090909</v>
      </c>
      <c r="V431" s="53">
        <v>25</v>
      </c>
      <c r="W431" s="53">
        <f>STOCK[[#This Row],[Precio Final]]-STOCK[[#This Row],[Costo total]]</f>
        <v>4.9872727272727</v>
      </c>
      <c r="X431" s="53">
        <f>STOCK[[#This Row],[Ganancia Unitaria]]*STOCK[[#This Row],[Salidas]]</f>
        <v>4.9872727272727</v>
      </c>
      <c r="Y431" s="53" t="s">
        <v>896</v>
      </c>
      <c r="AA431" s="53">
        <f>STOCK[[#This Row],[Costo total]]*STOCK[[#This Row],[Entradas]]</f>
        <v>20.0127272727273</v>
      </c>
      <c r="AB431" s="53">
        <f>STOCK[[#This Row],[Stock Actual]]*STOCK[[#This Row],[Costo total]]</f>
        <v>0</v>
      </c>
    </row>
    <row r="432" s="54" customFormat="1" ht="50" customHeight="1" spans="1:28">
      <c r="A432" s="54" t="s">
        <v>907</v>
      </c>
      <c r="B432" s="66"/>
      <c r="C432" s="54" t="s">
        <v>32</v>
      </c>
      <c r="D432" s="54" t="s">
        <v>38</v>
      </c>
      <c r="E432" s="68" t="s">
        <v>39</v>
      </c>
      <c r="F432" s="54" t="s">
        <v>42</v>
      </c>
      <c r="G432" s="54" t="s">
        <v>36</v>
      </c>
      <c r="H432" s="54">
        <f>STOCK[[#This Row],[Precio Final]]</f>
        <v>25</v>
      </c>
      <c r="I432" s="54">
        <f>STOCK[[#This Row],[Precio Venta Ideal (x1.5)]]</f>
        <v>30.0190909090909</v>
      </c>
      <c r="J432" s="72">
        <v>3</v>
      </c>
      <c r="K432" s="72">
        <f>SUMIFS(VENTAS[Cantidad],VENTAS[Código del producto Vendido],STOCK[[#This Row],[Code]])</f>
        <v>3</v>
      </c>
      <c r="L432" s="72">
        <f>STOCK[[#This Row],[Entradas]]-STOCK[[#This Row],[Salidas]]</f>
        <v>0</v>
      </c>
      <c r="M432" s="54">
        <f>STOCK[[#This Row],[Precio Final]]*10%</f>
        <v>2.5</v>
      </c>
      <c r="N432" s="54">
        <v>205</v>
      </c>
      <c r="O432" s="54">
        <v>17.6</v>
      </c>
      <c r="P432" s="54">
        <v>11.6477272727273</v>
      </c>
      <c r="Q432" s="72">
        <v>345</v>
      </c>
      <c r="R432" s="54">
        <v>17</v>
      </c>
      <c r="S432" s="54">
        <f>STOCK[[#This Row],[Peso (g)]]*STOCK[[#This Row],[Precio Envío Kilogramo (USD)]]/1000</f>
        <v>5.865</v>
      </c>
      <c r="T432" s="53">
        <f>STOCK[[#This Row],[Costo Unitario (USD)]]+STOCK[[#This Row],[Costo Envío (USD)]]+STOCK[[#This Row],[Comisión 10%]]</f>
        <v>20.0127272727273</v>
      </c>
      <c r="U432" s="54">
        <f>STOCK[[#This Row],[Costo total]]*1.5</f>
        <v>30.0190909090909</v>
      </c>
      <c r="V432" s="54">
        <v>25</v>
      </c>
      <c r="W432" s="54">
        <f>STOCK[[#This Row],[Precio Final]]-STOCK[[#This Row],[Costo total]]</f>
        <v>4.9872727272727</v>
      </c>
      <c r="X432" s="54">
        <f>STOCK[[#This Row],[Ganancia Unitaria]]*STOCK[[#This Row],[Salidas]]</f>
        <v>14.9618181818181</v>
      </c>
      <c r="Y432" s="54" t="s">
        <v>896</v>
      </c>
      <c r="AA432" s="54">
        <f>STOCK[[#This Row],[Costo total]]*STOCK[[#This Row],[Entradas]]</f>
        <v>60.0381818181819</v>
      </c>
      <c r="AB432" s="54">
        <f>STOCK[[#This Row],[Stock Actual]]*STOCK[[#This Row],[Costo total]]</f>
        <v>0</v>
      </c>
    </row>
    <row r="433" s="53" customFormat="1" ht="50" customHeight="1" spans="1:28">
      <c r="A433" s="53" t="s">
        <v>908</v>
      </c>
      <c r="B433" s="66"/>
      <c r="C433" s="53" t="s">
        <v>32</v>
      </c>
      <c r="D433" s="53" t="s">
        <v>174</v>
      </c>
      <c r="E433" s="67" t="s">
        <v>909</v>
      </c>
      <c r="F433" s="53" t="s">
        <v>62</v>
      </c>
      <c r="G433" s="53" t="s">
        <v>36</v>
      </c>
      <c r="H433" s="53">
        <f>STOCK[[#This Row],[Precio Final]]</f>
        <v>12</v>
      </c>
      <c r="I433" s="53">
        <f>STOCK[[#This Row],[Precio Venta Ideal (x1.5)]]</f>
        <v>13.8081818181818</v>
      </c>
      <c r="J433" s="71">
        <v>3</v>
      </c>
      <c r="K433" s="71">
        <f>SUMIFS(VENTAS[Cantidad],VENTAS[Código del producto Vendido],STOCK[[#This Row],[Code]])</f>
        <v>3</v>
      </c>
      <c r="L433" s="71">
        <f>STOCK[[#This Row],[Entradas]]-STOCK[[#This Row],[Salidas]]</f>
        <v>0</v>
      </c>
      <c r="M433" s="53">
        <f>STOCK[[#This Row],[Precio Final]]*10%</f>
        <v>1.2</v>
      </c>
      <c r="N433" s="53">
        <v>102</v>
      </c>
      <c r="O433" s="53">
        <v>17.6</v>
      </c>
      <c r="P433" s="53">
        <v>5.79545454545454</v>
      </c>
      <c r="Q433" s="71">
        <v>130</v>
      </c>
      <c r="R433" s="53">
        <v>17</v>
      </c>
      <c r="S433" s="53">
        <f>STOCK[[#This Row],[Peso (g)]]*STOCK[[#This Row],[Precio Envío Kilogramo (USD)]]/1000</f>
        <v>2.21</v>
      </c>
      <c r="T433" s="53">
        <f>STOCK[[#This Row],[Costo Unitario (USD)]]+STOCK[[#This Row],[Costo Envío (USD)]]+STOCK[[#This Row],[Comisión 10%]]</f>
        <v>9.20545454545454</v>
      </c>
      <c r="U433" s="53">
        <f>STOCK[[#This Row],[Costo total]]*1.5</f>
        <v>13.8081818181818</v>
      </c>
      <c r="V433" s="53">
        <v>12</v>
      </c>
      <c r="W433" s="53">
        <f>STOCK[[#This Row],[Precio Final]]-STOCK[[#This Row],[Costo total]]</f>
        <v>2.79454545454546</v>
      </c>
      <c r="X433" s="53">
        <f>STOCK[[#This Row],[Ganancia Unitaria]]*STOCK[[#This Row],[Salidas]]</f>
        <v>8.38363636363638</v>
      </c>
      <c r="Y433" s="53" t="s">
        <v>893</v>
      </c>
      <c r="AA433" s="53">
        <f>STOCK[[#This Row],[Costo total]]*STOCK[[#This Row],[Entradas]]</f>
        <v>27.6163636363636</v>
      </c>
      <c r="AB433" s="53">
        <f>STOCK[[#This Row],[Stock Actual]]*STOCK[[#This Row],[Costo total]]</f>
        <v>0</v>
      </c>
    </row>
    <row r="434" s="54" customFormat="1" ht="50" customHeight="1" spans="1:28">
      <c r="A434" s="54" t="s">
        <v>910</v>
      </c>
      <c r="B434" s="66"/>
      <c r="C434" s="54" t="s">
        <v>32</v>
      </c>
      <c r="D434" s="54" t="s">
        <v>38</v>
      </c>
      <c r="E434" s="68" t="s">
        <v>911</v>
      </c>
      <c r="F434" s="54" t="s">
        <v>49</v>
      </c>
      <c r="G434" s="54" t="s">
        <v>36</v>
      </c>
      <c r="H434" s="54">
        <f>STOCK[[#This Row],[Precio Final]]</f>
        <v>25</v>
      </c>
      <c r="I434" s="54">
        <f>STOCK[[#This Row],[Precio Venta Ideal (x1.5)]]</f>
        <v>26.3181818181817</v>
      </c>
      <c r="J434" s="72">
        <v>1</v>
      </c>
      <c r="K434" s="72">
        <f>SUMIFS(VENTAS[Cantidad],VENTAS[Código del producto Vendido],STOCK[[#This Row],[Code]])</f>
        <v>1</v>
      </c>
      <c r="L434" s="72">
        <f>STOCK[[#This Row],[Entradas]]-STOCK[[#This Row],[Salidas]]</f>
        <v>0</v>
      </c>
      <c r="M434" s="54">
        <f>STOCK[[#This Row],[Precio Final]]*10%</f>
        <v>2.5</v>
      </c>
      <c r="N434" s="54">
        <v>190</v>
      </c>
      <c r="O434" s="54">
        <v>17.6</v>
      </c>
      <c r="P434" s="54">
        <v>10.7954545454545</v>
      </c>
      <c r="Q434" s="72">
        <v>250</v>
      </c>
      <c r="R434" s="54">
        <v>17</v>
      </c>
      <c r="S434" s="54">
        <f>STOCK[[#This Row],[Peso (g)]]*STOCK[[#This Row],[Precio Envío Kilogramo (USD)]]/1000</f>
        <v>4.25</v>
      </c>
      <c r="T434" s="53">
        <f>STOCK[[#This Row],[Costo Unitario (USD)]]+STOCK[[#This Row],[Costo Envío (USD)]]+STOCK[[#This Row],[Comisión 10%]]</f>
        <v>17.5454545454545</v>
      </c>
      <c r="U434" s="54">
        <f>STOCK[[#This Row],[Costo total]]*1.5</f>
        <v>26.3181818181817</v>
      </c>
      <c r="V434" s="54">
        <v>25</v>
      </c>
      <c r="W434" s="54">
        <f>STOCK[[#This Row],[Precio Final]]-STOCK[[#This Row],[Costo total]]</f>
        <v>7.4545454545455</v>
      </c>
      <c r="X434" s="54">
        <f>STOCK[[#This Row],[Ganancia Unitaria]]*STOCK[[#This Row],[Salidas]]</f>
        <v>7.4545454545455</v>
      </c>
      <c r="Y434" s="54" t="s">
        <v>912</v>
      </c>
      <c r="AA434" s="54">
        <f>STOCK[[#This Row],[Costo total]]*STOCK[[#This Row],[Entradas]]</f>
        <v>17.5454545454545</v>
      </c>
      <c r="AB434" s="54">
        <f>STOCK[[#This Row],[Stock Actual]]*STOCK[[#This Row],[Costo total]]</f>
        <v>0</v>
      </c>
    </row>
    <row r="435" s="53" customFormat="1" ht="50" customHeight="1" spans="1:28">
      <c r="A435" s="53" t="s">
        <v>913</v>
      </c>
      <c r="B435" s="66"/>
      <c r="C435" s="53" t="s">
        <v>32</v>
      </c>
      <c r="D435" s="53" t="s">
        <v>82</v>
      </c>
      <c r="E435" s="67" t="s">
        <v>914</v>
      </c>
      <c r="F435" s="53" t="s">
        <v>83</v>
      </c>
      <c r="G435" s="53" t="s">
        <v>36</v>
      </c>
      <c r="H435" s="53">
        <f>STOCK[[#This Row],[Precio Final]]</f>
        <v>25</v>
      </c>
      <c r="I435" s="53">
        <f>STOCK[[#This Row],[Precio Venta Ideal (x1.5)]]</f>
        <v>27.5897727272727</v>
      </c>
      <c r="J435" s="71">
        <v>3</v>
      </c>
      <c r="K435" s="71">
        <f>SUMIFS(VENTAS[Cantidad],VENTAS[Código del producto Vendido],STOCK[[#This Row],[Code]])</f>
        <v>3</v>
      </c>
      <c r="L435" s="71">
        <f>STOCK[[#This Row],[Entradas]]-STOCK[[#This Row],[Salidas]]</f>
        <v>0</v>
      </c>
      <c r="M435" s="53">
        <f>STOCK[[#This Row],[Precio Final]]*10%</f>
        <v>2.5</v>
      </c>
      <c r="N435" s="53">
        <v>175</v>
      </c>
      <c r="O435" s="53">
        <v>17.6</v>
      </c>
      <c r="P435" s="53">
        <v>9.94318181818182</v>
      </c>
      <c r="Q435" s="71">
        <v>350</v>
      </c>
      <c r="R435" s="53">
        <v>17</v>
      </c>
      <c r="S435" s="53">
        <f>STOCK[[#This Row],[Peso (g)]]*STOCK[[#This Row],[Precio Envío Kilogramo (USD)]]/1000</f>
        <v>5.95</v>
      </c>
      <c r="T435" s="53">
        <f>STOCK[[#This Row],[Costo Unitario (USD)]]+STOCK[[#This Row],[Costo Envío (USD)]]+STOCK[[#This Row],[Comisión 10%]]</f>
        <v>18.3931818181818</v>
      </c>
      <c r="U435" s="53">
        <f>STOCK[[#This Row],[Costo total]]*1.5</f>
        <v>27.5897727272727</v>
      </c>
      <c r="V435" s="53">
        <v>25</v>
      </c>
      <c r="W435" s="53">
        <f>STOCK[[#This Row],[Precio Final]]-STOCK[[#This Row],[Costo total]]</f>
        <v>6.60681818181818</v>
      </c>
      <c r="X435" s="53">
        <f>STOCK[[#This Row],[Ganancia Unitaria]]*STOCK[[#This Row],[Salidas]]</f>
        <v>19.8204545454545</v>
      </c>
      <c r="Y435" s="53" t="s">
        <v>896</v>
      </c>
      <c r="AA435" s="53">
        <f>STOCK[[#This Row],[Costo total]]*STOCK[[#This Row],[Entradas]]</f>
        <v>55.1795454545455</v>
      </c>
      <c r="AB435" s="53">
        <f>STOCK[[#This Row],[Stock Actual]]*STOCK[[#This Row],[Costo total]]</f>
        <v>0</v>
      </c>
    </row>
    <row r="436" s="54" customFormat="1" ht="50" customHeight="1" spans="1:28">
      <c r="A436" s="54" t="s">
        <v>915</v>
      </c>
      <c r="B436" s="66"/>
      <c r="C436" s="54" t="s">
        <v>32</v>
      </c>
      <c r="D436" s="54" t="s">
        <v>174</v>
      </c>
      <c r="E436" s="68" t="s">
        <v>916</v>
      </c>
      <c r="F436" s="54" t="s">
        <v>49</v>
      </c>
      <c r="G436" s="54" t="s">
        <v>36</v>
      </c>
      <c r="H436" s="54">
        <f>STOCK[[#This Row],[Precio Final]]</f>
        <v>14</v>
      </c>
      <c r="I436" s="54">
        <f>STOCK[[#This Row],[Precio Venta Ideal (x1.5)]]</f>
        <v>17.2159090909091</v>
      </c>
      <c r="J436" s="72">
        <v>2</v>
      </c>
      <c r="K436" s="72">
        <f>SUMIFS(VENTAS[Cantidad],VENTAS[Código del producto Vendido],STOCK[[#This Row],[Code]])</f>
        <v>2</v>
      </c>
      <c r="L436" s="72">
        <f>STOCK[[#This Row],[Entradas]]-STOCK[[#This Row],[Salidas]]</f>
        <v>0</v>
      </c>
      <c r="M436" s="54">
        <f>STOCK[[#This Row],[Precio Final]]*10%</f>
        <v>1.4</v>
      </c>
      <c r="N436" s="54">
        <v>125</v>
      </c>
      <c r="O436" s="54">
        <v>17.6</v>
      </c>
      <c r="P436" s="54">
        <v>7.10227272727273</v>
      </c>
      <c r="Q436" s="72">
        <v>175</v>
      </c>
      <c r="R436" s="54">
        <v>17</v>
      </c>
      <c r="S436" s="54">
        <f>STOCK[[#This Row],[Peso (g)]]*STOCK[[#This Row],[Precio Envío Kilogramo (USD)]]/1000</f>
        <v>2.975</v>
      </c>
      <c r="T436" s="53">
        <f>STOCK[[#This Row],[Costo Unitario (USD)]]+STOCK[[#This Row],[Costo Envío (USD)]]+STOCK[[#This Row],[Comisión 10%]]</f>
        <v>11.4772727272727</v>
      </c>
      <c r="U436" s="54">
        <f>STOCK[[#This Row],[Costo total]]*1.5</f>
        <v>17.2159090909091</v>
      </c>
      <c r="V436" s="54">
        <v>14</v>
      </c>
      <c r="W436" s="54">
        <f>STOCK[[#This Row],[Precio Final]]-STOCK[[#This Row],[Costo total]]</f>
        <v>2.52272727272727</v>
      </c>
      <c r="X436" s="54">
        <f>STOCK[[#This Row],[Ganancia Unitaria]]*STOCK[[#This Row],[Salidas]]</f>
        <v>5.04545454545454</v>
      </c>
      <c r="Y436" s="54" t="s">
        <v>896</v>
      </c>
      <c r="AA436" s="54">
        <f>STOCK[[#This Row],[Costo total]]*STOCK[[#This Row],[Entradas]]</f>
        <v>22.9545454545455</v>
      </c>
      <c r="AB436" s="54">
        <f>STOCK[[#This Row],[Stock Actual]]*STOCK[[#This Row],[Costo total]]</f>
        <v>0</v>
      </c>
    </row>
    <row r="437" s="53" customFormat="1" ht="50" customHeight="1" spans="1:28">
      <c r="A437" s="53" t="s">
        <v>917</v>
      </c>
      <c r="B437" s="66"/>
      <c r="C437" s="53" t="s">
        <v>32</v>
      </c>
      <c r="D437" s="53" t="s">
        <v>174</v>
      </c>
      <c r="E437" s="67" t="s">
        <v>918</v>
      </c>
      <c r="F437" s="53" t="s">
        <v>46</v>
      </c>
      <c r="G437" s="53" t="s">
        <v>36</v>
      </c>
      <c r="H437" s="53">
        <f>STOCK[[#This Row],[Precio Final]]</f>
        <v>14</v>
      </c>
      <c r="I437" s="53">
        <f>STOCK[[#This Row],[Precio Venta Ideal (x1.5)]]</f>
        <v>17.3434090909091</v>
      </c>
      <c r="J437" s="71">
        <v>1</v>
      </c>
      <c r="K437" s="71">
        <f>SUMIFS(VENTAS[Cantidad],VENTAS[Código del producto Vendido],STOCK[[#This Row],[Code]])</f>
        <v>1</v>
      </c>
      <c r="L437" s="71">
        <f>STOCK[[#This Row],[Entradas]]-STOCK[[#This Row],[Salidas]]</f>
        <v>0</v>
      </c>
      <c r="M437" s="53">
        <f>STOCK[[#This Row],[Precio Final]]*10%</f>
        <v>1.4</v>
      </c>
      <c r="N437" s="53">
        <v>125</v>
      </c>
      <c r="O437" s="53">
        <v>17.6</v>
      </c>
      <c r="P437" s="53">
        <v>7.10227272727273</v>
      </c>
      <c r="Q437" s="71">
        <v>180</v>
      </c>
      <c r="R437" s="53">
        <v>17</v>
      </c>
      <c r="S437" s="53">
        <f>STOCK[[#This Row],[Peso (g)]]*STOCK[[#This Row],[Precio Envío Kilogramo (USD)]]/1000</f>
        <v>3.06</v>
      </c>
      <c r="T437" s="53">
        <f>STOCK[[#This Row],[Costo Unitario (USD)]]+STOCK[[#This Row],[Costo Envío (USD)]]+STOCK[[#This Row],[Comisión 10%]]</f>
        <v>11.5622727272727</v>
      </c>
      <c r="U437" s="53">
        <f>STOCK[[#This Row],[Costo total]]*1.5</f>
        <v>17.3434090909091</v>
      </c>
      <c r="V437" s="53">
        <v>14</v>
      </c>
      <c r="W437" s="53">
        <f>STOCK[[#This Row],[Precio Final]]-STOCK[[#This Row],[Costo total]]</f>
        <v>2.43772727272727</v>
      </c>
      <c r="X437" s="53">
        <f>STOCK[[#This Row],[Ganancia Unitaria]]*STOCK[[#This Row],[Salidas]]</f>
        <v>2.43772727272727</v>
      </c>
      <c r="Y437" s="53" t="s">
        <v>896</v>
      </c>
      <c r="AA437" s="53">
        <f>STOCK[[#This Row],[Costo total]]*STOCK[[#This Row],[Entradas]]</f>
        <v>11.5622727272727</v>
      </c>
      <c r="AB437" s="53">
        <f>STOCK[[#This Row],[Stock Actual]]*STOCK[[#This Row],[Costo total]]</f>
        <v>0</v>
      </c>
    </row>
    <row r="438" s="54" customFormat="1" ht="50" customHeight="1" spans="1:28">
      <c r="A438" s="54" t="s">
        <v>919</v>
      </c>
      <c r="B438" s="66"/>
      <c r="C438" s="54" t="s">
        <v>32</v>
      </c>
      <c r="D438" s="54" t="s">
        <v>44</v>
      </c>
      <c r="E438" s="68" t="s">
        <v>920</v>
      </c>
      <c r="F438" s="54" t="s">
        <v>921</v>
      </c>
      <c r="G438" s="54" t="s">
        <v>36</v>
      </c>
      <c r="H438" s="54">
        <f>STOCK[[#This Row],[Precio Final]]</f>
        <v>25</v>
      </c>
      <c r="I438" s="54">
        <f>STOCK[[#This Row],[Precio Venta Ideal (x1.5)]]</f>
        <v>24.6170454545454</v>
      </c>
      <c r="J438" s="72">
        <v>2</v>
      </c>
      <c r="K438" s="72">
        <f>SUMIFS(VENTAS[Cantidad],VENTAS[Código del producto Vendido],STOCK[[#This Row],[Code]])</f>
        <v>2</v>
      </c>
      <c r="L438" s="72">
        <f>STOCK[[#This Row],[Entradas]]-STOCK[[#This Row],[Salidas]]</f>
        <v>0</v>
      </c>
      <c r="M438" s="54">
        <f>STOCK[[#This Row],[Precio Final]]*10%</f>
        <v>2.5</v>
      </c>
      <c r="N438" s="54">
        <v>185</v>
      </c>
      <c r="O438" s="54">
        <v>17.6</v>
      </c>
      <c r="P438" s="54">
        <v>10.5113636363636</v>
      </c>
      <c r="Q438" s="72">
        <v>200</v>
      </c>
      <c r="R438" s="54">
        <v>17</v>
      </c>
      <c r="S438" s="54">
        <f>STOCK[[#This Row],[Peso (g)]]*STOCK[[#This Row],[Precio Envío Kilogramo (USD)]]/1000</f>
        <v>3.4</v>
      </c>
      <c r="T438" s="53">
        <f>STOCK[[#This Row],[Costo Unitario (USD)]]+STOCK[[#This Row],[Costo Envío (USD)]]+STOCK[[#This Row],[Comisión 10%]]</f>
        <v>16.4113636363636</v>
      </c>
      <c r="U438" s="54">
        <f>STOCK[[#This Row],[Costo total]]*1.5</f>
        <v>24.6170454545454</v>
      </c>
      <c r="V438" s="54">
        <v>25</v>
      </c>
      <c r="W438" s="54">
        <f>STOCK[[#This Row],[Precio Final]]-STOCK[[#This Row],[Costo total]]</f>
        <v>8.5886363636364</v>
      </c>
      <c r="X438" s="54">
        <f>STOCK[[#This Row],[Ganancia Unitaria]]*STOCK[[#This Row],[Salidas]]</f>
        <v>17.1772727272728</v>
      </c>
      <c r="AA438" s="54">
        <f>STOCK[[#This Row],[Costo total]]*STOCK[[#This Row],[Entradas]]</f>
        <v>32.8227272727272</v>
      </c>
      <c r="AB438" s="54">
        <f>STOCK[[#This Row],[Stock Actual]]*STOCK[[#This Row],[Costo total]]</f>
        <v>0</v>
      </c>
    </row>
    <row r="439" s="53" customFormat="1" ht="50" customHeight="1" spans="1:28">
      <c r="A439" s="53" t="s">
        <v>922</v>
      </c>
      <c r="B439" s="66"/>
      <c r="C439" s="53" t="s">
        <v>32</v>
      </c>
      <c r="D439" s="53" t="s">
        <v>213</v>
      </c>
      <c r="E439" s="67" t="s">
        <v>923</v>
      </c>
      <c r="F439" s="53" t="s">
        <v>924</v>
      </c>
      <c r="G439" s="53" t="s">
        <v>36</v>
      </c>
      <c r="H439" s="53">
        <f>STOCK[[#This Row],[Precio Final]]</f>
        <v>25</v>
      </c>
      <c r="I439" s="53">
        <f>STOCK[[#This Row],[Precio Venta Ideal (x1.5)]]</f>
        <v>24.6170454545454</v>
      </c>
      <c r="J439" s="71">
        <v>2</v>
      </c>
      <c r="K439" s="71">
        <f>SUMIFS(VENTAS[Cantidad],VENTAS[Código del producto Vendido],STOCK[[#This Row],[Code]])</f>
        <v>2</v>
      </c>
      <c r="L439" s="71">
        <f>STOCK[[#This Row],[Entradas]]-STOCK[[#This Row],[Salidas]]</f>
        <v>0</v>
      </c>
      <c r="M439" s="53">
        <f>STOCK[[#This Row],[Precio Final]]*10%</f>
        <v>2.5</v>
      </c>
      <c r="N439" s="53">
        <v>185</v>
      </c>
      <c r="O439" s="53">
        <v>17.6</v>
      </c>
      <c r="P439" s="53">
        <v>10.5113636363636</v>
      </c>
      <c r="Q439" s="71">
        <v>200</v>
      </c>
      <c r="R439" s="53">
        <v>17</v>
      </c>
      <c r="S439" s="53">
        <f>STOCK[[#This Row],[Peso (g)]]*STOCK[[#This Row],[Precio Envío Kilogramo (USD)]]/1000</f>
        <v>3.4</v>
      </c>
      <c r="T439" s="53">
        <f>STOCK[[#This Row],[Costo Unitario (USD)]]+STOCK[[#This Row],[Costo Envío (USD)]]+STOCK[[#This Row],[Comisión 10%]]</f>
        <v>16.4113636363636</v>
      </c>
      <c r="U439" s="53">
        <f>STOCK[[#This Row],[Costo total]]*1.5</f>
        <v>24.6170454545454</v>
      </c>
      <c r="V439" s="53">
        <v>25</v>
      </c>
      <c r="W439" s="53">
        <f>STOCK[[#This Row],[Precio Final]]-STOCK[[#This Row],[Costo total]]</f>
        <v>8.5886363636364</v>
      </c>
      <c r="X439" s="53">
        <f>STOCK[[#This Row],[Ganancia Unitaria]]*STOCK[[#This Row],[Salidas]]</f>
        <v>17.1772727272728</v>
      </c>
      <c r="AA439" s="53">
        <f>STOCK[[#This Row],[Costo total]]*STOCK[[#This Row],[Entradas]]</f>
        <v>32.8227272727272</v>
      </c>
      <c r="AB439" s="53">
        <f>STOCK[[#This Row],[Stock Actual]]*STOCK[[#This Row],[Costo total]]</f>
        <v>0</v>
      </c>
    </row>
    <row r="440" s="54" customFormat="1" ht="50" customHeight="1" spans="1:28">
      <c r="A440" s="54" t="s">
        <v>925</v>
      </c>
      <c r="B440" s="66"/>
      <c r="C440" s="54" t="s">
        <v>32</v>
      </c>
      <c r="D440" s="54" t="s">
        <v>152</v>
      </c>
      <c r="E440" s="68" t="s">
        <v>926</v>
      </c>
      <c r="F440" s="54" t="s">
        <v>62</v>
      </c>
      <c r="G440" s="54" t="s">
        <v>36</v>
      </c>
      <c r="H440" s="54">
        <f>STOCK[[#This Row],[Precio Final]]</f>
        <v>20</v>
      </c>
      <c r="I440" s="54">
        <f>STOCK[[#This Row],[Precio Venta Ideal (x1.5)]]</f>
        <v>20.4143181818182</v>
      </c>
      <c r="J440" s="72">
        <v>1</v>
      </c>
      <c r="K440" s="72">
        <f>SUMIFS(VENTAS[Cantidad],VENTAS[Código del producto Vendido],STOCK[[#This Row],[Code]])</f>
        <v>1</v>
      </c>
      <c r="L440" s="72">
        <f>STOCK[[#This Row],[Entradas]]-STOCK[[#This Row],[Salidas]]</f>
        <v>0</v>
      </c>
      <c r="M440" s="54">
        <f>STOCK[[#This Row],[Precio Final]]*10%</f>
        <v>2</v>
      </c>
      <c r="N440" s="54">
        <v>140</v>
      </c>
      <c r="O440" s="54">
        <v>17.6</v>
      </c>
      <c r="P440" s="54">
        <v>7.95454545454545</v>
      </c>
      <c r="Q440" s="72">
        <v>215</v>
      </c>
      <c r="R440" s="54">
        <v>17</v>
      </c>
      <c r="S440" s="54">
        <f>STOCK[[#This Row],[Peso (g)]]*STOCK[[#This Row],[Precio Envío Kilogramo (USD)]]/1000</f>
        <v>3.655</v>
      </c>
      <c r="T440" s="53">
        <f>STOCK[[#This Row],[Costo Unitario (USD)]]+STOCK[[#This Row],[Costo Envío (USD)]]+STOCK[[#This Row],[Comisión 10%]]</f>
        <v>13.6095454545454</v>
      </c>
      <c r="U440" s="54">
        <f>STOCK[[#This Row],[Costo total]]*1.5</f>
        <v>20.4143181818182</v>
      </c>
      <c r="V440" s="54">
        <v>20</v>
      </c>
      <c r="W440" s="54">
        <f>STOCK[[#This Row],[Precio Final]]-STOCK[[#This Row],[Costo total]]</f>
        <v>6.39045454545455</v>
      </c>
      <c r="X440" s="54">
        <f>STOCK[[#This Row],[Ganancia Unitaria]]*STOCK[[#This Row],[Salidas]]</f>
        <v>6.39045454545455</v>
      </c>
      <c r="Y440" s="54" t="s">
        <v>896</v>
      </c>
      <c r="AA440" s="54">
        <f>STOCK[[#This Row],[Costo total]]*STOCK[[#This Row],[Entradas]]</f>
        <v>13.6095454545454</v>
      </c>
      <c r="AB440" s="54">
        <f>STOCK[[#This Row],[Stock Actual]]*STOCK[[#This Row],[Costo total]]</f>
        <v>0</v>
      </c>
    </row>
    <row r="441" s="53" customFormat="1" ht="50" customHeight="1" spans="1:28">
      <c r="A441" s="53" t="s">
        <v>927</v>
      </c>
      <c r="B441" s="66"/>
      <c r="C441" s="53" t="s">
        <v>32</v>
      </c>
      <c r="D441" s="53" t="s">
        <v>152</v>
      </c>
      <c r="E441" s="67" t="s">
        <v>926</v>
      </c>
      <c r="F441" s="53" t="s">
        <v>49</v>
      </c>
      <c r="G441" s="53" t="s">
        <v>36</v>
      </c>
      <c r="H441" s="53">
        <f>STOCK[[#This Row],[Precio Final]]</f>
        <v>20</v>
      </c>
      <c r="I441" s="53">
        <f>STOCK[[#This Row],[Precio Venta Ideal (x1.5)]]</f>
        <v>20.4143181818182</v>
      </c>
      <c r="J441" s="71">
        <v>1</v>
      </c>
      <c r="K441" s="71">
        <f>SUMIFS(VENTAS[Cantidad],VENTAS[Código del producto Vendido],STOCK[[#This Row],[Code]])</f>
        <v>1</v>
      </c>
      <c r="L441" s="71">
        <f>STOCK[[#This Row],[Entradas]]-STOCK[[#This Row],[Salidas]]</f>
        <v>0</v>
      </c>
      <c r="M441" s="53">
        <f>STOCK[[#This Row],[Precio Final]]*10%</f>
        <v>2</v>
      </c>
      <c r="N441" s="53">
        <v>140</v>
      </c>
      <c r="O441" s="53">
        <v>17.6</v>
      </c>
      <c r="P441" s="53">
        <v>7.95454545454545</v>
      </c>
      <c r="Q441" s="71">
        <v>215</v>
      </c>
      <c r="R441" s="53">
        <v>17</v>
      </c>
      <c r="S441" s="53">
        <f>STOCK[[#This Row],[Peso (g)]]*STOCK[[#This Row],[Precio Envío Kilogramo (USD)]]/1000</f>
        <v>3.655</v>
      </c>
      <c r="T441" s="53">
        <f>STOCK[[#This Row],[Costo Unitario (USD)]]+STOCK[[#This Row],[Costo Envío (USD)]]+STOCK[[#This Row],[Comisión 10%]]</f>
        <v>13.6095454545454</v>
      </c>
      <c r="U441" s="53">
        <f>STOCK[[#This Row],[Costo total]]*1.5</f>
        <v>20.4143181818182</v>
      </c>
      <c r="V441" s="53">
        <v>20</v>
      </c>
      <c r="W441" s="53">
        <f>STOCK[[#This Row],[Precio Final]]-STOCK[[#This Row],[Costo total]]</f>
        <v>6.39045454545455</v>
      </c>
      <c r="X441" s="53">
        <f>STOCK[[#This Row],[Ganancia Unitaria]]*STOCK[[#This Row],[Salidas]]</f>
        <v>6.39045454545455</v>
      </c>
      <c r="Y441" s="53" t="s">
        <v>928</v>
      </c>
      <c r="AA441" s="53">
        <f>STOCK[[#This Row],[Costo total]]*STOCK[[#This Row],[Entradas]]</f>
        <v>13.6095454545454</v>
      </c>
      <c r="AB441" s="53">
        <f>STOCK[[#This Row],[Stock Actual]]*STOCK[[#This Row],[Costo total]]</f>
        <v>0</v>
      </c>
    </row>
    <row r="442" s="54" customFormat="1" ht="50" customHeight="1" spans="1:28">
      <c r="A442" s="54" t="s">
        <v>929</v>
      </c>
      <c r="B442" s="66"/>
      <c r="C442" s="54" t="s">
        <v>32</v>
      </c>
      <c r="D442" s="54" t="s">
        <v>152</v>
      </c>
      <c r="E442" s="68" t="s">
        <v>926</v>
      </c>
      <c r="F442" s="54" t="s">
        <v>46</v>
      </c>
      <c r="G442" s="54" t="s">
        <v>36</v>
      </c>
      <c r="H442" s="54">
        <f>STOCK[[#This Row],[Precio Final]]</f>
        <v>20</v>
      </c>
      <c r="I442" s="54">
        <f>STOCK[[#This Row],[Precio Venta Ideal (x1.5)]]</f>
        <v>20.4143181818182</v>
      </c>
      <c r="J442" s="72">
        <v>1</v>
      </c>
      <c r="K442" s="72">
        <f>SUMIFS(VENTAS[Cantidad],VENTAS[Código del producto Vendido],STOCK[[#This Row],[Code]])</f>
        <v>1</v>
      </c>
      <c r="L442" s="72">
        <f>STOCK[[#This Row],[Entradas]]-STOCK[[#This Row],[Salidas]]</f>
        <v>0</v>
      </c>
      <c r="M442" s="54">
        <f>STOCK[[#This Row],[Precio Final]]*10%</f>
        <v>2</v>
      </c>
      <c r="N442" s="54">
        <v>140</v>
      </c>
      <c r="O442" s="54">
        <v>17.6</v>
      </c>
      <c r="P442" s="54">
        <v>7.95454545454545</v>
      </c>
      <c r="Q442" s="72">
        <v>215</v>
      </c>
      <c r="R442" s="54">
        <v>17</v>
      </c>
      <c r="S442" s="54">
        <f>STOCK[[#This Row],[Peso (g)]]*STOCK[[#This Row],[Precio Envío Kilogramo (USD)]]/1000</f>
        <v>3.655</v>
      </c>
      <c r="T442" s="53">
        <f>STOCK[[#This Row],[Costo Unitario (USD)]]+STOCK[[#This Row],[Costo Envío (USD)]]+STOCK[[#This Row],[Comisión 10%]]</f>
        <v>13.6095454545454</v>
      </c>
      <c r="U442" s="54">
        <f>STOCK[[#This Row],[Costo total]]*1.5</f>
        <v>20.4143181818182</v>
      </c>
      <c r="V442" s="54">
        <v>20</v>
      </c>
      <c r="W442" s="54">
        <f>STOCK[[#This Row],[Precio Final]]-STOCK[[#This Row],[Costo total]]</f>
        <v>6.39045454545455</v>
      </c>
      <c r="X442" s="54">
        <f>STOCK[[#This Row],[Ganancia Unitaria]]*STOCK[[#This Row],[Salidas]]</f>
        <v>6.39045454545455</v>
      </c>
      <c r="Y442" s="54" t="s">
        <v>896</v>
      </c>
      <c r="AA442" s="54">
        <f>STOCK[[#This Row],[Costo total]]*STOCK[[#This Row],[Entradas]]</f>
        <v>13.6095454545454</v>
      </c>
      <c r="AB442" s="54">
        <f>STOCK[[#This Row],[Stock Actual]]*STOCK[[#This Row],[Costo total]]</f>
        <v>0</v>
      </c>
    </row>
    <row r="443" s="53" customFormat="1" ht="50" customHeight="1" spans="1:28">
      <c r="A443" s="53" t="s">
        <v>930</v>
      </c>
      <c r="B443" s="66"/>
      <c r="C443" s="53" t="s">
        <v>32</v>
      </c>
      <c r="D443" s="53" t="s">
        <v>152</v>
      </c>
      <c r="E443" s="67" t="s">
        <v>931</v>
      </c>
      <c r="F443" s="53" t="s">
        <v>40</v>
      </c>
      <c r="G443" s="53" t="s">
        <v>36</v>
      </c>
      <c r="H443" s="53">
        <f>STOCK[[#This Row],[Precio Final]]</f>
        <v>15</v>
      </c>
      <c r="I443" s="53">
        <f>STOCK[[#This Row],[Precio Venta Ideal (x1.5)]]</f>
        <v>14.0004545454545</v>
      </c>
      <c r="J443" s="71">
        <v>1</v>
      </c>
      <c r="K443" s="71">
        <f>SUMIFS(VENTAS[Cantidad],VENTAS[Código del producto Vendido],STOCK[[#This Row],[Code]])</f>
        <v>1</v>
      </c>
      <c r="L443" s="71">
        <f>STOCK[[#This Row],[Entradas]]-STOCK[[#This Row],[Salidas]]</f>
        <v>0</v>
      </c>
      <c r="M443" s="53">
        <f>STOCK[[#This Row],[Precio Final]]*10%</f>
        <v>1.5</v>
      </c>
      <c r="N443" s="53">
        <v>90</v>
      </c>
      <c r="O443" s="53">
        <v>17.6</v>
      </c>
      <c r="P443" s="53">
        <v>5.11363636363636</v>
      </c>
      <c r="Q443" s="71">
        <v>160</v>
      </c>
      <c r="R443" s="53">
        <v>17</v>
      </c>
      <c r="S443" s="53">
        <f>STOCK[[#This Row],[Peso (g)]]*STOCK[[#This Row],[Precio Envío Kilogramo (USD)]]/1000</f>
        <v>2.72</v>
      </c>
      <c r="T443" s="53">
        <f>STOCK[[#This Row],[Costo Unitario (USD)]]+STOCK[[#This Row],[Costo Envío (USD)]]+STOCK[[#This Row],[Comisión 10%]]</f>
        <v>9.33363636363636</v>
      </c>
      <c r="U443" s="53">
        <f>STOCK[[#This Row],[Costo total]]*1.5</f>
        <v>14.0004545454545</v>
      </c>
      <c r="V443" s="53">
        <v>15</v>
      </c>
      <c r="W443" s="53">
        <f>STOCK[[#This Row],[Precio Final]]-STOCK[[#This Row],[Costo total]]</f>
        <v>5.66636363636364</v>
      </c>
      <c r="X443" s="53">
        <f>STOCK[[#This Row],[Ganancia Unitaria]]*STOCK[[#This Row],[Salidas]]</f>
        <v>5.66636363636364</v>
      </c>
      <c r="AA443" s="53">
        <f>STOCK[[#This Row],[Costo total]]*STOCK[[#This Row],[Entradas]]</f>
        <v>9.33363636363636</v>
      </c>
      <c r="AB443" s="53">
        <f>STOCK[[#This Row],[Stock Actual]]*STOCK[[#This Row],[Costo total]]</f>
        <v>0</v>
      </c>
    </row>
    <row r="444" s="54" customFormat="1" ht="50" customHeight="1" spans="1:28">
      <c r="A444" s="54" t="s">
        <v>932</v>
      </c>
      <c r="B444" s="66"/>
      <c r="C444" s="54" t="s">
        <v>32</v>
      </c>
      <c r="D444" s="54" t="s">
        <v>152</v>
      </c>
      <c r="E444" s="68" t="s">
        <v>931</v>
      </c>
      <c r="F444" s="54" t="s">
        <v>62</v>
      </c>
      <c r="G444" s="54" t="s">
        <v>36</v>
      </c>
      <c r="H444" s="54">
        <f>STOCK[[#This Row],[Precio Final]]</f>
        <v>15</v>
      </c>
      <c r="I444" s="54">
        <f>STOCK[[#This Row],[Precio Venta Ideal (x1.5)]]</f>
        <v>14.0004545454545</v>
      </c>
      <c r="J444" s="72">
        <v>2</v>
      </c>
      <c r="K444" s="72">
        <f>SUMIFS(VENTAS[Cantidad],VENTAS[Código del producto Vendido],STOCK[[#This Row],[Code]])</f>
        <v>1</v>
      </c>
      <c r="L444" s="72">
        <f>STOCK[[#This Row],[Entradas]]-STOCK[[#This Row],[Salidas]]</f>
        <v>1</v>
      </c>
      <c r="M444" s="54">
        <f>STOCK[[#This Row],[Precio Final]]*10%</f>
        <v>1.5</v>
      </c>
      <c r="N444" s="54">
        <v>90</v>
      </c>
      <c r="O444" s="54">
        <v>17.6</v>
      </c>
      <c r="P444" s="54">
        <v>5.11363636363636</v>
      </c>
      <c r="Q444" s="72">
        <v>160</v>
      </c>
      <c r="R444" s="54">
        <v>17</v>
      </c>
      <c r="S444" s="54">
        <f>STOCK[[#This Row],[Peso (g)]]*STOCK[[#This Row],[Precio Envío Kilogramo (USD)]]/1000</f>
        <v>2.72</v>
      </c>
      <c r="T444" s="53">
        <f>STOCK[[#This Row],[Costo Unitario (USD)]]+STOCK[[#This Row],[Costo Envío (USD)]]+STOCK[[#This Row],[Comisión 10%]]</f>
        <v>9.33363636363636</v>
      </c>
      <c r="U444" s="54">
        <f>STOCK[[#This Row],[Costo total]]*1.5</f>
        <v>14.0004545454545</v>
      </c>
      <c r="V444" s="54">
        <v>15</v>
      </c>
      <c r="W444" s="54">
        <f>STOCK[[#This Row],[Precio Final]]-STOCK[[#This Row],[Costo total]]</f>
        <v>5.66636363636364</v>
      </c>
      <c r="X444" s="54">
        <f>STOCK[[#This Row],[Ganancia Unitaria]]*STOCK[[#This Row],[Salidas]]</f>
        <v>5.66636363636364</v>
      </c>
      <c r="AA444" s="54">
        <f>STOCK[[#This Row],[Costo total]]*STOCK[[#This Row],[Entradas]]</f>
        <v>18.6672727272727</v>
      </c>
      <c r="AB444" s="54">
        <f>STOCK[[#This Row],[Stock Actual]]*STOCK[[#This Row],[Costo total]]</f>
        <v>9.33363636363636</v>
      </c>
    </row>
    <row r="445" s="53" customFormat="1" ht="50" customHeight="1" spans="1:28">
      <c r="A445" s="53" t="s">
        <v>933</v>
      </c>
      <c r="B445" s="66"/>
      <c r="C445" s="53" t="s">
        <v>32</v>
      </c>
      <c r="D445" s="53" t="s">
        <v>152</v>
      </c>
      <c r="E445" s="67" t="s">
        <v>931</v>
      </c>
      <c r="F445" s="53" t="s">
        <v>49</v>
      </c>
      <c r="G445" s="53" t="s">
        <v>36</v>
      </c>
      <c r="H445" s="53">
        <f>STOCK[[#This Row],[Precio Final]]</f>
        <v>15</v>
      </c>
      <c r="I445" s="53">
        <f>STOCK[[#This Row],[Precio Venta Ideal (x1.5)]]</f>
        <v>13.8729545454545</v>
      </c>
      <c r="J445" s="71">
        <v>2</v>
      </c>
      <c r="K445" s="71">
        <f>SUMIFS(VENTAS[Cantidad],VENTAS[Código del producto Vendido],STOCK[[#This Row],[Code]])</f>
        <v>1</v>
      </c>
      <c r="L445" s="71">
        <f>STOCK[[#This Row],[Entradas]]-STOCK[[#This Row],[Salidas]]</f>
        <v>1</v>
      </c>
      <c r="M445" s="53">
        <f>STOCK[[#This Row],[Precio Final]]*10%</f>
        <v>1.5</v>
      </c>
      <c r="N445" s="53">
        <v>90</v>
      </c>
      <c r="O445" s="53">
        <v>17.6</v>
      </c>
      <c r="P445" s="53">
        <v>5.11363636363636</v>
      </c>
      <c r="Q445" s="71">
        <v>155</v>
      </c>
      <c r="R445" s="53">
        <v>17</v>
      </c>
      <c r="S445" s="53">
        <f>STOCK[[#This Row],[Peso (g)]]*STOCK[[#This Row],[Precio Envío Kilogramo (USD)]]/1000</f>
        <v>2.635</v>
      </c>
      <c r="T445" s="53">
        <f>STOCK[[#This Row],[Costo Unitario (USD)]]+STOCK[[#This Row],[Costo Envío (USD)]]+STOCK[[#This Row],[Comisión 10%]]</f>
        <v>9.24863636363636</v>
      </c>
      <c r="U445" s="53">
        <f>STOCK[[#This Row],[Costo total]]*1.5</f>
        <v>13.8729545454545</v>
      </c>
      <c r="V445" s="53">
        <v>15</v>
      </c>
      <c r="W445" s="53">
        <f>STOCK[[#This Row],[Precio Final]]-STOCK[[#This Row],[Costo total]]</f>
        <v>5.75136363636364</v>
      </c>
      <c r="X445" s="53">
        <f>STOCK[[#This Row],[Ganancia Unitaria]]*STOCK[[#This Row],[Salidas]]</f>
        <v>5.75136363636364</v>
      </c>
      <c r="AA445" s="53">
        <f>STOCK[[#This Row],[Costo total]]*STOCK[[#This Row],[Entradas]]</f>
        <v>18.4972727272727</v>
      </c>
      <c r="AB445" s="53">
        <f>STOCK[[#This Row],[Stock Actual]]*STOCK[[#This Row],[Costo total]]</f>
        <v>9.24863636363636</v>
      </c>
    </row>
    <row r="446" s="54" customFormat="1" ht="50" customHeight="1" spans="1:28">
      <c r="A446" s="54" t="s">
        <v>934</v>
      </c>
      <c r="B446" s="66"/>
      <c r="C446" s="54" t="s">
        <v>32</v>
      </c>
      <c r="D446" s="54" t="s">
        <v>935</v>
      </c>
      <c r="E446" s="68" t="s">
        <v>931</v>
      </c>
      <c r="F446" s="54" t="s">
        <v>46</v>
      </c>
      <c r="G446" s="54" t="s">
        <v>36</v>
      </c>
      <c r="H446" s="54">
        <f>STOCK[[#This Row],[Precio Final]]</f>
        <v>15</v>
      </c>
      <c r="I446" s="54">
        <f>STOCK[[#This Row],[Precio Venta Ideal (x1.5)]]</f>
        <v>13.8729545454545</v>
      </c>
      <c r="J446" s="72">
        <v>2</v>
      </c>
      <c r="K446" s="72">
        <f>SUMIFS(VENTAS[Cantidad],VENTAS[Código del producto Vendido],STOCK[[#This Row],[Code]])</f>
        <v>1</v>
      </c>
      <c r="L446" s="72">
        <f>STOCK[[#This Row],[Entradas]]-STOCK[[#This Row],[Salidas]]</f>
        <v>1</v>
      </c>
      <c r="M446" s="54">
        <f>STOCK[[#This Row],[Precio Final]]*10%</f>
        <v>1.5</v>
      </c>
      <c r="N446" s="54">
        <v>90</v>
      </c>
      <c r="O446" s="54">
        <v>17.6</v>
      </c>
      <c r="P446" s="54">
        <v>5.11363636363636</v>
      </c>
      <c r="Q446" s="72">
        <v>155</v>
      </c>
      <c r="R446" s="54">
        <v>17</v>
      </c>
      <c r="S446" s="54">
        <f>STOCK[[#This Row],[Peso (g)]]*STOCK[[#This Row],[Precio Envío Kilogramo (USD)]]/1000</f>
        <v>2.635</v>
      </c>
      <c r="T446" s="53">
        <f>STOCK[[#This Row],[Costo Unitario (USD)]]+STOCK[[#This Row],[Costo Envío (USD)]]+STOCK[[#This Row],[Comisión 10%]]</f>
        <v>9.24863636363636</v>
      </c>
      <c r="U446" s="54">
        <f>STOCK[[#This Row],[Costo total]]*1.5</f>
        <v>13.8729545454545</v>
      </c>
      <c r="V446" s="54">
        <v>15</v>
      </c>
      <c r="W446" s="54">
        <f>STOCK[[#This Row],[Precio Final]]-STOCK[[#This Row],[Costo total]]</f>
        <v>5.75136363636364</v>
      </c>
      <c r="X446" s="54">
        <f>STOCK[[#This Row],[Ganancia Unitaria]]*STOCK[[#This Row],[Salidas]]</f>
        <v>5.75136363636364</v>
      </c>
      <c r="AA446" s="54">
        <f>STOCK[[#This Row],[Costo total]]*STOCK[[#This Row],[Entradas]]</f>
        <v>18.4972727272727</v>
      </c>
      <c r="AB446" s="54">
        <f>STOCK[[#This Row],[Stock Actual]]*STOCK[[#This Row],[Costo total]]</f>
        <v>9.24863636363636</v>
      </c>
    </row>
    <row r="447" s="53" customFormat="1" ht="50" customHeight="1" spans="1:28">
      <c r="A447" s="53" t="s">
        <v>936</v>
      </c>
      <c r="B447" s="66"/>
      <c r="C447" s="53" t="s">
        <v>32</v>
      </c>
      <c r="D447" s="53" t="s">
        <v>38</v>
      </c>
      <c r="E447" s="67" t="s">
        <v>914</v>
      </c>
      <c r="F447" s="53" t="s">
        <v>62</v>
      </c>
      <c r="G447" s="53" t="s">
        <v>36</v>
      </c>
      <c r="H447" s="53">
        <f>STOCK[[#This Row],[Precio Final]]</f>
        <v>25</v>
      </c>
      <c r="I447" s="53">
        <f>STOCK[[#This Row],[Precio Venta Ideal (x1.5)]]</f>
        <v>24.7847727272727</v>
      </c>
      <c r="J447" s="71">
        <v>2</v>
      </c>
      <c r="K447" s="71">
        <f>SUMIFS(VENTAS[Cantidad],VENTAS[Código del producto Vendido],STOCK[[#This Row],[Code]])</f>
        <v>2</v>
      </c>
      <c r="L447" s="71">
        <f>STOCK[[#This Row],[Entradas]]-STOCK[[#This Row],[Salidas]]</f>
        <v>0</v>
      </c>
      <c r="M447" s="53">
        <f>STOCK[[#This Row],[Precio Final]]*10%</f>
        <v>2.5</v>
      </c>
      <c r="N447" s="53">
        <v>175</v>
      </c>
      <c r="O447" s="53">
        <v>17.6</v>
      </c>
      <c r="P447" s="53">
        <v>9.94318181818182</v>
      </c>
      <c r="Q447" s="71">
        <v>240</v>
      </c>
      <c r="R447" s="53">
        <v>17</v>
      </c>
      <c r="S447" s="53">
        <f>STOCK[[#This Row],[Peso (g)]]*STOCK[[#This Row],[Precio Envío Kilogramo (USD)]]/1000</f>
        <v>4.08</v>
      </c>
      <c r="T447" s="53">
        <f>STOCK[[#This Row],[Costo Unitario (USD)]]+STOCK[[#This Row],[Costo Envío (USD)]]+STOCK[[#This Row],[Comisión 10%]]</f>
        <v>16.5231818181818</v>
      </c>
      <c r="U447" s="53">
        <f>STOCK[[#This Row],[Costo total]]*1.5</f>
        <v>24.7847727272727</v>
      </c>
      <c r="V447" s="53">
        <v>25</v>
      </c>
      <c r="W447" s="53">
        <f>STOCK[[#This Row],[Precio Final]]-STOCK[[#This Row],[Costo total]]</f>
        <v>8.47681818181818</v>
      </c>
      <c r="X447" s="53">
        <f>STOCK[[#This Row],[Ganancia Unitaria]]*STOCK[[#This Row],[Salidas]]</f>
        <v>16.9536363636364</v>
      </c>
      <c r="Y447" s="53" t="s">
        <v>896</v>
      </c>
      <c r="AA447" s="53">
        <f>STOCK[[#This Row],[Costo total]]*STOCK[[#This Row],[Entradas]]</f>
        <v>33.0463636363636</v>
      </c>
      <c r="AB447" s="53">
        <f>STOCK[[#This Row],[Stock Actual]]*STOCK[[#This Row],[Costo total]]</f>
        <v>0</v>
      </c>
    </row>
    <row r="448" s="54" customFormat="1" ht="50" customHeight="1" spans="1:28">
      <c r="A448" s="54" t="s">
        <v>937</v>
      </c>
      <c r="B448" s="66"/>
      <c r="C448" s="54" t="s">
        <v>32</v>
      </c>
      <c r="D448" s="54" t="s">
        <v>38</v>
      </c>
      <c r="E448" s="68" t="s">
        <v>938</v>
      </c>
      <c r="F448" s="54" t="s">
        <v>49</v>
      </c>
      <c r="G448" s="54" t="s">
        <v>36</v>
      </c>
      <c r="H448" s="54">
        <f>STOCK[[#This Row],[Precio Final]]</f>
        <v>25</v>
      </c>
      <c r="I448" s="54">
        <f>STOCK[[#This Row],[Precio Venta Ideal (x1.5)]]</f>
        <v>24.7847727272727</v>
      </c>
      <c r="J448" s="72">
        <v>4</v>
      </c>
      <c r="K448" s="72">
        <f>SUMIFS(VENTAS[Cantidad],VENTAS[Código del producto Vendido],STOCK[[#This Row],[Code]])</f>
        <v>4</v>
      </c>
      <c r="L448" s="72">
        <f>STOCK[[#This Row],[Entradas]]-STOCK[[#This Row],[Salidas]]</f>
        <v>0</v>
      </c>
      <c r="M448" s="54">
        <f>STOCK[[#This Row],[Precio Final]]*10%</f>
        <v>2.5</v>
      </c>
      <c r="N448" s="54">
        <v>175</v>
      </c>
      <c r="O448" s="54">
        <v>17.6</v>
      </c>
      <c r="P448" s="54">
        <v>9.94318181818182</v>
      </c>
      <c r="Q448" s="72">
        <v>240</v>
      </c>
      <c r="R448" s="54">
        <v>17</v>
      </c>
      <c r="S448" s="54">
        <f>STOCK[[#This Row],[Peso (g)]]*STOCK[[#This Row],[Precio Envío Kilogramo (USD)]]/1000</f>
        <v>4.08</v>
      </c>
      <c r="T448" s="53">
        <f>STOCK[[#This Row],[Costo Unitario (USD)]]+STOCK[[#This Row],[Costo Envío (USD)]]+STOCK[[#This Row],[Comisión 10%]]</f>
        <v>16.5231818181818</v>
      </c>
      <c r="U448" s="54">
        <f>STOCK[[#This Row],[Costo total]]*1.5</f>
        <v>24.7847727272727</v>
      </c>
      <c r="V448" s="54">
        <v>25</v>
      </c>
      <c r="W448" s="54">
        <f>STOCK[[#This Row],[Precio Final]]-STOCK[[#This Row],[Costo total]]</f>
        <v>8.47681818181818</v>
      </c>
      <c r="X448" s="54">
        <f>STOCK[[#This Row],[Ganancia Unitaria]]*STOCK[[#This Row],[Salidas]]</f>
        <v>33.9072727272727</v>
      </c>
      <c r="AA448" s="54">
        <f>STOCK[[#This Row],[Costo total]]*STOCK[[#This Row],[Entradas]]</f>
        <v>66.0927272727273</v>
      </c>
      <c r="AB448" s="54">
        <f>STOCK[[#This Row],[Stock Actual]]*STOCK[[#This Row],[Costo total]]</f>
        <v>0</v>
      </c>
    </row>
    <row r="449" s="53" customFormat="1" ht="50" customHeight="1" spans="1:28">
      <c r="A449" s="53" t="s">
        <v>939</v>
      </c>
      <c r="B449" s="66"/>
      <c r="C449" s="53" t="s">
        <v>32</v>
      </c>
      <c r="D449" s="53" t="s">
        <v>44</v>
      </c>
      <c r="E449" s="67" t="s">
        <v>940</v>
      </c>
      <c r="F449" s="53" t="s">
        <v>42</v>
      </c>
      <c r="G449" s="53" t="s">
        <v>36</v>
      </c>
      <c r="H449" s="53">
        <f>STOCK[[#This Row],[Precio Final]]</f>
        <v>30</v>
      </c>
      <c r="I449" s="53">
        <f>STOCK[[#This Row],[Precio Venta Ideal (x1.5)]]</f>
        <v>33.0279545454546</v>
      </c>
      <c r="J449" s="71">
        <v>1</v>
      </c>
      <c r="K449" s="71">
        <f>SUMIFS(VENTAS[Cantidad],VENTAS[Código del producto Vendido],STOCK[[#This Row],[Code]])</f>
        <v>1</v>
      </c>
      <c r="L449" s="71">
        <f>STOCK[[#This Row],[Entradas]]-STOCK[[#This Row],[Salidas]]</f>
        <v>0</v>
      </c>
      <c r="M449" s="53">
        <f>STOCK[[#This Row],[Precio Final]]*10%</f>
        <v>3</v>
      </c>
      <c r="N449" s="53">
        <v>233</v>
      </c>
      <c r="O449" s="53">
        <v>17.6</v>
      </c>
      <c r="P449" s="53">
        <v>13.2386363636364</v>
      </c>
      <c r="Q449" s="71">
        <v>340</v>
      </c>
      <c r="R449" s="53">
        <v>17</v>
      </c>
      <c r="S449" s="53">
        <f>STOCK[[#This Row],[Peso (g)]]*STOCK[[#This Row],[Precio Envío Kilogramo (USD)]]/1000</f>
        <v>5.78</v>
      </c>
      <c r="T449" s="53">
        <f>STOCK[[#This Row],[Costo Unitario (USD)]]+STOCK[[#This Row],[Costo Envío (USD)]]+STOCK[[#This Row],[Comisión 10%]]</f>
        <v>22.0186363636364</v>
      </c>
      <c r="U449" s="53">
        <f>STOCK[[#This Row],[Costo total]]*1.5</f>
        <v>33.0279545454546</v>
      </c>
      <c r="V449" s="53">
        <v>30</v>
      </c>
      <c r="W449" s="53">
        <f>STOCK[[#This Row],[Precio Final]]-STOCK[[#This Row],[Costo total]]</f>
        <v>7.9813636363636</v>
      </c>
      <c r="X449" s="53">
        <f>STOCK[[#This Row],[Ganancia Unitaria]]*STOCK[[#This Row],[Salidas]]</f>
        <v>7.9813636363636</v>
      </c>
      <c r="Y449" s="53" t="s">
        <v>896</v>
      </c>
      <c r="AA449" s="53">
        <f>STOCK[[#This Row],[Costo total]]*STOCK[[#This Row],[Entradas]]</f>
        <v>22.0186363636364</v>
      </c>
      <c r="AB449" s="53">
        <f>STOCK[[#This Row],[Stock Actual]]*STOCK[[#This Row],[Costo total]]</f>
        <v>0</v>
      </c>
    </row>
    <row r="450" s="54" customFormat="1" ht="50" customHeight="1" spans="1:28">
      <c r="A450" s="54" t="s">
        <v>941</v>
      </c>
      <c r="B450" s="66"/>
      <c r="C450" s="54" t="s">
        <v>32</v>
      </c>
      <c r="D450" s="54" t="s">
        <v>44</v>
      </c>
      <c r="E450" s="68" t="s">
        <v>942</v>
      </c>
      <c r="F450" s="54" t="s">
        <v>46</v>
      </c>
      <c r="G450" s="54" t="s">
        <v>36</v>
      </c>
      <c r="H450" s="54">
        <f>STOCK[[#This Row],[Precio Final]]</f>
        <v>30</v>
      </c>
      <c r="I450" s="54">
        <f>STOCK[[#This Row],[Precio Venta Ideal (x1.5)]]</f>
        <v>33.0279545454546</v>
      </c>
      <c r="J450" s="72">
        <v>2</v>
      </c>
      <c r="K450" s="72">
        <f>SUMIFS(VENTAS[Cantidad],VENTAS[Código del producto Vendido],STOCK[[#This Row],[Code]])</f>
        <v>2</v>
      </c>
      <c r="L450" s="72">
        <f>STOCK[[#This Row],[Entradas]]-STOCK[[#This Row],[Salidas]]</f>
        <v>0</v>
      </c>
      <c r="M450" s="54">
        <f>STOCK[[#This Row],[Precio Final]]*10%</f>
        <v>3</v>
      </c>
      <c r="N450" s="54">
        <v>233</v>
      </c>
      <c r="O450" s="54">
        <v>17.6</v>
      </c>
      <c r="P450" s="54">
        <v>13.2386363636364</v>
      </c>
      <c r="Q450" s="72">
        <v>340</v>
      </c>
      <c r="R450" s="54">
        <v>17</v>
      </c>
      <c r="S450" s="54">
        <f>STOCK[[#This Row],[Peso (g)]]*STOCK[[#This Row],[Precio Envío Kilogramo (USD)]]/1000</f>
        <v>5.78</v>
      </c>
      <c r="T450" s="53">
        <f>STOCK[[#This Row],[Costo Unitario (USD)]]+STOCK[[#This Row],[Costo Envío (USD)]]+STOCK[[#This Row],[Comisión 10%]]</f>
        <v>22.0186363636364</v>
      </c>
      <c r="U450" s="54">
        <f>STOCK[[#This Row],[Costo total]]*1.5</f>
        <v>33.0279545454546</v>
      </c>
      <c r="V450" s="54">
        <v>30</v>
      </c>
      <c r="W450" s="54">
        <f>STOCK[[#This Row],[Precio Final]]-STOCK[[#This Row],[Costo total]]</f>
        <v>7.9813636363636</v>
      </c>
      <c r="X450" s="54">
        <f>STOCK[[#This Row],[Ganancia Unitaria]]*STOCK[[#This Row],[Salidas]]</f>
        <v>15.9627272727272</v>
      </c>
      <c r="Y450" s="54" t="s">
        <v>928</v>
      </c>
      <c r="AA450" s="54">
        <f>STOCK[[#This Row],[Costo total]]*STOCK[[#This Row],[Entradas]]</f>
        <v>44.0372727272728</v>
      </c>
      <c r="AB450" s="54">
        <f>STOCK[[#This Row],[Stock Actual]]*STOCK[[#This Row],[Costo total]]</f>
        <v>0</v>
      </c>
    </row>
    <row r="451" s="53" customFormat="1" ht="50" customHeight="1" spans="1:28">
      <c r="A451" s="53" t="s">
        <v>943</v>
      </c>
      <c r="B451" s="66"/>
      <c r="C451" s="53" t="s">
        <v>32</v>
      </c>
      <c r="D451" s="53" t="s">
        <v>44</v>
      </c>
      <c r="E451" s="67" t="s">
        <v>942</v>
      </c>
      <c r="F451" s="53" t="s">
        <v>62</v>
      </c>
      <c r="G451" s="53" t="s">
        <v>36</v>
      </c>
      <c r="H451" s="53">
        <f>STOCK[[#This Row],[Precio Final]]</f>
        <v>30</v>
      </c>
      <c r="I451" s="53">
        <f>STOCK[[#This Row],[Precio Venta Ideal (x1.5)]]</f>
        <v>32.7729545454546</v>
      </c>
      <c r="J451" s="71">
        <v>1</v>
      </c>
      <c r="K451" s="71">
        <f>SUMIFS(VENTAS[Cantidad],VENTAS[Código del producto Vendido],STOCK[[#This Row],[Code]])</f>
        <v>1</v>
      </c>
      <c r="L451" s="71">
        <f>STOCK[[#This Row],[Entradas]]-STOCK[[#This Row],[Salidas]]</f>
        <v>0</v>
      </c>
      <c r="M451" s="53">
        <f>STOCK[[#This Row],[Precio Final]]*10%</f>
        <v>3</v>
      </c>
      <c r="N451" s="53">
        <v>233</v>
      </c>
      <c r="O451" s="53">
        <v>17.6</v>
      </c>
      <c r="P451" s="53">
        <v>13.2386363636364</v>
      </c>
      <c r="Q451" s="71">
        <v>330</v>
      </c>
      <c r="R451" s="53">
        <v>17</v>
      </c>
      <c r="S451" s="53">
        <f>STOCK[[#This Row],[Peso (g)]]*STOCK[[#This Row],[Precio Envío Kilogramo (USD)]]/1000</f>
        <v>5.61</v>
      </c>
      <c r="T451" s="53">
        <f>STOCK[[#This Row],[Costo Unitario (USD)]]+STOCK[[#This Row],[Costo Envío (USD)]]+STOCK[[#This Row],[Comisión 10%]]</f>
        <v>21.8486363636364</v>
      </c>
      <c r="U451" s="53">
        <f>STOCK[[#This Row],[Costo total]]*1.5</f>
        <v>32.7729545454546</v>
      </c>
      <c r="V451" s="53">
        <v>30</v>
      </c>
      <c r="W451" s="53">
        <f>STOCK[[#This Row],[Precio Final]]-STOCK[[#This Row],[Costo total]]</f>
        <v>8.1513636363636</v>
      </c>
      <c r="X451" s="53">
        <f>STOCK[[#This Row],[Ganancia Unitaria]]*STOCK[[#This Row],[Salidas]]</f>
        <v>8.1513636363636</v>
      </c>
      <c r="Y451" s="53" t="s">
        <v>896</v>
      </c>
      <c r="AA451" s="53">
        <f>STOCK[[#This Row],[Costo total]]*STOCK[[#This Row],[Entradas]]</f>
        <v>21.8486363636364</v>
      </c>
      <c r="AB451" s="53">
        <f>STOCK[[#This Row],[Stock Actual]]*STOCK[[#This Row],[Costo total]]</f>
        <v>0</v>
      </c>
    </row>
    <row r="452" s="54" customFormat="1" ht="50" customHeight="1" spans="1:28">
      <c r="A452" s="54" t="s">
        <v>944</v>
      </c>
      <c r="B452" s="66"/>
      <c r="C452" s="54" t="s">
        <v>32</v>
      </c>
      <c r="D452" s="54" t="s">
        <v>44</v>
      </c>
      <c r="E452" s="68" t="s">
        <v>942</v>
      </c>
      <c r="F452" s="54" t="s">
        <v>49</v>
      </c>
      <c r="G452" s="54" t="s">
        <v>36</v>
      </c>
      <c r="H452" s="54">
        <f>STOCK[[#This Row],[Precio Final]]</f>
        <v>30</v>
      </c>
      <c r="I452" s="54">
        <f>STOCK[[#This Row],[Precio Venta Ideal (x1.5)]]</f>
        <v>33.0279545454546</v>
      </c>
      <c r="J452" s="72">
        <v>2</v>
      </c>
      <c r="K452" s="72">
        <f>SUMIFS(VENTAS[Cantidad],VENTAS[Código del producto Vendido],STOCK[[#This Row],[Code]])</f>
        <v>2</v>
      </c>
      <c r="L452" s="72">
        <f>STOCK[[#This Row],[Entradas]]-STOCK[[#This Row],[Salidas]]</f>
        <v>0</v>
      </c>
      <c r="M452" s="54">
        <f>STOCK[[#This Row],[Precio Final]]*10%</f>
        <v>3</v>
      </c>
      <c r="N452" s="54">
        <v>233</v>
      </c>
      <c r="O452" s="54">
        <v>17.6</v>
      </c>
      <c r="P452" s="54">
        <v>13.2386363636364</v>
      </c>
      <c r="Q452" s="72">
        <v>340</v>
      </c>
      <c r="R452" s="54">
        <v>17</v>
      </c>
      <c r="S452" s="54">
        <f>STOCK[[#This Row],[Peso (g)]]*STOCK[[#This Row],[Precio Envío Kilogramo (USD)]]/1000</f>
        <v>5.78</v>
      </c>
      <c r="T452" s="53">
        <f>STOCK[[#This Row],[Costo Unitario (USD)]]+STOCK[[#This Row],[Costo Envío (USD)]]+STOCK[[#This Row],[Comisión 10%]]</f>
        <v>22.0186363636364</v>
      </c>
      <c r="U452" s="54">
        <f>STOCK[[#This Row],[Costo total]]*1.5</f>
        <v>33.0279545454546</v>
      </c>
      <c r="V452" s="54">
        <v>30</v>
      </c>
      <c r="W452" s="54">
        <f>STOCK[[#This Row],[Precio Final]]-STOCK[[#This Row],[Costo total]]</f>
        <v>7.9813636363636</v>
      </c>
      <c r="X452" s="54">
        <f>STOCK[[#This Row],[Ganancia Unitaria]]*STOCK[[#This Row],[Salidas]]</f>
        <v>15.9627272727272</v>
      </c>
      <c r="Y452" s="54" t="s">
        <v>896</v>
      </c>
      <c r="AA452" s="54">
        <f>STOCK[[#This Row],[Costo total]]*STOCK[[#This Row],[Entradas]]</f>
        <v>44.0372727272728</v>
      </c>
      <c r="AB452" s="54">
        <f>STOCK[[#This Row],[Stock Actual]]*STOCK[[#This Row],[Costo total]]</f>
        <v>0</v>
      </c>
    </row>
    <row r="453" s="53" customFormat="1" ht="50" customHeight="1" spans="1:28">
      <c r="A453" s="53" t="s">
        <v>945</v>
      </c>
      <c r="B453" s="66"/>
      <c r="C453" s="53" t="s">
        <v>32</v>
      </c>
      <c r="D453" s="53" t="s">
        <v>174</v>
      </c>
      <c r="E453" s="67" t="s">
        <v>946</v>
      </c>
      <c r="F453" s="53" t="s">
        <v>49</v>
      </c>
      <c r="G453" s="53" t="s">
        <v>36</v>
      </c>
      <c r="H453" s="53">
        <f>STOCK[[#This Row],[Precio Final]]</f>
        <v>12</v>
      </c>
      <c r="I453" s="53">
        <f>STOCK[[#This Row],[Precio Venta Ideal (x1.5)]]</f>
        <v>12.6136363636364</v>
      </c>
      <c r="J453" s="71">
        <v>1</v>
      </c>
      <c r="K453" s="71">
        <f>SUMIFS(VENTAS[Cantidad],VENTAS[Código del producto Vendido],STOCK[[#This Row],[Code]])</f>
        <v>1</v>
      </c>
      <c r="L453" s="71">
        <f>STOCK[[#This Row],[Entradas]]-STOCK[[#This Row],[Salidas]]</f>
        <v>0</v>
      </c>
      <c r="M453" s="53">
        <f>STOCK[[#This Row],[Precio Final]]*10%</f>
        <v>1.2</v>
      </c>
      <c r="N453" s="53">
        <v>82</v>
      </c>
      <c r="O453" s="53">
        <v>17.6</v>
      </c>
      <c r="P453" s="53">
        <v>4.65909090909091</v>
      </c>
      <c r="Q453" s="71">
        <v>150</v>
      </c>
      <c r="R453" s="53">
        <v>17</v>
      </c>
      <c r="S453" s="53">
        <f>STOCK[[#This Row],[Peso (g)]]*STOCK[[#This Row],[Precio Envío Kilogramo (USD)]]/1000</f>
        <v>2.55</v>
      </c>
      <c r="T453" s="53">
        <f>STOCK[[#This Row],[Costo Unitario (USD)]]+STOCK[[#This Row],[Costo Envío (USD)]]+STOCK[[#This Row],[Comisión 10%]]</f>
        <v>8.40909090909091</v>
      </c>
      <c r="U453" s="53">
        <f>STOCK[[#This Row],[Costo total]]*1.5</f>
        <v>12.6136363636364</v>
      </c>
      <c r="V453" s="53">
        <v>12</v>
      </c>
      <c r="W453" s="53">
        <f>STOCK[[#This Row],[Precio Final]]-STOCK[[#This Row],[Costo total]]</f>
        <v>3.59090909090909</v>
      </c>
      <c r="X453" s="53">
        <f>STOCK[[#This Row],[Ganancia Unitaria]]*STOCK[[#This Row],[Salidas]]</f>
        <v>3.59090909090909</v>
      </c>
      <c r="Y453" s="53" t="s">
        <v>928</v>
      </c>
      <c r="AA453" s="53">
        <f>STOCK[[#This Row],[Costo total]]*STOCK[[#This Row],[Entradas]]</f>
        <v>8.40909090909091</v>
      </c>
      <c r="AB453" s="53">
        <f>STOCK[[#This Row],[Stock Actual]]*STOCK[[#This Row],[Costo total]]</f>
        <v>0</v>
      </c>
    </row>
    <row r="454" s="54" customFormat="1" ht="50" customHeight="1" spans="1:28">
      <c r="A454" s="54" t="s">
        <v>947</v>
      </c>
      <c r="B454" s="66"/>
      <c r="C454" s="54" t="s">
        <v>32</v>
      </c>
      <c r="D454" s="54" t="s">
        <v>174</v>
      </c>
      <c r="E454" s="68" t="s">
        <v>948</v>
      </c>
      <c r="F454" s="54" t="s">
        <v>949</v>
      </c>
      <c r="G454" s="54" t="s">
        <v>36</v>
      </c>
      <c r="H454" s="54">
        <f>STOCK[[#This Row],[Precio Final]]</f>
        <v>12</v>
      </c>
      <c r="I454" s="54">
        <f>STOCK[[#This Row],[Precio Venta Ideal (x1.5)]]</f>
        <v>12.6136363636364</v>
      </c>
      <c r="J454" s="72">
        <v>1</v>
      </c>
      <c r="K454" s="72">
        <f>SUMIFS(VENTAS[Cantidad],VENTAS[Código del producto Vendido],STOCK[[#This Row],[Code]])</f>
        <v>1</v>
      </c>
      <c r="L454" s="72">
        <f>STOCK[[#This Row],[Entradas]]-STOCK[[#This Row],[Salidas]]</f>
        <v>0</v>
      </c>
      <c r="M454" s="54">
        <f>STOCK[[#This Row],[Precio Final]]*10%</f>
        <v>1.2</v>
      </c>
      <c r="N454" s="54">
        <v>82</v>
      </c>
      <c r="O454" s="54">
        <v>17.6</v>
      </c>
      <c r="P454" s="54">
        <v>4.65909090909091</v>
      </c>
      <c r="Q454" s="72">
        <v>150</v>
      </c>
      <c r="R454" s="54">
        <v>17</v>
      </c>
      <c r="S454" s="54">
        <f>STOCK[[#This Row],[Peso (g)]]*STOCK[[#This Row],[Precio Envío Kilogramo (USD)]]/1000</f>
        <v>2.55</v>
      </c>
      <c r="T454" s="53">
        <f>STOCK[[#This Row],[Costo Unitario (USD)]]+STOCK[[#This Row],[Costo Envío (USD)]]+STOCK[[#This Row],[Comisión 10%]]</f>
        <v>8.40909090909091</v>
      </c>
      <c r="U454" s="54">
        <f>STOCK[[#This Row],[Costo total]]*1.5</f>
        <v>12.6136363636364</v>
      </c>
      <c r="V454" s="54">
        <v>12</v>
      </c>
      <c r="W454" s="54">
        <f>STOCK[[#This Row],[Precio Final]]-STOCK[[#This Row],[Costo total]]</f>
        <v>3.59090909090909</v>
      </c>
      <c r="X454" s="54">
        <f>STOCK[[#This Row],[Ganancia Unitaria]]*STOCK[[#This Row],[Salidas]]</f>
        <v>3.59090909090909</v>
      </c>
      <c r="Y454" s="54" t="s">
        <v>928</v>
      </c>
      <c r="AA454" s="54">
        <f>STOCK[[#This Row],[Costo total]]*STOCK[[#This Row],[Entradas]]</f>
        <v>8.40909090909091</v>
      </c>
      <c r="AB454" s="54">
        <f>STOCK[[#This Row],[Stock Actual]]*STOCK[[#This Row],[Costo total]]</f>
        <v>0</v>
      </c>
    </row>
    <row r="455" s="53" customFormat="1" ht="50" customHeight="1" spans="1:28">
      <c r="A455" s="53" t="s">
        <v>950</v>
      </c>
      <c r="B455" s="66"/>
      <c r="C455" s="53" t="s">
        <v>32</v>
      </c>
      <c r="D455" s="53" t="s">
        <v>152</v>
      </c>
      <c r="E455" s="67" t="s">
        <v>951</v>
      </c>
      <c r="F455" s="53" t="s">
        <v>40</v>
      </c>
      <c r="G455" s="53" t="s">
        <v>36</v>
      </c>
      <c r="H455" s="53">
        <f>STOCK[[#This Row],[Precio Final]]</f>
        <v>25</v>
      </c>
      <c r="I455" s="53">
        <f>STOCK[[#This Row],[Precio Venta Ideal (x1.5)]]</f>
        <v>26.0570454545454</v>
      </c>
      <c r="J455" s="71">
        <v>2</v>
      </c>
      <c r="K455" s="71">
        <f>SUMIFS(VENTAS[Cantidad],VENTAS[Código del producto Vendido],STOCK[[#This Row],[Code]])</f>
        <v>2</v>
      </c>
      <c r="L455" s="71">
        <f>STOCK[[#This Row],[Entradas]]-STOCK[[#This Row],[Salidas]]</f>
        <v>0</v>
      </c>
      <c r="M455" s="53">
        <f>STOCK[[#This Row],[Precio Final]]*10%</f>
        <v>2.5</v>
      </c>
      <c r="N455" s="53">
        <v>163</v>
      </c>
      <c r="O455" s="53">
        <v>17.6</v>
      </c>
      <c r="P455" s="53">
        <v>9.26136363636363</v>
      </c>
      <c r="Q455" s="71">
        <v>330</v>
      </c>
      <c r="R455" s="53">
        <v>17</v>
      </c>
      <c r="S455" s="53">
        <f>STOCK[[#This Row],[Peso (g)]]*STOCK[[#This Row],[Precio Envío Kilogramo (USD)]]/1000</f>
        <v>5.61</v>
      </c>
      <c r="T455" s="53">
        <f>STOCK[[#This Row],[Costo Unitario (USD)]]+STOCK[[#This Row],[Costo Envío (USD)]]+STOCK[[#This Row],[Comisión 10%]]</f>
        <v>17.3713636363636</v>
      </c>
      <c r="U455" s="53">
        <f>STOCK[[#This Row],[Costo total]]*1.5</f>
        <v>26.0570454545454</v>
      </c>
      <c r="V455" s="53">
        <v>25</v>
      </c>
      <c r="W455" s="53">
        <f>STOCK[[#This Row],[Precio Final]]-STOCK[[#This Row],[Costo total]]</f>
        <v>7.62863636363637</v>
      </c>
      <c r="X455" s="53">
        <f>STOCK[[#This Row],[Ganancia Unitaria]]*STOCK[[#This Row],[Salidas]]</f>
        <v>15.2572727272727</v>
      </c>
      <c r="Y455" s="53" t="s">
        <v>928</v>
      </c>
      <c r="AA455" s="53">
        <f>STOCK[[#This Row],[Costo total]]*STOCK[[#This Row],[Entradas]]</f>
        <v>34.7427272727273</v>
      </c>
      <c r="AB455" s="53">
        <f>STOCK[[#This Row],[Stock Actual]]*STOCK[[#This Row],[Costo total]]</f>
        <v>0</v>
      </c>
    </row>
    <row r="456" s="54" customFormat="1" ht="50" customHeight="1" spans="1:28">
      <c r="A456" s="54" t="s">
        <v>952</v>
      </c>
      <c r="B456" s="66"/>
      <c r="C456" s="54" t="s">
        <v>32</v>
      </c>
      <c r="D456" s="54" t="s">
        <v>152</v>
      </c>
      <c r="E456" s="68" t="s">
        <v>951</v>
      </c>
      <c r="F456" s="54" t="s">
        <v>62</v>
      </c>
      <c r="G456" s="54" t="s">
        <v>36</v>
      </c>
      <c r="H456" s="54">
        <f>STOCK[[#This Row],[Precio Final]]</f>
        <v>25</v>
      </c>
      <c r="I456" s="54">
        <f>STOCK[[#This Row],[Precio Venta Ideal (x1.5)]]</f>
        <v>26.0570454545454</v>
      </c>
      <c r="J456" s="72">
        <v>3</v>
      </c>
      <c r="K456" s="72">
        <f>SUMIFS(VENTAS[Cantidad],VENTAS[Código del producto Vendido],STOCK[[#This Row],[Code]])</f>
        <v>3</v>
      </c>
      <c r="L456" s="72">
        <f>STOCK[[#This Row],[Entradas]]-STOCK[[#This Row],[Salidas]]</f>
        <v>0</v>
      </c>
      <c r="M456" s="54">
        <f>STOCK[[#This Row],[Precio Final]]*10%</f>
        <v>2.5</v>
      </c>
      <c r="N456" s="54">
        <v>163</v>
      </c>
      <c r="O456" s="54">
        <v>17.6</v>
      </c>
      <c r="P456" s="54">
        <v>9.26136363636363</v>
      </c>
      <c r="Q456" s="72">
        <v>330</v>
      </c>
      <c r="R456" s="54">
        <v>17</v>
      </c>
      <c r="S456" s="54">
        <f>STOCK[[#This Row],[Peso (g)]]*STOCK[[#This Row],[Precio Envío Kilogramo (USD)]]/1000</f>
        <v>5.61</v>
      </c>
      <c r="T456" s="53">
        <f>STOCK[[#This Row],[Costo Unitario (USD)]]+STOCK[[#This Row],[Costo Envío (USD)]]+STOCK[[#This Row],[Comisión 10%]]</f>
        <v>17.3713636363636</v>
      </c>
      <c r="U456" s="54">
        <f>STOCK[[#This Row],[Costo total]]*1.5</f>
        <v>26.0570454545454</v>
      </c>
      <c r="V456" s="54">
        <v>25</v>
      </c>
      <c r="W456" s="54">
        <f>STOCK[[#This Row],[Precio Final]]-STOCK[[#This Row],[Costo total]]</f>
        <v>7.62863636363637</v>
      </c>
      <c r="X456" s="54">
        <f>STOCK[[#This Row],[Ganancia Unitaria]]*STOCK[[#This Row],[Salidas]]</f>
        <v>22.8859090909091</v>
      </c>
      <c r="Y456" s="54" t="s">
        <v>928</v>
      </c>
      <c r="AA456" s="54">
        <f>STOCK[[#This Row],[Costo total]]*STOCK[[#This Row],[Entradas]]</f>
        <v>52.1140909090909</v>
      </c>
      <c r="AB456" s="54">
        <f>STOCK[[#This Row],[Stock Actual]]*STOCK[[#This Row],[Costo total]]</f>
        <v>0</v>
      </c>
    </row>
    <row r="457" s="53" customFormat="1" ht="50" customHeight="1" spans="1:28">
      <c r="A457" s="53" t="s">
        <v>953</v>
      </c>
      <c r="B457" s="66"/>
      <c r="C457" s="53" t="s">
        <v>32</v>
      </c>
      <c r="D457" s="53" t="s">
        <v>152</v>
      </c>
      <c r="E457" s="67" t="s">
        <v>951</v>
      </c>
      <c r="F457" s="53" t="s">
        <v>49</v>
      </c>
      <c r="G457" s="53" t="s">
        <v>36</v>
      </c>
      <c r="H457" s="53">
        <f>STOCK[[#This Row],[Precio Final]]</f>
        <v>25</v>
      </c>
      <c r="I457" s="53">
        <f>STOCK[[#This Row],[Precio Venta Ideal (x1.5)]]</f>
        <v>26.0570454545454</v>
      </c>
      <c r="J457" s="71">
        <v>2</v>
      </c>
      <c r="K457" s="71">
        <f>SUMIFS(VENTAS[Cantidad],VENTAS[Código del producto Vendido],STOCK[[#This Row],[Code]])</f>
        <v>2</v>
      </c>
      <c r="L457" s="71">
        <f>STOCK[[#This Row],[Entradas]]-STOCK[[#This Row],[Salidas]]</f>
        <v>0</v>
      </c>
      <c r="M457" s="53">
        <f>STOCK[[#This Row],[Precio Final]]*10%</f>
        <v>2.5</v>
      </c>
      <c r="N457" s="53">
        <v>163</v>
      </c>
      <c r="O457" s="53">
        <v>17.6</v>
      </c>
      <c r="P457" s="53">
        <v>9.26136363636363</v>
      </c>
      <c r="Q457" s="71">
        <v>330</v>
      </c>
      <c r="R457" s="53">
        <v>17</v>
      </c>
      <c r="S457" s="53">
        <f>STOCK[[#This Row],[Peso (g)]]*STOCK[[#This Row],[Precio Envío Kilogramo (USD)]]/1000</f>
        <v>5.61</v>
      </c>
      <c r="T457" s="53">
        <f>STOCK[[#This Row],[Costo Unitario (USD)]]+STOCK[[#This Row],[Costo Envío (USD)]]+STOCK[[#This Row],[Comisión 10%]]</f>
        <v>17.3713636363636</v>
      </c>
      <c r="U457" s="53">
        <f>STOCK[[#This Row],[Costo total]]*1.5</f>
        <v>26.0570454545454</v>
      </c>
      <c r="V457" s="53">
        <v>25</v>
      </c>
      <c r="W457" s="53">
        <f>STOCK[[#This Row],[Precio Final]]-STOCK[[#This Row],[Costo total]]</f>
        <v>7.62863636363637</v>
      </c>
      <c r="X457" s="53">
        <f>STOCK[[#This Row],[Ganancia Unitaria]]*STOCK[[#This Row],[Salidas]]</f>
        <v>15.2572727272727</v>
      </c>
      <c r="Y457" s="53" t="s">
        <v>896</v>
      </c>
      <c r="AA457" s="53">
        <f>STOCK[[#This Row],[Costo total]]*STOCK[[#This Row],[Entradas]]</f>
        <v>34.7427272727273</v>
      </c>
      <c r="AB457" s="53">
        <f>STOCK[[#This Row],[Stock Actual]]*STOCK[[#This Row],[Costo total]]</f>
        <v>0</v>
      </c>
    </row>
    <row r="458" s="54" customFormat="1" ht="50" customHeight="1" spans="1:28">
      <c r="A458" s="54" t="s">
        <v>954</v>
      </c>
      <c r="B458" s="66"/>
      <c r="C458" s="54" t="s">
        <v>32</v>
      </c>
      <c r="D458" s="54" t="s">
        <v>125</v>
      </c>
      <c r="E458" s="68" t="s">
        <v>955</v>
      </c>
      <c r="F458" s="54" t="s">
        <v>956</v>
      </c>
      <c r="G458" s="54" t="s">
        <v>36</v>
      </c>
      <c r="H458" s="54">
        <f>STOCK[[#This Row],[Precio Final]]</f>
        <v>25</v>
      </c>
      <c r="I458" s="54">
        <f>STOCK[[#This Row],[Precio Venta Ideal (x1.5)]]</f>
        <v>22.3159090909091</v>
      </c>
      <c r="J458" s="72">
        <v>1</v>
      </c>
      <c r="K458" s="72">
        <f>SUMIFS(VENTAS[Cantidad],VENTAS[Código del producto Vendido],STOCK[[#This Row],[Code]])</f>
        <v>1</v>
      </c>
      <c r="L458" s="72">
        <f>STOCK[[#This Row],[Entradas]]-STOCK[[#This Row],[Salidas]]</f>
        <v>0</v>
      </c>
      <c r="M458" s="54">
        <f>STOCK[[#This Row],[Precio Final]]*10%</f>
        <v>2.5</v>
      </c>
      <c r="N458" s="54">
        <v>158</v>
      </c>
      <c r="O458" s="54">
        <v>17.6</v>
      </c>
      <c r="P458" s="54">
        <v>8.97727272727273</v>
      </c>
      <c r="Q458" s="72">
        <v>200</v>
      </c>
      <c r="R458" s="54">
        <v>17</v>
      </c>
      <c r="S458" s="54">
        <f>STOCK[[#This Row],[Peso (g)]]*STOCK[[#This Row],[Precio Envío Kilogramo (USD)]]/1000</f>
        <v>3.4</v>
      </c>
      <c r="T458" s="53">
        <f>STOCK[[#This Row],[Costo Unitario (USD)]]+STOCK[[#This Row],[Costo Envío (USD)]]+STOCK[[#This Row],[Comisión 10%]]</f>
        <v>14.8772727272727</v>
      </c>
      <c r="U458" s="54">
        <f>STOCK[[#This Row],[Costo total]]*1.5</f>
        <v>22.3159090909091</v>
      </c>
      <c r="V458" s="54">
        <v>25</v>
      </c>
      <c r="W458" s="54">
        <f>STOCK[[#This Row],[Precio Final]]-STOCK[[#This Row],[Costo total]]</f>
        <v>10.1227272727273</v>
      </c>
      <c r="X458" s="54">
        <f>STOCK[[#This Row],[Ganancia Unitaria]]*STOCK[[#This Row],[Salidas]]</f>
        <v>10.1227272727273</v>
      </c>
      <c r="Y458" s="54" t="s">
        <v>928</v>
      </c>
      <c r="AA458" s="54">
        <f>STOCK[[#This Row],[Costo total]]*STOCK[[#This Row],[Entradas]]</f>
        <v>14.8772727272727</v>
      </c>
      <c r="AB458" s="54">
        <f>STOCK[[#This Row],[Stock Actual]]*STOCK[[#This Row],[Costo total]]</f>
        <v>0</v>
      </c>
    </row>
    <row r="459" s="53" customFormat="1" ht="50" customHeight="1" spans="1:28">
      <c r="A459" s="53" t="s">
        <v>957</v>
      </c>
      <c r="B459" s="66"/>
      <c r="C459" s="53" t="s">
        <v>32</v>
      </c>
      <c r="D459" s="53" t="s">
        <v>38</v>
      </c>
      <c r="E459" s="67" t="s">
        <v>958</v>
      </c>
      <c r="F459" s="53" t="s">
        <v>46</v>
      </c>
      <c r="G459" s="53" t="s">
        <v>36</v>
      </c>
      <c r="H459" s="53">
        <f>STOCK[[#This Row],[Precio Final]]</f>
        <v>20</v>
      </c>
      <c r="I459" s="53">
        <f>STOCK[[#This Row],[Precio Venta Ideal (x1.5)]]</f>
        <v>20.8840909090909</v>
      </c>
      <c r="J459" s="71">
        <v>1</v>
      </c>
      <c r="K459" s="71">
        <f>SUMIFS(VENTAS[Cantidad],VENTAS[Código del producto Vendido],STOCK[[#This Row],[Code]])</f>
        <v>1</v>
      </c>
      <c r="L459" s="71">
        <f>STOCK[[#This Row],[Entradas]]-STOCK[[#This Row],[Salidas]]</f>
        <v>0</v>
      </c>
      <c r="M459" s="53">
        <f>STOCK[[#This Row],[Precio Final]]*10%</f>
        <v>2</v>
      </c>
      <c r="N459" s="53">
        <v>150</v>
      </c>
      <c r="O459" s="53">
        <v>17.6</v>
      </c>
      <c r="P459" s="53">
        <v>8.52272727272727</v>
      </c>
      <c r="Q459" s="71">
        <v>200</v>
      </c>
      <c r="R459" s="53">
        <v>17</v>
      </c>
      <c r="S459" s="53">
        <f>STOCK[[#This Row],[Peso (g)]]*STOCK[[#This Row],[Precio Envío Kilogramo (USD)]]/1000</f>
        <v>3.4</v>
      </c>
      <c r="T459" s="53">
        <f>STOCK[[#This Row],[Costo Unitario (USD)]]+STOCK[[#This Row],[Costo Envío (USD)]]+STOCK[[#This Row],[Comisión 10%]]</f>
        <v>13.9227272727273</v>
      </c>
      <c r="U459" s="53">
        <f>STOCK[[#This Row],[Costo total]]*1.5</f>
        <v>20.8840909090909</v>
      </c>
      <c r="V459" s="53">
        <v>20</v>
      </c>
      <c r="W459" s="53">
        <f>STOCK[[#This Row],[Precio Final]]-STOCK[[#This Row],[Costo total]]</f>
        <v>6.07727272727273</v>
      </c>
      <c r="X459" s="53">
        <f>STOCK[[#This Row],[Ganancia Unitaria]]*STOCK[[#This Row],[Salidas]]</f>
        <v>6.07727272727273</v>
      </c>
      <c r="Y459" s="53" t="s">
        <v>912</v>
      </c>
      <c r="AA459" s="53">
        <f>STOCK[[#This Row],[Costo total]]*STOCK[[#This Row],[Entradas]]</f>
        <v>13.9227272727273</v>
      </c>
      <c r="AB459" s="53">
        <f>STOCK[[#This Row],[Stock Actual]]*STOCK[[#This Row],[Costo total]]</f>
        <v>0</v>
      </c>
    </row>
    <row r="460" s="54" customFormat="1" ht="50" customHeight="1" spans="1:28">
      <c r="A460" s="54" t="s">
        <v>959</v>
      </c>
      <c r="B460" s="66"/>
      <c r="C460" s="54" t="s">
        <v>32</v>
      </c>
      <c r="D460" s="54" t="s">
        <v>152</v>
      </c>
      <c r="E460" s="68" t="s">
        <v>960</v>
      </c>
      <c r="F460" s="54" t="s">
        <v>40</v>
      </c>
      <c r="G460" s="54" t="s">
        <v>36</v>
      </c>
      <c r="H460" s="54">
        <f>STOCK[[#This Row],[Precio Final]]</f>
        <v>30</v>
      </c>
      <c r="I460" s="54">
        <f>STOCK[[#This Row],[Precio Venta Ideal (x1.5)]]</f>
        <v>36.5584090909091</v>
      </c>
      <c r="J460" s="72">
        <v>0</v>
      </c>
      <c r="K460" s="72">
        <f>SUMIFS(VENTAS[Cantidad],VENTAS[Código del producto Vendido],STOCK[[#This Row],[Code]])</f>
        <v>0</v>
      </c>
      <c r="L460" s="72">
        <f>STOCK[[#This Row],[Entradas]]-STOCK[[#This Row],[Salidas]]</f>
        <v>0</v>
      </c>
      <c r="M460" s="54">
        <f>STOCK[[#This Row],[Precio Final]]*10%</f>
        <v>3</v>
      </c>
      <c r="N460" s="54">
        <v>246</v>
      </c>
      <c r="O460" s="54">
        <v>17.6</v>
      </c>
      <c r="P460" s="54">
        <v>13.9772727272727</v>
      </c>
      <c r="Q460" s="72">
        <v>435</v>
      </c>
      <c r="R460" s="54">
        <v>17</v>
      </c>
      <c r="S460" s="54">
        <f>STOCK[[#This Row],[Peso (g)]]*STOCK[[#This Row],[Precio Envío Kilogramo (USD)]]/1000</f>
        <v>7.395</v>
      </c>
      <c r="T460" s="53">
        <f>STOCK[[#This Row],[Costo Unitario (USD)]]+STOCK[[#This Row],[Costo Envío (USD)]]+STOCK[[#This Row],[Comisión 10%]]</f>
        <v>24.3722727272727</v>
      </c>
      <c r="U460" s="54">
        <f>STOCK[[#This Row],[Costo total]]*1.5</f>
        <v>36.5584090909091</v>
      </c>
      <c r="V460" s="54">
        <v>30</v>
      </c>
      <c r="W460" s="54">
        <f>STOCK[[#This Row],[Precio Final]]-STOCK[[#This Row],[Costo total]]</f>
        <v>5.6277272727273</v>
      </c>
      <c r="X460" s="54">
        <f>STOCK[[#This Row],[Ganancia Unitaria]]*STOCK[[#This Row],[Salidas]]</f>
        <v>0</v>
      </c>
      <c r="AA460" s="54">
        <f>STOCK[[#This Row],[Costo total]]*STOCK[[#This Row],[Entradas]]</f>
        <v>0</v>
      </c>
      <c r="AB460" s="54">
        <f>STOCK[[#This Row],[Stock Actual]]*STOCK[[#This Row],[Costo total]]</f>
        <v>0</v>
      </c>
    </row>
    <row r="461" s="53" customFormat="1" ht="50" customHeight="1" spans="1:28">
      <c r="A461" s="53" t="s">
        <v>961</v>
      </c>
      <c r="B461" s="66"/>
      <c r="C461" s="53" t="s">
        <v>32</v>
      </c>
      <c r="D461" s="53" t="s">
        <v>152</v>
      </c>
      <c r="E461" s="67" t="s">
        <v>962</v>
      </c>
      <c r="F461" s="53" t="s">
        <v>62</v>
      </c>
      <c r="G461" s="53" t="s">
        <v>36</v>
      </c>
      <c r="H461" s="53">
        <f>STOCK[[#This Row],[Precio Final]]</f>
        <v>28</v>
      </c>
      <c r="I461" s="53">
        <f>STOCK[[#This Row],[Precio Venta Ideal (x1.5)]]</f>
        <v>36.2584090909091</v>
      </c>
      <c r="J461" s="71">
        <v>2</v>
      </c>
      <c r="K461" s="71">
        <f>SUMIFS(VENTAS[Cantidad],VENTAS[Código del producto Vendido],STOCK[[#This Row],[Code]])</f>
        <v>2</v>
      </c>
      <c r="L461" s="71">
        <f>STOCK[[#This Row],[Entradas]]-STOCK[[#This Row],[Salidas]]</f>
        <v>0</v>
      </c>
      <c r="M461" s="53">
        <f>STOCK[[#This Row],[Precio Final]]*10%</f>
        <v>2.8</v>
      </c>
      <c r="N461" s="53">
        <v>246</v>
      </c>
      <c r="O461" s="53">
        <v>17.6</v>
      </c>
      <c r="P461" s="53">
        <v>13.9772727272727</v>
      </c>
      <c r="Q461" s="71">
        <v>435</v>
      </c>
      <c r="R461" s="53">
        <v>17</v>
      </c>
      <c r="S461" s="53">
        <f>STOCK[[#This Row],[Peso (g)]]*STOCK[[#This Row],[Precio Envío Kilogramo (USD)]]/1000</f>
        <v>7.395</v>
      </c>
      <c r="T461" s="53">
        <f>STOCK[[#This Row],[Costo Unitario (USD)]]+STOCK[[#This Row],[Costo Envío (USD)]]+STOCK[[#This Row],[Comisión 10%]]</f>
        <v>24.1722727272727</v>
      </c>
      <c r="U461" s="53">
        <f>STOCK[[#This Row],[Costo total]]*1.5</f>
        <v>36.2584090909091</v>
      </c>
      <c r="V461" s="53">
        <v>28</v>
      </c>
      <c r="W461" s="53">
        <f>STOCK[[#This Row],[Precio Final]]-STOCK[[#This Row],[Costo total]]</f>
        <v>3.8277272727273</v>
      </c>
      <c r="X461" s="53">
        <f>STOCK[[#This Row],[Ganancia Unitaria]]*STOCK[[#This Row],[Salidas]]</f>
        <v>7.6554545454546</v>
      </c>
      <c r="Y461" s="53" t="s">
        <v>928</v>
      </c>
      <c r="AA461" s="53">
        <f>STOCK[[#This Row],[Costo total]]*STOCK[[#This Row],[Entradas]]</f>
        <v>48.3445454545454</v>
      </c>
      <c r="AB461" s="53">
        <f>STOCK[[#This Row],[Stock Actual]]*STOCK[[#This Row],[Costo total]]</f>
        <v>0</v>
      </c>
    </row>
    <row r="462" s="54" customFormat="1" ht="50" customHeight="1" spans="1:28">
      <c r="A462" s="54" t="s">
        <v>963</v>
      </c>
      <c r="B462" s="66"/>
      <c r="C462" s="54" t="s">
        <v>32</v>
      </c>
      <c r="D462" s="54" t="s">
        <v>152</v>
      </c>
      <c r="E462" s="68" t="s">
        <v>960</v>
      </c>
      <c r="F462" s="54" t="s">
        <v>49</v>
      </c>
      <c r="G462" s="54" t="s">
        <v>36</v>
      </c>
      <c r="H462" s="54">
        <f>STOCK[[#This Row],[Precio Final]]</f>
        <v>28</v>
      </c>
      <c r="I462" s="54">
        <f>STOCK[[#This Row],[Precio Venta Ideal (x1.5)]]</f>
        <v>36.2584090909091</v>
      </c>
      <c r="J462" s="72">
        <v>2</v>
      </c>
      <c r="K462" s="72">
        <f>SUMIFS(VENTAS[Cantidad],VENTAS[Código del producto Vendido],STOCK[[#This Row],[Code]])</f>
        <v>2</v>
      </c>
      <c r="L462" s="72">
        <f>STOCK[[#This Row],[Entradas]]-STOCK[[#This Row],[Salidas]]</f>
        <v>0</v>
      </c>
      <c r="M462" s="54">
        <f>STOCK[[#This Row],[Precio Final]]*10%</f>
        <v>2.8</v>
      </c>
      <c r="N462" s="54">
        <v>246</v>
      </c>
      <c r="O462" s="54">
        <v>17.6</v>
      </c>
      <c r="P462" s="54">
        <v>13.9772727272727</v>
      </c>
      <c r="Q462" s="72">
        <v>435</v>
      </c>
      <c r="R462" s="54">
        <v>17</v>
      </c>
      <c r="S462" s="54">
        <f>STOCK[[#This Row],[Peso (g)]]*STOCK[[#This Row],[Precio Envío Kilogramo (USD)]]/1000</f>
        <v>7.395</v>
      </c>
      <c r="T462" s="53">
        <f>STOCK[[#This Row],[Costo Unitario (USD)]]+STOCK[[#This Row],[Costo Envío (USD)]]+STOCK[[#This Row],[Comisión 10%]]</f>
        <v>24.1722727272727</v>
      </c>
      <c r="U462" s="54">
        <f>STOCK[[#This Row],[Costo total]]*1.5</f>
        <v>36.2584090909091</v>
      </c>
      <c r="V462" s="54">
        <v>28</v>
      </c>
      <c r="W462" s="54">
        <f>STOCK[[#This Row],[Precio Final]]-STOCK[[#This Row],[Costo total]]</f>
        <v>3.8277272727273</v>
      </c>
      <c r="X462" s="54">
        <f>STOCK[[#This Row],[Ganancia Unitaria]]*STOCK[[#This Row],[Salidas]]</f>
        <v>7.6554545454546</v>
      </c>
      <c r="AA462" s="54">
        <f>STOCK[[#This Row],[Costo total]]*STOCK[[#This Row],[Entradas]]</f>
        <v>48.3445454545454</v>
      </c>
      <c r="AB462" s="54">
        <f>STOCK[[#This Row],[Stock Actual]]*STOCK[[#This Row],[Costo total]]</f>
        <v>0</v>
      </c>
    </row>
    <row r="463" s="53" customFormat="1" ht="50" customHeight="1" spans="1:28">
      <c r="A463" s="53" t="s">
        <v>964</v>
      </c>
      <c r="B463" s="66"/>
      <c r="C463" s="53" t="s">
        <v>32</v>
      </c>
      <c r="D463" s="53" t="s">
        <v>965</v>
      </c>
      <c r="E463" s="67" t="s">
        <v>962</v>
      </c>
      <c r="F463" s="53" t="s">
        <v>205</v>
      </c>
      <c r="G463" s="53" t="s">
        <v>36</v>
      </c>
      <c r="H463" s="53">
        <f>STOCK[[#This Row],[Precio Final]]</f>
        <v>28</v>
      </c>
      <c r="I463" s="53">
        <f>STOCK[[#This Row],[Precio Venta Ideal (x1.5)]]</f>
        <v>36.2584090909091</v>
      </c>
      <c r="J463" s="71">
        <v>3</v>
      </c>
      <c r="K463" s="71">
        <f>SUMIFS(VENTAS[Cantidad],VENTAS[Código del producto Vendido],STOCK[[#This Row],[Code]])</f>
        <v>3</v>
      </c>
      <c r="L463" s="71">
        <f>STOCK[[#This Row],[Entradas]]-STOCK[[#This Row],[Salidas]]</f>
        <v>0</v>
      </c>
      <c r="M463" s="53">
        <f>STOCK[[#This Row],[Precio Final]]*10%</f>
        <v>2.8</v>
      </c>
      <c r="N463" s="53">
        <v>246</v>
      </c>
      <c r="O463" s="53">
        <v>17.6</v>
      </c>
      <c r="P463" s="53">
        <v>13.9772727272727</v>
      </c>
      <c r="Q463" s="71">
        <v>435</v>
      </c>
      <c r="R463" s="53">
        <v>17</v>
      </c>
      <c r="S463" s="53">
        <f>STOCK[[#This Row],[Peso (g)]]*STOCK[[#This Row],[Precio Envío Kilogramo (USD)]]/1000</f>
        <v>7.395</v>
      </c>
      <c r="T463" s="53">
        <f>STOCK[[#This Row],[Costo Unitario (USD)]]+STOCK[[#This Row],[Costo Envío (USD)]]+STOCK[[#This Row],[Comisión 10%]]</f>
        <v>24.1722727272727</v>
      </c>
      <c r="U463" s="53">
        <f>STOCK[[#This Row],[Costo total]]*1.5</f>
        <v>36.2584090909091</v>
      </c>
      <c r="V463" s="53">
        <v>28</v>
      </c>
      <c r="W463" s="53">
        <f>STOCK[[#This Row],[Precio Final]]-STOCK[[#This Row],[Costo total]]</f>
        <v>3.8277272727273</v>
      </c>
      <c r="X463" s="53">
        <f>STOCK[[#This Row],[Ganancia Unitaria]]*STOCK[[#This Row],[Salidas]]</f>
        <v>11.4831818181819</v>
      </c>
      <c r="AA463" s="53">
        <f>STOCK[[#This Row],[Costo total]]*STOCK[[#This Row],[Entradas]]</f>
        <v>72.5168181818181</v>
      </c>
      <c r="AB463" s="53">
        <f>STOCK[[#This Row],[Stock Actual]]*STOCK[[#This Row],[Costo total]]</f>
        <v>0</v>
      </c>
    </row>
    <row r="464" s="54" customFormat="1" ht="50" customHeight="1" spans="1:28">
      <c r="A464" s="54" t="s">
        <v>966</v>
      </c>
      <c r="B464" s="66"/>
      <c r="C464" s="54" t="s">
        <v>32</v>
      </c>
      <c r="D464" s="54" t="s">
        <v>967</v>
      </c>
      <c r="E464" s="68" t="s">
        <v>948</v>
      </c>
      <c r="F464" s="54" t="s">
        <v>62</v>
      </c>
      <c r="G464" s="54" t="s">
        <v>36</v>
      </c>
      <c r="H464" s="54">
        <f>STOCK[[#This Row],[Precio Final]]</f>
        <v>10</v>
      </c>
      <c r="I464" s="54">
        <f>STOCK[[#This Row],[Precio Venta Ideal (x1.5)]]</f>
        <v>11.6761363636364</v>
      </c>
      <c r="J464" s="72">
        <v>3</v>
      </c>
      <c r="K464" s="72">
        <f>SUMIFS(VENTAS[Cantidad],VENTAS[Código del producto Vendido],STOCK[[#This Row],[Code]])</f>
        <v>3</v>
      </c>
      <c r="L464" s="72">
        <f>STOCK[[#This Row],[Entradas]]-STOCK[[#This Row],[Salidas]]</f>
        <v>0</v>
      </c>
      <c r="M464" s="54">
        <f>STOCK[[#This Row],[Precio Final]]*10%</f>
        <v>1</v>
      </c>
      <c r="N464" s="54">
        <v>82</v>
      </c>
      <c r="O464" s="54">
        <v>17.6</v>
      </c>
      <c r="P464" s="54">
        <v>4.65909090909091</v>
      </c>
      <c r="Q464" s="72">
        <v>125</v>
      </c>
      <c r="R464" s="54">
        <v>17</v>
      </c>
      <c r="S464" s="54">
        <f>STOCK[[#This Row],[Peso (g)]]*STOCK[[#This Row],[Precio Envío Kilogramo (USD)]]/1000</f>
        <v>2.125</v>
      </c>
      <c r="T464" s="53">
        <f>STOCK[[#This Row],[Costo Unitario (USD)]]+STOCK[[#This Row],[Costo Envío (USD)]]+STOCK[[#This Row],[Comisión 10%]]</f>
        <v>7.78409090909091</v>
      </c>
      <c r="U464" s="54">
        <f>STOCK[[#This Row],[Costo total]]*1.5</f>
        <v>11.6761363636364</v>
      </c>
      <c r="V464" s="54">
        <v>10</v>
      </c>
      <c r="W464" s="54">
        <f>STOCK[[#This Row],[Precio Final]]-STOCK[[#This Row],[Costo total]]</f>
        <v>2.21590909090909</v>
      </c>
      <c r="X464" s="54">
        <f>STOCK[[#This Row],[Ganancia Unitaria]]*STOCK[[#This Row],[Salidas]]</f>
        <v>6.64772727272727</v>
      </c>
      <c r="AA464" s="54">
        <f>STOCK[[#This Row],[Costo total]]*STOCK[[#This Row],[Entradas]]</f>
        <v>23.3522727272727</v>
      </c>
      <c r="AB464" s="54">
        <f>STOCK[[#This Row],[Stock Actual]]*STOCK[[#This Row],[Costo total]]</f>
        <v>0</v>
      </c>
    </row>
    <row r="465" s="53" customFormat="1" ht="50" customHeight="1" spans="1:28">
      <c r="A465" s="53" t="s">
        <v>968</v>
      </c>
      <c r="B465" s="66"/>
      <c r="C465" s="53" t="s">
        <v>32</v>
      </c>
      <c r="D465" s="53" t="s">
        <v>967</v>
      </c>
      <c r="E465" s="67" t="s">
        <v>969</v>
      </c>
      <c r="F465" s="53" t="s">
        <v>970</v>
      </c>
      <c r="G465" s="53" t="s">
        <v>36</v>
      </c>
      <c r="H465" s="53">
        <f>STOCK[[#This Row],[Precio Final]]</f>
        <v>10</v>
      </c>
      <c r="I465" s="53">
        <f>STOCK[[#This Row],[Precio Venta Ideal (x1.5)]]</f>
        <v>11.6761363636364</v>
      </c>
      <c r="J465" s="71">
        <v>2</v>
      </c>
      <c r="K465" s="71">
        <f>SUMIFS(VENTAS[Cantidad],VENTAS[Código del producto Vendido],STOCK[[#This Row],[Code]])</f>
        <v>2</v>
      </c>
      <c r="L465" s="71">
        <f>STOCK[[#This Row],[Entradas]]-STOCK[[#This Row],[Salidas]]</f>
        <v>0</v>
      </c>
      <c r="M465" s="53">
        <f>STOCK[[#This Row],[Precio Final]]*10%</f>
        <v>1</v>
      </c>
      <c r="N465" s="53">
        <v>82</v>
      </c>
      <c r="O465" s="53">
        <v>17.6</v>
      </c>
      <c r="P465" s="53">
        <v>4.65909090909091</v>
      </c>
      <c r="Q465" s="71">
        <v>125</v>
      </c>
      <c r="R465" s="53">
        <v>17</v>
      </c>
      <c r="S465" s="53">
        <f>STOCK[[#This Row],[Peso (g)]]*STOCK[[#This Row],[Precio Envío Kilogramo (USD)]]/1000</f>
        <v>2.125</v>
      </c>
      <c r="T465" s="53">
        <f>STOCK[[#This Row],[Costo Unitario (USD)]]+STOCK[[#This Row],[Costo Envío (USD)]]+STOCK[[#This Row],[Comisión 10%]]</f>
        <v>7.78409090909091</v>
      </c>
      <c r="U465" s="53">
        <f>STOCK[[#This Row],[Costo total]]*1.5</f>
        <v>11.6761363636364</v>
      </c>
      <c r="V465" s="53">
        <v>10</v>
      </c>
      <c r="W465" s="53">
        <f>STOCK[[#This Row],[Precio Final]]-STOCK[[#This Row],[Costo total]]</f>
        <v>2.21590909090909</v>
      </c>
      <c r="X465" s="53">
        <f>STOCK[[#This Row],[Ganancia Unitaria]]*STOCK[[#This Row],[Salidas]]</f>
        <v>4.43181818181818</v>
      </c>
      <c r="AA465" s="53">
        <f>STOCK[[#This Row],[Costo total]]*STOCK[[#This Row],[Entradas]]</f>
        <v>15.5681818181818</v>
      </c>
      <c r="AB465" s="53">
        <f>STOCK[[#This Row],[Stock Actual]]*STOCK[[#This Row],[Costo total]]</f>
        <v>0</v>
      </c>
    </row>
    <row r="466" s="54" customFormat="1" ht="50" customHeight="1" spans="1:28">
      <c r="A466" s="54" t="s">
        <v>971</v>
      </c>
      <c r="B466" s="66"/>
      <c r="C466" s="54" t="s">
        <v>32</v>
      </c>
      <c r="D466" s="54" t="s">
        <v>967</v>
      </c>
      <c r="E466" s="68" t="s">
        <v>969</v>
      </c>
      <c r="F466" s="54" t="s">
        <v>972</v>
      </c>
      <c r="G466" s="54" t="s">
        <v>36</v>
      </c>
      <c r="H466" s="54">
        <f>STOCK[[#This Row],[Precio Final]]</f>
        <v>10</v>
      </c>
      <c r="I466" s="54">
        <f>STOCK[[#This Row],[Precio Venta Ideal (x1.5)]]</f>
        <v>11.6761363636364</v>
      </c>
      <c r="J466" s="72">
        <v>1</v>
      </c>
      <c r="K466" s="72">
        <f>SUMIFS(VENTAS[Cantidad],VENTAS[Código del producto Vendido],STOCK[[#This Row],[Code]])</f>
        <v>1</v>
      </c>
      <c r="L466" s="72">
        <f>STOCK[[#This Row],[Entradas]]-STOCK[[#This Row],[Salidas]]</f>
        <v>0</v>
      </c>
      <c r="M466" s="54">
        <f>STOCK[[#This Row],[Precio Final]]*10%</f>
        <v>1</v>
      </c>
      <c r="N466" s="54">
        <v>82</v>
      </c>
      <c r="O466" s="54">
        <v>17.6</v>
      </c>
      <c r="P466" s="54">
        <v>4.65909090909091</v>
      </c>
      <c r="Q466" s="72">
        <v>125</v>
      </c>
      <c r="R466" s="54">
        <v>17</v>
      </c>
      <c r="S466" s="54">
        <f>STOCK[[#This Row],[Peso (g)]]*STOCK[[#This Row],[Precio Envío Kilogramo (USD)]]/1000</f>
        <v>2.125</v>
      </c>
      <c r="T466" s="53">
        <f>STOCK[[#This Row],[Costo Unitario (USD)]]+STOCK[[#This Row],[Costo Envío (USD)]]+STOCK[[#This Row],[Comisión 10%]]</f>
        <v>7.78409090909091</v>
      </c>
      <c r="U466" s="54">
        <f>STOCK[[#This Row],[Costo total]]*1.5</f>
        <v>11.6761363636364</v>
      </c>
      <c r="V466" s="54">
        <v>10</v>
      </c>
      <c r="W466" s="54">
        <f>STOCK[[#This Row],[Precio Final]]-STOCK[[#This Row],[Costo total]]</f>
        <v>2.21590909090909</v>
      </c>
      <c r="X466" s="54">
        <f>STOCK[[#This Row],[Ganancia Unitaria]]*STOCK[[#This Row],[Salidas]]</f>
        <v>2.21590909090909</v>
      </c>
      <c r="AA466" s="54">
        <f>STOCK[[#This Row],[Costo total]]*STOCK[[#This Row],[Entradas]]</f>
        <v>7.78409090909091</v>
      </c>
      <c r="AB466" s="54">
        <f>STOCK[[#This Row],[Stock Actual]]*STOCK[[#This Row],[Costo total]]</f>
        <v>0</v>
      </c>
    </row>
    <row r="467" s="53" customFormat="1" ht="50" customHeight="1" spans="1:28">
      <c r="A467" s="53" t="s">
        <v>973</v>
      </c>
      <c r="B467" s="66"/>
      <c r="C467" s="53" t="s">
        <v>32</v>
      </c>
      <c r="D467" s="53" t="s">
        <v>38</v>
      </c>
      <c r="E467" s="67" t="s">
        <v>974</v>
      </c>
      <c r="F467" s="53" t="s">
        <v>62</v>
      </c>
      <c r="G467" s="53" t="s">
        <v>36</v>
      </c>
      <c r="H467" s="53">
        <f>STOCK[[#This Row],[Precio Final]]</f>
        <v>25</v>
      </c>
      <c r="I467" s="53">
        <f>STOCK[[#This Row],[Precio Venta Ideal (x1.5)]]</f>
        <v>26.7375</v>
      </c>
      <c r="J467" s="71">
        <v>1</v>
      </c>
      <c r="K467" s="71">
        <f>SUMIFS(VENTAS[Cantidad],VENTAS[Código del producto Vendido],STOCK[[#This Row],[Code]])</f>
        <v>1</v>
      </c>
      <c r="L467" s="71">
        <f>STOCK[[#This Row],[Entradas]]-STOCK[[#This Row],[Salidas]]</f>
        <v>0</v>
      </c>
      <c r="M467" s="53">
        <f>STOCK[[#This Row],[Precio Final]]*10%</f>
        <v>2.5</v>
      </c>
      <c r="N467" s="53">
        <v>165</v>
      </c>
      <c r="O467" s="53">
        <v>17.6</v>
      </c>
      <c r="P467" s="53">
        <v>9.375</v>
      </c>
      <c r="Q467" s="71">
        <v>350</v>
      </c>
      <c r="R467" s="53">
        <v>17</v>
      </c>
      <c r="S467" s="53">
        <f>STOCK[[#This Row],[Peso (g)]]*STOCK[[#This Row],[Precio Envío Kilogramo (USD)]]/1000</f>
        <v>5.95</v>
      </c>
      <c r="T467" s="53">
        <f>STOCK[[#This Row],[Costo Unitario (USD)]]+STOCK[[#This Row],[Costo Envío (USD)]]+STOCK[[#This Row],[Comisión 10%]]</f>
        <v>17.825</v>
      </c>
      <c r="U467" s="53">
        <f>STOCK[[#This Row],[Costo total]]*1.5</f>
        <v>26.7375</v>
      </c>
      <c r="V467" s="53">
        <v>25</v>
      </c>
      <c r="W467" s="53">
        <f>STOCK[[#This Row],[Precio Final]]-STOCK[[#This Row],[Costo total]]</f>
        <v>7.175</v>
      </c>
      <c r="X467" s="53">
        <f>STOCK[[#This Row],[Ganancia Unitaria]]*STOCK[[#This Row],[Salidas]]</f>
        <v>7.175</v>
      </c>
      <c r="Y467" s="53" t="s">
        <v>928</v>
      </c>
      <c r="AA467" s="53">
        <f>STOCK[[#This Row],[Costo total]]*STOCK[[#This Row],[Entradas]]</f>
        <v>17.825</v>
      </c>
      <c r="AB467" s="53">
        <f>STOCK[[#This Row],[Stock Actual]]*STOCK[[#This Row],[Costo total]]</f>
        <v>0</v>
      </c>
    </row>
    <row r="468" s="54" customFormat="1" ht="50" customHeight="1" spans="1:28">
      <c r="A468" s="54" t="s">
        <v>975</v>
      </c>
      <c r="B468" s="66"/>
      <c r="C468" s="54" t="s">
        <v>32</v>
      </c>
      <c r="D468" s="54" t="s">
        <v>976</v>
      </c>
      <c r="E468" s="68" t="s">
        <v>977</v>
      </c>
      <c r="F468" s="54" t="s">
        <v>46</v>
      </c>
      <c r="G468" s="54" t="s">
        <v>36</v>
      </c>
      <c r="H468" s="54">
        <f>STOCK[[#This Row],[Precio Final]]</f>
        <v>25</v>
      </c>
      <c r="I468" s="54">
        <f>STOCK[[#This Row],[Precio Venta Ideal (x1.5)]]</f>
        <v>26.7375</v>
      </c>
      <c r="J468" s="72">
        <v>2</v>
      </c>
      <c r="K468" s="72">
        <f>SUMIFS(VENTAS[Cantidad],VENTAS[Código del producto Vendido],STOCK[[#This Row],[Code]])</f>
        <v>2</v>
      </c>
      <c r="L468" s="72">
        <f>STOCK[[#This Row],[Entradas]]-STOCK[[#This Row],[Salidas]]</f>
        <v>0</v>
      </c>
      <c r="M468" s="54">
        <f>STOCK[[#This Row],[Precio Final]]*10%</f>
        <v>2.5</v>
      </c>
      <c r="N468" s="54">
        <v>165</v>
      </c>
      <c r="O468" s="54">
        <v>17.6</v>
      </c>
      <c r="P468" s="54">
        <v>9.375</v>
      </c>
      <c r="Q468" s="72">
        <v>350</v>
      </c>
      <c r="R468" s="54">
        <v>17</v>
      </c>
      <c r="S468" s="54">
        <f>STOCK[[#This Row],[Peso (g)]]*STOCK[[#This Row],[Precio Envío Kilogramo (USD)]]/1000</f>
        <v>5.95</v>
      </c>
      <c r="T468" s="53">
        <f>STOCK[[#This Row],[Costo Unitario (USD)]]+STOCK[[#This Row],[Costo Envío (USD)]]+STOCK[[#This Row],[Comisión 10%]]</f>
        <v>17.825</v>
      </c>
      <c r="U468" s="54">
        <f>STOCK[[#This Row],[Costo total]]*1.5</f>
        <v>26.7375</v>
      </c>
      <c r="V468" s="54">
        <v>25</v>
      </c>
      <c r="W468" s="54">
        <f>STOCK[[#This Row],[Precio Final]]-STOCK[[#This Row],[Costo total]]</f>
        <v>7.175</v>
      </c>
      <c r="X468" s="54">
        <f>STOCK[[#This Row],[Ganancia Unitaria]]*STOCK[[#This Row],[Salidas]]</f>
        <v>14.35</v>
      </c>
      <c r="AA468" s="54">
        <f>STOCK[[#This Row],[Costo total]]*STOCK[[#This Row],[Entradas]]</f>
        <v>35.65</v>
      </c>
      <c r="AB468" s="54">
        <f>STOCK[[#This Row],[Stock Actual]]*STOCK[[#This Row],[Costo total]]</f>
        <v>0</v>
      </c>
    </row>
    <row r="469" s="53" customFormat="1" ht="50" customHeight="1" spans="1:28">
      <c r="A469" s="53" t="s">
        <v>978</v>
      </c>
      <c r="B469" s="66"/>
      <c r="C469" s="53" t="s">
        <v>32</v>
      </c>
      <c r="D469" s="53" t="s">
        <v>125</v>
      </c>
      <c r="E469" s="67" t="s">
        <v>979</v>
      </c>
      <c r="F469" s="53" t="s">
        <v>956</v>
      </c>
      <c r="G469" s="53" t="s">
        <v>36</v>
      </c>
      <c r="H469" s="53">
        <f>STOCK[[#This Row],[Precio Final]]</f>
        <v>25</v>
      </c>
      <c r="I469" s="53">
        <f>STOCK[[#This Row],[Precio Venta Ideal (x1.5)]]</f>
        <v>25.465909090909</v>
      </c>
      <c r="J469" s="71">
        <v>1</v>
      </c>
      <c r="K469" s="71">
        <f>SUMIFS(VENTAS[Cantidad],VENTAS[Código del producto Vendido],STOCK[[#This Row],[Code]])</f>
        <v>1</v>
      </c>
      <c r="L469" s="71">
        <f>STOCK[[#This Row],[Entradas]]-STOCK[[#This Row],[Salidas]]</f>
        <v>0</v>
      </c>
      <c r="M469" s="53">
        <f>STOCK[[#This Row],[Precio Final]]*10%</f>
        <v>2.5</v>
      </c>
      <c r="N469" s="53">
        <v>180</v>
      </c>
      <c r="O469" s="53">
        <v>17.6</v>
      </c>
      <c r="P469" s="53">
        <v>10.2272727272727</v>
      </c>
      <c r="Q469" s="71">
        <v>250</v>
      </c>
      <c r="R469" s="53">
        <v>17</v>
      </c>
      <c r="S469" s="53">
        <f>STOCK[[#This Row],[Peso (g)]]*STOCK[[#This Row],[Precio Envío Kilogramo (USD)]]/1000</f>
        <v>4.25</v>
      </c>
      <c r="T469" s="53">
        <f>STOCK[[#This Row],[Costo Unitario (USD)]]+STOCK[[#This Row],[Costo Envío (USD)]]+STOCK[[#This Row],[Comisión 10%]]</f>
        <v>16.9772727272727</v>
      </c>
      <c r="U469" s="53">
        <f>STOCK[[#This Row],[Costo total]]*1.5</f>
        <v>25.465909090909</v>
      </c>
      <c r="V469" s="53">
        <v>25</v>
      </c>
      <c r="W469" s="53">
        <f>STOCK[[#This Row],[Precio Final]]-STOCK[[#This Row],[Costo total]]</f>
        <v>8.0227272727273</v>
      </c>
      <c r="X469" s="53">
        <f>STOCK[[#This Row],[Ganancia Unitaria]]*STOCK[[#This Row],[Salidas]]</f>
        <v>8.0227272727273</v>
      </c>
      <c r="Y469" s="53" t="s">
        <v>980</v>
      </c>
      <c r="AA469" s="53">
        <f>STOCK[[#This Row],[Costo total]]*STOCK[[#This Row],[Entradas]]</f>
        <v>16.9772727272727</v>
      </c>
      <c r="AB469" s="53">
        <f>STOCK[[#This Row],[Stock Actual]]*STOCK[[#This Row],[Costo total]]</f>
        <v>0</v>
      </c>
    </row>
    <row r="470" s="54" customFormat="1" ht="50" customHeight="1" spans="1:28">
      <c r="A470" s="54" t="s">
        <v>981</v>
      </c>
      <c r="B470" s="66"/>
      <c r="C470" s="54" t="s">
        <v>32</v>
      </c>
      <c r="D470" s="54" t="s">
        <v>174</v>
      </c>
      <c r="E470" s="68" t="s">
        <v>982</v>
      </c>
      <c r="F470" s="54" t="s">
        <v>46</v>
      </c>
      <c r="G470" s="54" t="s">
        <v>36</v>
      </c>
      <c r="H470" s="54">
        <f>STOCK[[#This Row],[Precio Final]]</f>
        <v>12</v>
      </c>
      <c r="I470" s="54">
        <f>STOCK[[#This Row],[Precio Venta Ideal (x1.5)]]</f>
        <v>12.0170454545455</v>
      </c>
      <c r="J470" s="72">
        <v>1</v>
      </c>
      <c r="K470" s="72">
        <f>SUMIFS(VENTAS[Cantidad],VENTAS[Código del producto Vendido],STOCK[[#This Row],[Code]])</f>
        <v>1</v>
      </c>
      <c r="L470" s="72">
        <f>STOCK[[#This Row],[Entradas]]-STOCK[[#This Row],[Salidas]]</f>
        <v>0</v>
      </c>
      <c r="M470" s="54">
        <f>STOCK[[#This Row],[Precio Final]]*10%</f>
        <v>1.2</v>
      </c>
      <c r="N470" s="54">
        <v>75</v>
      </c>
      <c r="O470" s="54">
        <v>17.6</v>
      </c>
      <c r="P470" s="54">
        <v>4.26136363636364</v>
      </c>
      <c r="Q470" s="72">
        <v>150</v>
      </c>
      <c r="R470" s="54">
        <v>17</v>
      </c>
      <c r="S470" s="54">
        <f>STOCK[[#This Row],[Peso (g)]]*STOCK[[#This Row],[Precio Envío Kilogramo (USD)]]/1000</f>
        <v>2.55</v>
      </c>
      <c r="T470" s="53">
        <f>STOCK[[#This Row],[Costo Unitario (USD)]]+STOCK[[#This Row],[Costo Envío (USD)]]+STOCK[[#This Row],[Comisión 10%]]</f>
        <v>8.01136363636364</v>
      </c>
      <c r="U470" s="54">
        <f>STOCK[[#This Row],[Costo total]]*1.5</f>
        <v>12.0170454545455</v>
      </c>
      <c r="V470" s="54">
        <v>12</v>
      </c>
      <c r="W470" s="54">
        <f>STOCK[[#This Row],[Precio Final]]-STOCK[[#This Row],[Costo total]]</f>
        <v>3.98863636363636</v>
      </c>
      <c r="X470" s="54">
        <f>STOCK[[#This Row],[Ganancia Unitaria]]*STOCK[[#This Row],[Salidas]]</f>
        <v>3.98863636363636</v>
      </c>
      <c r="AA470" s="54">
        <f>STOCK[[#This Row],[Costo total]]*STOCK[[#This Row],[Entradas]]</f>
        <v>8.01136363636364</v>
      </c>
      <c r="AB470" s="54">
        <f>STOCK[[#This Row],[Stock Actual]]*STOCK[[#This Row],[Costo total]]</f>
        <v>0</v>
      </c>
    </row>
    <row r="471" s="53" customFormat="1" ht="50" customHeight="1" spans="1:28">
      <c r="A471" s="53" t="s">
        <v>983</v>
      </c>
      <c r="B471" s="66"/>
      <c r="C471" s="53" t="s">
        <v>32</v>
      </c>
      <c r="D471" s="53" t="s">
        <v>174</v>
      </c>
      <c r="E471" s="67" t="s">
        <v>982</v>
      </c>
      <c r="F471" s="53" t="s">
        <v>49</v>
      </c>
      <c r="G471" s="53" t="s">
        <v>36</v>
      </c>
      <c r="H471" s="53">
        <f>STOCK[[#This Row],[Precio Final]]</f>
        <v>12</v>
      </c>
      <c r="I471" s="53">
        <f>STOCK[[#This Row],[Precio Venta Ideal (x1.5)]]</f>
        <v>12.0170454545455</v>
      </c>
      <c r="J471" s="71">
        <v>1</v>
      </c>
      <c r="K471" s="71">
        <f>SUMIFS(VENTAS[Cantidad],VENTAS[Código del producto Vendido],STOCK[[#This Row],[Code]])</f>
        <v>1</v>
      </c>
      <c r="L471" s="71">
        <f>STOCK[[#This Row],[Entradas]]-STOCK[[#This Row],[Salidas]]</f>
        <v>0</v>
      </c>
      <c r="M471" s="53">
        <f>STOCK[[#This Row],[Precio Final]]*10%</f>
        <v>1.2</v>
      </c>
      <c r="N471" s="53">
        <v>75</v>
      </c>
      <c r="O471" s="53">
        <v>17.6</v>
      </c>
      <c r="P471" s="53">
        <v>4.26136363636364</v>
      </c>
      <c r="Q471" s="71">
        <v>150</v>
      </c>
      <c r="R471" s="53">
        <v>17</v>
      </c>
      <c r="S471" s="53">
        <f>STOCK[[#This Row],[Peso (g)]]*STOCK[[#This Row],[Precio Envío Kilogramo (USD)]]/1000</f>
        <v>2.55</v>
      </c>
      <c r="T471" s="53">
        <f>STOCK[[#This Row],[Costo Unitario (USD)]]+STOCK[[#This Row],[Costo Envío (USD)]]+STOCK[[#This Row],[Comisión 10%]]</f>
        <v>8.01136363636364</v>
      </c>
      <c r="U471" s="53">
        <f>STOCK[[#This Row],[Costo total]]*1.5</f>
        <v>12.0170454545455</v>
      </c>
      <c r="V471" s="53">
        <v>12</v>
      </c>
      <c r="W471" s="53">
        <f>STOCK[[#This Row],[Precio Final]]-STOCK[[#This Row],[Costo total]]</f>
        <v>3.98863636363636</v>
      </c>
      <c r="X471" s="53">
        <f>STOCK[[#This Row],[Ganancia Unitaria]]*STOCK[[#This Row],[Salidas]]</f>
        <v>3.98863636363636</v>
      </c>
      <c r="Y471" s="53" t="s">
        <v>928</v>
      </c>
      <c r="AA471" s="53">
        <f>STOCK[[#This Row],[Costo total]]*STOCK[[#This Row],[Entradas]]</f>
        <v>8.01136363636364</v>
      </c>
      <c r="AB471" s="53">
        <f>STOCK[[#This Row],[Stock Actual]]*STOCK[[#This Row],[Costo total]]</f>
        <v>0</v>
      </c>
    </row>
    <row r="472" s="54" customFormat="1" ht="50" customHeight="1" spans="1:28">
      <c r="A472" s="54" t="s">
        <v>984</v>
      </c>
      <c r="B472" s="66"/>
      <c r="C472" s="54" t="s">
        <v>32</v>
      </c>
      <c r="D472" s="54" t="s">
        <v>174</v>
      </c>
      <c r="E472" s="68" t="s">
        <v>982</v>
      </c>
      <c r="F472" s="54" t="s">
        <v>62</v>
      </c>
      <c r="G472" s="54" t="s">
        <v>36</v>
      </c>
      <c r="H472" s="54">
        <f>STOCK[[#This Row],[Precio Final]]</f>
        <v>12</v>
      </c>
      <c r="I472" s="54">
        <f>STOCK[[#This Row],[Precio Venta Ideal (x1.5)]]</f>
        <v>12.0170454545455</v>
      </c>
      <c r="J472" s="72">
        <v>1</v>
      </c>
      <c r="K472" s="72">
        <f>SUMIFS(VENTAS[Cantidad],VENTAS[Código del producto Vendido],STOCK[[#This Row],[Code]])</f>
        <v>1</v>
      </c>
      <c r="L472" s="72">
        <f>STOCK[[#This Row],[Entradas]]-STOCK[[#This Row],[Salidas]]</f>
        <v>0</v>
      </c>
      <c r="M472" s="54">
        <f>STOCK[[#This Row],[Precio Final]]*10%</f>
        <v>1.2</v>
      </c>
      <c r="N472" s="54">
        <v>75</v>
      </c>
      <c r="O472" s="54">
        <v>17.6</v>
      </c>
      <c r="P472" s="54">
        <v>4.26136363636364</v>
      </c>
      <c r="Q472" s="72">
        <v>150</v>
      </c>
      <c r="R472" s="54">
        <v>17</v>
      </c>
      <c r="S472" s="54">
        <f>STOCK[[#This Row],[Peso (g)]]*STOCK[[#This Row],[Precio Envío Kilogramo (USD)]]/1000</f>
        <v>2.55</v>
      </c>
      <c r="T472" s="53">
        <f>STOCK[[#This Row],[Costo Unitario (USD)]]+STOCK[[#This Row],[Costo Envío (USD)]]+STOCK[[#This Row],[Comisión 10%]]</f>
        <v>8.01136363636364</v>
      </c>
      <c r="U472" s="54">
        <f>STOCK[[#This Row],[Costo total]]*1.5</f>
        <v>12.0170454545455</v>
      </c>
      <c r="V472" s="54">
        <v>12</v>
      </c>
      <c r="W472" s="54">
        <f>STOCK[[#This Row],[Precio Final]]-STOCK[[#This Row],[Costo total]]</f>
        <v>3.98863636363636</v>
      </c>
      <c r="X472" s="54">
        <f>STOCK[[#This Row],[Ganancia Unitaria]]*STOCK[[#This Row],[Salidas]]</f>
        <v>3.98863636363636</v>
      </c>
      <c r="AA472" s="54">
        <f>STOCK[[#This Row],[Costo total]]*STOCK[[#This Row],[Entradas]]</f>
        <v>8.01136363636364</v>
      </c>
      <c r="AB472" s="54">
        <f>STOCK[[#This Row],[Stock Actual]]*STOCK[[#This Row],[Costo total]]</f>
        <v>0</v>
      </c>
    </row>
    <row r="473" s="53" customFormat="1" ht="50" customHeight="1" spans="1:28">
      <c r="A473" s="53" t="s">
        <v>985</v>
      </c>
      <c r="B473" s="66"/>
      <c r="C473" s="53" t="s">
        <v>32</v>
      </c>
      <c r="D473" s="53" t="s">
        <v>44</v>
      </c>
      <c r="E473" s="67" t="s">
        <v>986</v>
      </c>
      <c r="F473" s="53" t="s">
        <v>62</v>
      </c>
      <c r="G473" s="53" t="s">
        <v>36</v>
      </c>
      <c r="H473" s="53">
        <f>STOCK[[#This Row],[Precio Final]]</f>
        <v>25</v>
      </c>
      <c r="I473" s="53">
        <f>STOCK[[#This Row],[Precio Venta Ideal (x1.5)]]</f>
        <v>27.0415909090909</v>
      </c>
      <c r="J473" s="71">
        <v>1</v>
      </c>
      <c r="K473" s="71">
        <f>SUMIFS(VENTAS[Cantidad],VENTAS[Código del producto Vendido],STOCK[[#This Row],[Code]])</f>
        <v>1</v>
      </c>
      <c r="L473" s="71">
        <f>STOCK[[#This Row],[Entradas]]-STOCK[[#This Row],[Salidas]]</f>
        <v>0</v>
      </c>
      <c r="M473" s="53">
        <f>STOCK[[#This Row],[Precio Final]]*10%</f>
        <v>2.5</v>
      </c>
      <c r="N473" s="53">
        <v>194</v>
      </c>
      <c r="O473" s="53">
        <v>17.6</v>
      </c>
      <c r="P473" s="53">
        <v>11.0227272727273</v>
      </c>
      <c r="Q473" s="71">
        <v>265</v>
      </c>
      <c r="R473" s="53">
        <v>17</v>
      </c>
      <c r="S473" s="53">
        <f>STOCK[[#This Row],[Peso (g)]]*STOCK[[#This Row],[Precio Envío Kilogramo (USD)]]/1000</f>
        <v>4.505</v>
      </c>
      <c r="T473" s="53">
        <f>STOCK[[#This Row],[Costo Unitario (USD)]]+STOCK[[#This Row],[Costo Envío (USD)]]+STOCK[[#This Row],[Comisión 10%]]</f>
        <v>18.0277272727273</v>
      </c>
      <c r="U473" s="53">
        <f>STOCK[[#This Row],[Costo total]]*1.5</f>
        <v>27.0415909090909</v>
      </c>
      <c r="V473" s="53">
        <v>25</v>
      </c>
      <c r="W473" s="53">
        <f>STOCK[[#This Row],[Precio Final]]-STOCK[[#This Row],[Costo total]]</f>
        <v>6.9722727272727</v>
      </c>
      <c r="X473" s="53">
        <f>STOCK[[#This Row],[Ganancia Unitaria]]*STOCK[[#This Row],[Salidas]]</f>
        <v>6.9722727272727</v>
      </c>
      <c r="Y473" s="53" t="s">
        <v>896</v>
      </c>
      <c r="AA473" s="53">
        <f>STOCK[[#This Row],[Costo total]]*STOCK[[#This Row],[Entradas]]</f>
        <v>18.0277272727273</v>
      </c>
      <c r="AB473" s="53">
        <f>STOCK[[#This Row],[Stock Actual]]*STOCK[[#This Row],[Costo total]]</f>
        <v>0</v>
      </c>
    </row>
    <row r="474" s="54" customFormat="1" ht="50" customHeight="1" spans="1:28">
      <c r="A474" s="54" t="s">
        <v>987</v>
      </c>
      <c r="B474" s="66"/>
      <c r="C474" s="54" t="s">
        <v>32</v>
      </c>
      <c r="D474" s="54" t="s">
        <v>44</v>
      </c>
      <c r="E474" s="68" t="s">
        <v>986</v>
      </c>
      <c r="F474" s="54" t="s">
        <v>49</v>
      </c>
      <c r="G474" s="54" t="s">
        <v>36</v>
      </c>
      <c r="H474" s="54">
        <f>STOCK[[#This Row],[Precio Final]]</f>
        <v>25</v>
      </c>
      <c r="I474" s="54">
        <f>STOCK[[#This Row],[Precio Venta Ideal (x1.5)]]</f>
        <v>27.0415909090909</v>
      </c>
      <c r="J474" s="72">
        <v>1</v>
      </c>
      <c r="K474" s="72">
        <f>SUMIFS(VENTAS[Cantidad],VENTAS[Código del producto Vendido],STOCK[[#This Row],[Code]])</f>
        <v>1</v>
      </c>
      <c r="L474" s="72">
        <f>STOCK[[#This Row],[Entradas]]-STOCK[[#This Row],[Salidas]]</f>
        <v>0</v>
      </c>
      <c r="M474" s="54">
        <f>STOCK[[#This Row],[Precio Final]]*10%</f>
        <v>2.5</v>
      </c>
      <c r="N474" s="54">
        <v>194</v>
      </c>
      <c r="O474" s="54">
        <v>17.6</v>
      </c>
      <c r="P474" s="54">
        <v>11.0227272727273</v>
      </c>
      <c r="Q474" s="72">
        <v>265</v>
      </c>
      <c r="R474" s="54">
        <v>17</v>
      </c>
      <c r="S474" s="54">
        <f>STOCK[[#This Row],[Peso (g)]]*STOCK[[#This Row],[Precio Envío Kilogramo (USD)]]/1000</f>
        <v>4.505</v>
      </c>
      <c r="T474" s="53">
        <f>STOCK[[#This Row],[Costo Unitario (USD)]]+STOCK[[#This Row],[Costo Envío (USD)]]+STOCK[[#This Row],[Comisión 10%]]</f>
        <v>18.0277272727273</v>
      </c>
      <c r="U474" s="54">
        <f>STOCK[[#This Row],[Costo total]]*1.5</f>
        <v>27.0415909090909</v>
      </c>
      <c r="V474" s="54">
        <v>25</v>
      </c>
      <c r="W474" s="54">
        <f>STOCK[[#This Row],[Precio Final]]-STOCK[[#This Row],[Costo total]]</f>
        <v>6.9722727272727</v>
      </c>
      <c r="X474" s="54">
        <f>STOCK[[#This Row],[Ganancia Unitaria]]*STOCK[[#This Row],[Salidas]]</f>
        <v>6.9722727272727</v>
      </c>
      <c r="Y474" s="54" t="s">
        <v>896</v>
      </c>
      <c r="AA474" s="54">
        <f>STOCK[[#This Row],[Costo total]]*STOCK[[#This Row],[Entradas]]</f>
        <v>18.0277272727273</v>
      </c>
      <c r="AB474" s="54">
        <f>STOCK[[#This Row],[Stock Actual]]*STOCK[[#This Row],[Costo total]]</f>
        <v>0</v>
      </c>
    </row>
    <row r="475" s="53" customFormat="1" ht="50" customHeight="1" spans="1:28">
      <c r="A475" s="53" t="s">
        <v>988</v>
      </c>
      <c r="B475" s="66"/>
      <c r="C475" s="53" t="s">
        <v>32</v>
      </c>
      <c r="D475" s="53" t="s">
        <v>213</v>
      </c>
      <c r="E475" s="67" t="s">
        <v>989</v>
      </c>
      <c r="F475" s="53" t="s">
        <v>205</v>
      </c>
      <c r="G475" s="53" t="s">
        <v>36</v>
      </c>
      <c r="H475" s="53">
        <f>STOCK[[#This Row],[Precio Final]]</f>
        <v>20</v>
      </c>
      <c r="I475" s="53">
        <f>STOCK[[#This Row],[Precio Venta Ideal (x1.5)]]</f>
        <v>26.2915909090909</v>
      </c>
      <c r="J475" s="71">
        <v>1</v>
      </c>
      <c r="K475" s="71">
        <f>SUMIFS(VENTAS[Cantidad],VENTAS[Código del producto Vendido],STOCK[[#This Row],[Code]])</f>
        <v>1</v>
      </c>
      <c r="L475" s="71">
        <f>STOCK[[#This Row],[Entradas]]-STOCK[[#This Row],[Salidas]]</f>
        <v>0</v>
      </c>
      <c r="M475" s="53">
        <f>STOCK[[#This Row],[Precio Final]]*10%</f>
        <v>2</v>
      </c>
      <c r="N475" s="53">
        <v>194</v>
      </c>
      <c r="O475" s="53">
        <v>17.6</v>
      </c>
      <c r="P475" s="53">
        <v>11.0227272727273</v>
      </c>
      <c r="Q475" s="71">
        <v>265</v>
      </c>
      <c r="R475" s="53">
        <v>17</v>
      </c>
      <c r="S475" s="53">
        <f>STOCK[[#This Row],[Peso (g)]]*STOCK[[#This Row],[Precio Envío Kilogramo (USD)]]/1000</f>
        <v>4.505</v>
      </c>
      <c r="T475" s="53">
        <f>STOCK[[#This Row],[Costo Unitario (USD)]]+STOCK[[#This Row],[Costo Envío (USD)]]+STOCK[[#This Row],[Comisión 10%]]</f>
        <v>17.5277272727273</v>
      </c>
      <c r="U475" s="53">
        <f>STOCK[[#This Row],[Costo total]]*1.5</f>
        <v>26.2915909090909</v>
      </c>
      <c r="V475" s="53">
        <v>20</v>
      </c>
      <c r="W475" s="53">
        <f>STOCK[[#This Row],[Precio Final]]-STOCK[[#This Row],[Costo total]]</f>
        <v>2.4722727272727</v>
      </c>
      <c r="X475" s="53">
        <f>STOCK[[#This Row],[Ganancia Unitaria]]*STOCK[[#This Row],[Salidas]]</f>
        <v>2.4722727272727</v>
      </c>
      <c r="Y475" s="53" t="s">
        <v>896</v>
      </c>
      <c r="AA475" s="53">
        <f>STOCK[[#This Row],[Costo total]]*STOCK[[#This Row],[Entradas]]</f>
        <v>17.5277272727273</v>
      </c>
      <c r="AB475" s="53">
        <f>STOCK[[#This Row],[Stock Actual]]*STOCK[[#This Row],[Costo total]]</f>
        <v>0</v>
      </c>
    </row>
    <row r="476" s="54" customFormat="1" ht="50" customHeight="1" spans="1:28">
      <c r="A476" s="54" t="s">
        <v>990</v>
      </c>
      <c r="B476" s="66"/>
      <c r="C476" s="54" t="s">
        <v>32</v>
      </c>
      <c r="D476" s="54" t="s">
        <v>174</v>
      </c>
      <c r="E476" s="68" t="s">
        <v>991</v>
      </c>
      <c r="F476" s="54" t="s">
        <v>46</v>
      </c>
      <c r="G476" s="54" t="s">
        <v>36</v>
      </c>
      <c r="H476" s="54">
        <f>STOCK[[#This Row],[Precio Final]]</f>
        <v>12</v>
      </c>
      <c r="I476" s="54">
        <f>STOCK[[#This Row],[Precio Venta Ideal (x1.5)]]</f>
        <v>13.2518181818182</v>
      </c>
      <c r="J476" s="72">
        <v>1</v>
      </c>
      <c r="K476" s="72">
        <f>SUMIFS(VENTAS[Cantidad],VENTAS[Código del producto Vendido],STOCK[[#This Row],[Code]])</f>
        <v>1</v>
      </c>
      <c r="L476" s="72">
        <f>STOCK[[#This Row],[Entradas]]-STOCK[[#This Row],[Salidas]]</f>
        <v>0</v>
      </c>
      <c r="M476" s="54">
        <f>STOCK[[#This Row],[Precio Final]]*10%</f>
        <v>1.2</v>
      </c>
      <c r="N476" s="54">
        <v>85</v>
      </c>
      <c r="O476" s="54">
        <v>17.6</v>
      </c>
      <c r="P476" s="54">
        <v>4.82954545454545</v>
      </c>
      <c r="Q476" s="72">
        <v>165</v>
      </c>
      <c r="R476" s="54">
        <v>17</v>
      </c>
      <c r="S476" s="54">
        <f>STOCK[[#This Row],[Peso (g)]]*STOCK[[#This Row],[Precio Envío Kilogramo (USD)]]/1000</f>
        <v>2.805</v>
      </c>
      <c r="T476" s="53">
        <f>STOCK[[#This Row],[Costo Unitario (USD)]]+STOCK[[#This Row],[Costo Envío (USD)]]+STOCK[[#This Row],[Comisión 10%]]</f>
        <v>8.83454545454545</v>
      </c>
      <c r="U476" s="54">
        <f>STOCK[[#This Row],[Costo total]]*1.5</f>
        <v>13.2518181818182</v>
      </c>
      <c r="V476" s="54">
        <v>12</v>
      </c>
      <c r="W476" s="54">
        <f>STOCK[[#This Row],[Precio Final]]-STOCK[[#This Row],[Costo total]]</f>
        <v>3.16545454545455</v>
      </c>
      <c r="X476" s="54">
        <f>STOCK[[#This Row],[Ganancia Unitaria]]*STOCK[[#This Row],[Salidas]]</f>
        <v>3.16545454545455</v>
      </c>
      <c r="Y476" s="54" t="s">
        <v>896</v>
      </c>
      <c r="AA476" s="54">
        <f>STOCK[[#This Row],[Costo total]]*STOCK[[#This Row],[Entradas]]</f>
        <v>8.83454545454545</v>
      </c>
      <c r="AB476" s="54">
        <f>STOCK[[#This Row],[Stock Actual]]*STOCK[[#This Row],[Costo total]]</f>
        <v>0</v>
      </c>
    </row>
    <row r="477" s="53" customFormat="1" ht="50" customHeight="1" spans="1:28">
      <c r="A477" s="53" t="s">
        <v>992</v>
      </c>
      <c r="B477" s="66"/>
      <c r="C477" s="53" t="s">
        <v>32</v>
      </c>
      <c r="D477" s="53" t="s">
        <v>174</v>
      </c>
      <c r="E477" s="67" t="s">
        <v>991</v>
      </c>
      <c r="F477" s="53" t="s">
        <v>49</v>
      </c>
      <c r="G477" s="53" t="s">
        <v>36</v>
      </c>
      <c r="H477" s="53">
        <f>STOCK[[#This Row],[Precio Final]]</f>
        <v>12</v>
      </c>
      <c r="I477" s="53">
        <f>STOCK[[#This Row],[Precio Venta Ideal (x1.5)]]</f>
        <v>12.8693181818182</v>
      </c>
      <c r="J477" s="71">
        <v>1</v>
      </c>
      <c r="K477" s="71">
        <f>SUMIFS(VENTAS[Cantidad],VENTAS[Código del producto Vendido],STOCK[[#This Row],[Code]])</f>
        <v>1</v>
      </c>
      <c r="L477" s="71">
        <f>STOCK[[#This Row],[Entradas]]-STOCK[[#This Row],[Salidas]]</f>
        <v>0</v>
      </c>
      <c r="M477" s="53">
        <f>STOCK[[#This Row],[Precio Final]]*10%</f>
        <v>1.2</v>
      </c>
      <c r="N477" s="53">
        <v>85</v>
      </c>
      <c r="O477" s="53">
        <v>17.6</v>
      </c>
      <c r="P477" s="53">
        <v>4.82954545454545</v>
      </c>
      <c r="Q477" s="71">
        <v>150</v>
      </c>
      <c r="R477" s="53">
        <v>17</v>
      </c>
      <c r="S477" s="53">
        <f>STOCK[[#This Row],[Peso (g)]]*STOCK[[#This Row],[Precio Envío Kilogramo (USD)]]/1000</f>
        <v>2.55</v>
      </c>
      <c r="T477" s="53">
        <f>STOCK[[#This Row],[Costo Unitario (USD)]]+STOCK[[#This Row],[Costo Envío (USD)]]+STOCK[[#This Row],[Comisión 10%]]</f>
        <v>8.57954545454545</v>
      </c>
      <c r="U477" s="53">
        <f>STOCK[[#This Row],[Costo total]]*1.5</f>
        <v>12.8693181818182</v>
      </c>
      <c r="V477" s="53">
        <v>12</v>
      </c>
      <c r="W477" s="53">
        <f>STOCK[[#This Row],[Precio Final]]-STOCK[[#This Row],[Costo total]]</f>
        <v>3.42045454545455</v>
      </c>
      <c r="X477" s="53">
        <f>STOCK[[#This Row],[Ganancia Unitaria]]*STOCK[[#This Row],[Salidas]]</f>
        <v>3.42045454545455</v>
      </c>
      <c r="Y477" s="53" t="s">
        <v>928</v>
      </c>
      <c r="AA477" s="53">
        <f>STOCK[[#This Row],[Costo total]]*STOCK[[#This Row],[Entradas]]</f>
        <v>8.57954545454545</v>
      </c>
      <c r="AB477" s="53">
        <f>STOCK[[#This Row],[Stock Actual]]*STOCK[[#This Row],[Costo total]]</f>
        <v>0</v>
      </c>
    </row>
    <row r="478" s="54" customFormat="1" ht="50" customHeight="1" spans="1:28">
      <c r="A478" s="54" t="s">
        <v>993</v>
      </c>
      <c r="B478" s="66"/>
      <c r="C478" s="54" t="s">
        <v>32</v>
      </c>
      <c r="D478" s="54" t="s">
        <v>174</v>
      </c>
      <c r="E478" s="68" t="s">
        <v>948</v>
      </c>
      <c r="F478" s="54" t="s">
        <v>994</v>
      </c>
      <c r="G478" s="54" t="s">
        <v>36</v>
      </c>
      <c r="H478" s="54">
        <f>STOCK[[#This Row],[Precio Final]]</f>
        <v>10</v>
      </c>
      <c r="I478" s="54">
        <f>STOCK[[#This Row],[Precio Venta Ideal (x1.5)]]</f>
        <v>12.5693181818182</v>
      </c>
      <c r="J478" s="72">
        <v>2</v>
      </c>
      <c r="K478" s="72">
        <f>SUMIFS(VENTAS[Cantidad],VENTAS[Código del producto Vendido],STOCK[[#This Row],[Code]])</f>
        <v>2</v>
      </c>
      <c r="L478" s="72">
        <f>STOCK[[#This Row],[Entradas]]-STOCK[[#This Row],[Salidas]]</f>
        <v>0</v>
      </c>
      <c r="M478" s="54">
        <f>STOCK[[#This Row],[Precio Final]]*10%</f>
        <v>1</v>
      </c>
      <c r="N478" s="54">
        <v>85</v>
      </c>
      <c r="O478" s="54">
        <v>17.6</v>
      </c>
      <c r="P478" s="54">
        <v>4.82954545454545</v>
      </c>
      <c r="Q478" s="72">
        <v>150</v>
      </c>
      <c r="R478" s="54">
        <v>17</v>
      </c>
      <c r="S478" s="54">
        <f>STOCK[[#This Row],[Peso (g)]]*STOCK[[#This Row],[Precio Envío Kilogramo (USD)]]/1000</f>
        <v>2.55</v>
      </c>
      <c r="T478" s="53">
        <f>STOCK[[#This Row],[Costo Unitario (USD)]]+STOCK[[#This Row],[Costo Envío (USD)]]+STOCK[[#This Row],[Comisión 10%]]</f>
        <v>8.37954545454545</v>
      </c>
      <c r="U478" s="54">
        <f>STOCK[[#This Row],[Costo total]]*1.5</f>
        <v>12.5693181818182</v>
      </c>
      <c r="V478" s="54">
        <v>10</v>
      </c>
      <c r="W478" s="54">
        <f>STOCK[[#This Row],[Precio Final]]-STOCK[[#This Row],[Costo total]]</f>
        <v>1.62045454545455</v>
      </c>
      <c r="X478" s="54">
        <f>STOCK[[#This Row],[Ganancia Unitaria]]*STOCK[[#This Row],[Salidas]]</f>
        <v>3.2409090909091</v>
      </c>
      <c r="AA478" s="54">
        <f>STOCK[[#This Row],[Costo total]]*STOCK[[#This Row],[Entradas]]</f>
        <v>16.7590909090909</v>
      </c>
      <c r="AB478" s="54">
        <f>STOCK[[#This Row],[Stock Actual]]*STOCK[[#This Row],[Costo total]]</f>
        <v>0</v>
      </c>
    </row>
    <row r="479" s="53" customFormat="1" ht="50" customHeight="1" spans="1:28">
      <c r="A479" s="53" t="s">
        <v>995</v>
      </c>
      <c r="B479" s="66"/>
      <c r="C479" s="53" t="s">
        <v>32</v>
      </c>
      <c r="D479" s="53" t="s">
        <v>44</v>
      </c>
      <c r="E479" s="67" t="s">
        <v>996</v>
      </c>
      <c r="F479" s="53" t="s">
        <v>997</v>
      </c>
      <c r="G479" s="53" t="s">
        <v>36</v>
      </c>
      <c r="H479" s="53">
        <f>STOCK[[#This Row],[Precio Final]]</f>
        <v>22</v>
      </c>
      <c r="I479" s="53">
        <f>STOCK[[#This Row],[Precio Venta Ideal (x1.5)]]</f>
        <v>24.7568181818182</v>
      </c>
      <c r="J479" s="71">
        <v>1</v>
      </c>
      <c r="K479" s="71">
        <f>SUMIFS(VENTAS[Cantidad],VENTAS[Código del producto Vendido],STOCK[[#This Row],[Code]])</f>
        <v>1</v>
      </c>
      <c r="L479" s="71">
        <f>STOCK[[#This Row],[Entradas]]-STOCK[[#This Row],[Salidas]]</f>
        <v>0</v>
      </c>
      <c r="M479" s="53">
        <f>STOCK[[#This Row],[Precio Final]]*10%</f>
        <v>2.2</v>
      </c>
      <c r="N479" s="53">
        <v>162</v>
      </c>
      <c r="O479" s="53">
        <v>17.6</v>
      </c>
      <c r="P479" s="53">
        <v>9.20454545454545</v>
      </c>
      <c r="Q479" s="71">
        <v>300</v>
      </c>
      <c r="R479" s="53">
        <v>17</v>
      </c>
      <c r="S479" s="53">
        <f>STOCK[[#This Row],[Peso (g)]]*STOCK[[#This Row],[Precio Envío Kilogramo (USD)]]/1000</f>
        <v>5.1</v>
      </c>
      <c r="T479" s="53">
        <f>STOCK[[#This Row],[Costo Unitario (USD)]]+STOCK[[#This Row],[Costo Envío (USD)]]+STOCK[[#This Row],[Comisión 10%]]</f>
        <v>16.5045454545455</v>
      </c>
      <c r="U479" s="53">
        <f>STOCK[[#This Row],[Costo total]]*1.5</f>
        <v>24.7568181818182</v>
      </c>
      <c r="V479" s="53">
        <v>22</v>
      </c>
      <c r="W479" s="53">
        <f>STOCK[[#This Row],[Precio Final]]-STOCK[[#This Row],[Costo total]]</f>
        <v>5.49545454545455</v>
      </c>
      <c r="X479" s="53">
        <f>STOCK[[#This Row],[Ganancia Unitaria]]*STOCK[[#This Row],[Salidas]]</f>
        <v>5.49545454545455</v>
      </c>
      <c r="Y479" s="53" t="s">
        <v>896</v>
      </c>
      <c r="AA479" s="53">
        <f>STOCK[[#This Row],[Costo total]]*STOCK[[#This Row],[Entradas]]</f>
        <v>16.5045454545455</v>
      </c>
      <c r="AB479" s="53">
        <f>STOCK[[#This Row],[Stock Actual]]*STOCK[[#This Row],[Costo total]]</f>
        <v>0</v>
      </c>
    </row>
    <row r="480" s="54" customFormat="1" ht="50" customHeight="1" spans="1:28">
      <c r="A480" s="54" t="s">
        <v>998</v>
      </c>
      <c r="B480" s="66"/>
      <c r="C480" s="54" t="s">
        <v>32</v>
      </c>
      <c r="D480" s="54" t="s">
        <v>174</v>
      </c>
      <c r="E480" s="68" t="s">
        <v>999</v>
      </c>
      <c r="F480" s="54" t="s">
        <v>49</v>
      </c>
      <c r="G480" s="54" t="s">
        <v>36</v>
      </c>
      <c r="H480" s="54">
        <f>STOCK[[#This Row],[Precio Final]]</f>
        <v>14</v>
      </c>
      <c r="I480" s="54">
        <f>STOCK[[#This Row],[Precio Venta Ideal (x1.5)]]</f>
        <v>16.02</v>
      </c>
      <c r="J480" s="72">
        <v>2</v>
      </c>
      <c r="K480" s="72">
        <f>SUMIFS(VENTAS[Cantidad],VENTAS[Código del producto Vendido],STOCK[[#This Row],[Code]])</f>
        <v>2</v>
      </c>
      <c r="L480" s="72">
        <f>STOCK[[#This Row],[Entradas]]-STOCK[[#This Row],[Salidas]]</f>
        <v>0</v>
      </c>
      <c r="M480" s="54">
        <f>STOCK[[#This Row],[Precio Final]]*10%</f>
        <v>1.4</v>
      </c>
      <c r="N480" s="54">
        <v>99</v>
      </c>
      <c r="O480" s="54">
        <v>17.6</v>
      </c>
      <c r="P480" s="54">
        <v>5.625</v>
      </c>
      <c r="Q480" s="72">
        <v>215</v>
      </c>
      <c r="R480" s="54">
        <v>17</v>
      </c>
      <c r="S480" s="54">
        <f>STOCK[[#This Row],[Peso (g)]]*STOCK[[#This Row],[Precio Envío Kilogramo (USD)]]/1000</f>
        <v>3.655</v>
      </c>
      <c r="T480" s="53">
        <f>STOCK[[#This Row],[Costo Unitario (USD)]]+STOCK[[#This Row],[Costo Envío (USD)]]+STOCK[[#This Row],[Comisión 10%]]</f>
        <v>10.68</v>
      </c>
      <c r="U480" s="54">
        <f>STOCK[[#This Row],[Costo total]]*1.5</f>
        <v>16.02</v>
      </c>
      <c r="V480" s="54">
        <v>14</v>
      </c>
      <c r="W480" s="54">
        <f>STOCK[[#This Row],[Precio Final]]-STOCK[[#This Row],[Costo total]]</f>
        <v>3.32</v>
      </c>
      <c r="X480" s="54">
        <f>STOCK[[#This Row],[Ganancia Unitaria]]*STOCK[[#This Row],[Salidas]]</f>
        <v>6.64</v>
      </c>
      <c r="Y480" s="54" t="s">
        <v>896</v>
      </c>
      <c r="AA480" s="54">
        <f>STOCK[[#This Row],[Costo total]]*STOCK[[#This Row],[Entradas]]</f>
        <v>21.36</v>
      </c>
      <c r="AB480" s="54">
        <f>STOCK[[#This Row],[Stock Actual]]*STOCK[[#This Row],[Costo total]]</f>
        <v>0</v>
      </c>
    </row>
    <row r="481" s="53" customFormat="1" ht="50" customHeight="1" spans="1:28">
      <c r="A481" s="53" t="s">
        <v>1000</v>
      </c>
      <c r="B481" s="66"/>
      <c r="C481" s="53" t="s">
        <v>32</v>
      </c>
      <c r="D481" s="53" t="s">
        <v>174</v>
      </c>
      <c r="E481" s="67" t="s">
        <v>999</v>
      </c>
      <c r="F481" s="53" t="s">
        <v>62</v>
      </c>
      <c r="G481" s="53" t="s">
        <v>36</v>
      </c>
      <c r="H481" s="53">
        <f>STOCK[[#This Row],[Precio Final]]</f>
        <v>14</v>
      </c>
      <c r="I481" s="53">
        <f>STOCK[[#This Row],[Precio Venta Ideal (x1.5)]]</f>
        <v>16.02</v>
      </c>
      <c r="J481" s="71">
        <v>2</v>
      </c>
      <c r="K481" s="71">
        <f>SUMIFS(VENTAS[Cantidad],VENTAS[Código del producto Vendido],STOCK[[#This Row],[Code]])</f>
        <v>2</v>
      </c>
      <c r="L481" s="71">
        <f>STOCK[[#This Row],[Entradas]]-STOCK[[#This Row],[Salidas]]</f>
        <v>0</v>
      </c>
      <c r="M481" s="53">
        <f>STOCK[[#This Row],[Precio Final]]*10%</f>
        <v>1.4</v>
      </c>
      <c r="N481" s="53">
        <v>99</v>
      </c>
      <c r="O481" s="53">
        <v>17.6</v>
      </c>
      <c r="P481" s="53">
        <v>5.625</v>
      </c>
      <c r="Q481" s="71">
        <v>215</v>
      </c>
      <c r="R481" s="53">
        <v>17</v>
      </c>
      <c r="S481" s="53">
        <f>STOCK[[#This Row],[Peso (g)]]*STOCK[[#This Row],[Precio Envío Kilogramo (USD)]]/1000</f>
        <v>3.655</v>
      </c>
      <c r="T481" s="53">
        <f>STOCK[[#This Row],[Costo Unitario (USD)]]+STOCK[[#This Row],[Costo Envío (USD)]]+STOCK[[#This Row],[Comisión 10%]]</f>
        <v>10.68</v>
      </c>
      <c r="U481" s="53">
        <f>STOCK[[#This Row],[Costo total]]*1.5</f>
        <v>16.02</v>
      </c>
      <c r="V481" s="53">
        <v>14</v>
      </c>
      <c r="W481" s="53">
        <f>STOCK[[#This Row],[Precio Final]]-STOCK[[#This Row],[Costo total]]</f>
        <v>3.32</v>
      </c>
      <c r="X481" s="53">
        <f>STOCK[[#This Row],[Ganancia Unitaria]]*STOCK[[#This Row],[Salidas]]</f>
        <v>6.64</v>
      </c>
      <c r="Y481" s="53" t="s">
        <v>896</v>
      </c>
      <c r="AA481" s="53">
        <f>STOCK[[#This Row],[Costo total]]*STOCK[[#This Row],[Entradas]]</f>
        <v>21.36</v>
      </c>
      <c r="AB481" s="53">
        <f>STOCK[[#This Row],[Stock Actual]]*STOCK[[#This Row],[Costo total]]</f>
        <v>0</v>
      </c>
    </row>
    <row r="482" s="54" customFormat="1" ht="50" customHeight="1" spans="1:28">
      <c r="A482" s="54" t="s">
        <v>1001</v>
      </c>
      <c r="B482" s="66"/>
      <c r="C482" s="54" t="s">
        <v>32</v>
      </c>
      <c r="D482" s="54" t="s">
        <v>174</v>
      </c>
      <c r="E482" s="68" t="s">
        <v>1002</v>
      </c>
      <c r="F482" s="54" t="s">
        <v>46</v>
      </c>
      <c r="G482" s="54" t="s">
        <v>36</v>
      </c>
      <c r="H482" s="54">
        <f>STOCK[[#This Row],[Precio Final]]</f>
        <v>14</v>
      </c>
      <c r="I482" s="54">
        <f>STOCK[[#This Row],[Precio Venta Ideal (x1.5)]]</f>
        <v>16.02</v>
      </c>
      <c r="J482" s="72">
        <v>1</v>
      </c>
      <c r="K482" s="72">
        <f>SUMIFS(VENTAS[Cantidad],VENTAS[Código del producto Vendido],STOCK[[#This Row],[Code]])</f>
        <v>1</v>
      </c>
      <c r="L482" s="72">
        <f>STOCK[[#This Row],[Entradas]]-STOCK[[#This Row],[Salidas]]</f>
        <v>0</v>
      </c>
      <c r="M482" s="54">
        <f>STOCK[[#This Row],[Precio Final]]*10%</f>
        <v>1.4</v>
      </c>
      <c r="N482" s="54">
        <v>99</v>
      </c>
      <c r="O482" s="54">
        <v>17.6</v>
      </c>
      <c r="P482" s="54">
        <v>5.625</v>
      </c>
      <c r="Q482" s="72">
        <v>215</v>
      </c>
      <c r="R482" s="54">
        <v>17</v>
      </c>
      <c r="S482" s="54">
        <f>STOCK[[#This Row],[Peso (g)]]*STOCK[[#This Row],[Precio Envío Kilogramo (USD)]]/1000</f>
        <v>3.655</v>
      </c>
      <c r="T482" s="53">
        <f>STOCK[[#This Row],[Costo Unitario (USD)]]+STOCK[[#This Row],[Costo Envío (USD)]]+STOCK[[#This Row],[Comisión 10%]]</f>
        <v>10.68</v>
      </c>
      <c r="U482" s="54">
        <f>STOCK[[#This Row],[Costo total]]*1.5</f>
        <v>16.02</v>
      </c>
      <c r="V482" s="54">
        <v>14</v>
      </c>
      <c r="W482" s="54">
        <f>STOCK[[#This Row],[Precio Final]]-STOCK[[#This Row],[Costo total]]</f>
        <v>3.32</v>
      </c>
      <c r="X482" s="54">
        <f>STOCK[[#This Row],[Ganancia Unitaria]]*STOCK[[#This Row],[Salidas]]</f>
        <v>3.32</v>
      </c>
      <c r="Y482" s="54" t="s">
        <v>896</v>
      </c>
      <c r="AA482" s="54">
        <f>STOCK[[#This Row],[Costo total]]*STOCK[[#This Row],[Entradas]]</f>
        <v>10.68</v>
      </c>
      <c r="AB482" s="54">
        <f>STOCK[[#This Row],[Stock Actual]]*STOCK[[#This Row],[Costo total]]</f>
        <v>0</v>
      </c>
    </row>
    <row r="483" s="53" customFormat="1" ht="50" customHeight="1" spans="1:29">
      <c r="A483" s="53" t="s">
        <v>1003</v>
      </c>
      <c r="B483" s="66"/>
      <c r="C483" s="53" t="s">
        <v>32</v>
      </c>
      <c r="D483" s="53" t="s">
        <v>216</v>
      </c>
      <c r="E483" s="67" t="s">
        <v>1004</v>
      </c>
      <c r="F483" s="53" t="s">
        <v>62</v>
      </c>
      <c r="G483" s="53" t="s">
        <v>36</v>
      </c>
      <c r="H483" s="53">
        <f>STOCK[[#This Row],[Precio Final]]</f>
        <v>25</v>
      </c>
      <c r="I483" s="53">
        <f>STOCK[[#This Row],[Precio Venta Ideal (x1.5)]]</f>
        <v>26.740909090909</v>
      </c>
      <c r="J483" s="71">
        <v>2</v>
      </c>
      <c r="K483" s="71">
        <f>SUMIFS(VENTAS[Cantidad],VENTAS[Código del producto Vendido],STOCK[[#This Row],[Code]])</f>
        <v>2</v>
      </c>
      <c r="L483" s="71">
        <f>STOCK[[#This Row],[Entradas]]-STOCK[[#This Row],[Salidas]]</f>
        <v>0</v>
      </c>
      <c r="M483" s="53">
        <f>STOCK[[#This Row],[Precio Final]]*10%</f>
        <v>2.5</v>
      </c>
      <c r="N483" s="53">
        <v>180</v>
      </c>
      <c r="O483" s="53">
        <v>17.6</v>
      </c>
      <c r="P483" s="53">
        <v>10.2272727272727</v>
      </c>
      <c r="Q483" s="71">
        <v>300</v>
      </c>
      <c r="R483" s="53">
        <v>17</v>
      </c>
      <c r="S483" s="53">
        <f>STOCK[[#This Row],[Peso (g)]]*STOCK[[#This Row],[Precio Envío Kilogramo (USD)]]/1000</f>
        <v>5.1</v>
      </c>
      <c r="T483" s="53">
        <f>STOCK[[#This Row],[Costo Unitario (USD)]]+STOCK[[#This Row],[Costo Envío (USD)]]+STOCK[[#This Row],[Comisión 10%]]</f>
        <v>17.8272727272727</v>
      </c>
      <c r="U483" s="53">
        <f>STOCK[[#This Row],[Costo total]]*1.5</f>
        <v>26.740909090909</v>
      </c>
      <c r="V483" s="53">
        <v>25</v>
      </c>
      <c r="W483" s="53">
        <f>STOCK[[#This Row],[Precio Final]]-STOCK[[#This Row],[Costo total]]</f>
        <v>7.1727272727273</v>
      </c>
      <c r="X483" s="53">
        <f>STOCK[[#This Row],[Ganancia Unitaria]]*STOCK[[#This Row],[Salidas]]</f>
        <v>14.3454545454546</v>
      </c>
      <c r="Y483" s="53" t="s">
        <v>896</v>
      </c>
      <c r="AA483" s="53">
        <f>STOCK[[#This Row],[Costo total]]*STOCK[[#This Row],[Entradas]]</f>
        <v>35.6545454545454</v>
      </c>
      <c r="AB483" s="53">
        <f>STOCK[[#This Row],[Stock Actual]]*STOCK[[#This Row],[Costo total]]</f>
        <v>0</v>
      </c>
      <c r="AC483" s="53">
        <v>22</v>
      </c>
    </row>
    <row r="484" s="54" customFormat="1" ht="50" customHeight="1" spans="1:28">
      <c r="A484" s="54" t="s">
        <v>1005</v>
      </c>
      <c r="B484" s="66"/>
      <c r="C484" s="54" t="s">
        <v>32</v>
      </c>
      <c r="D484" s="54" t="s">
        <v>44</v>
      </c>
      <c r="E484" s="68" t="s">
        <v>1004</v>
      </c>
      <c r="F484" s="54" t="s">
        <v>1006</v>
      </c>
      <c r="G484" s="54" t="s">
        <v>36</v>
      </c>
      <c r="H484" s="54">
        <f>STOCK[[#This Row],[Precio Final]]</f>
        <v>25</v>
      </c>
      <c r="I484" s="54">
        <f>STOCK[[#This Row],[Precio Venta Ideal (x1.5)]]</f>
        <v>26.740909090909</v>
      </c>
      <c r="J484" s="72">
        <v>2</v>
      </c>
      <c r="K484" s="72">
        <f>SUMIFS(VENTAS[Cantidad],VENTAS[Código del producto Vendido],STOCK[[#This Row],[Code]])</f>
        <v>2</v>
      </c>
      <c r="L484" s="72">
        <f>STOCK[[#This Row],[Entradas]]-STOCK[[#This Row],[Salidas]]</f>
        <v>0</v>
      </c>
      <c r="M484" s="54">
        <f>STOCK[[#This Row],[Precio Final]]*10%</f>
        <v>2.5</v>
      </c>
      <c r="N484" s="54">
        <v>180</v>
      </c>
      <c r="O484" s="54">
        <v>17.6</v>
      </c>
      <c r="P484" s="54">
        <v>10.2272727272727</v>
      </c>
      <c r="Q484" s="72">
        <v>300</v>
      </c>
      <c r="R484" s="54">
        <v>17</v>
      </c>
      <c r="S484" s="54">
        <f>STOCK[[#This Row],[Peso (g)]]*STOCK[[#This Row],[Precio Envío Kilogramo (USD)]]/1000</f>
        <v>5.1</v>
      </c>
      <c r="T484" s="53">
        <f>STOCK[[#This Row],[Costo Unitario (USD)]]+STOCK[[#This Row],[Costo Envío (USD)]]+STOCK[[#This Row],[Comisión 10%]]</f>
        <v>17.8272727272727</v>
      </c>
      <c r="U484" s="54">
        <f>STOCK[[#This Row],[Costo total]]*1.5</f>
        <v>26.740909090909</v>
      </c>
      <c r="V484" s="54">
        <v>25</v>
      </c>
      <c r="W484" s="54">
        <f>STOCK[[#This Row],[Precio Final]]-STOCK[[#This Row],[Costo total]]</f>
        <v>7.1727272727273</v>
      </c>
      <c r="X484" s="54">
        <f>STOCK[[#This Row],[Ganancia Unitaria]]*STOCK[[#This Row],[Salidas]]</f>
        <v>14.3454545454546</v>
      </c>
      <c r="Y484" s="54" t="s">
        <v>896</v>
      </c>
      <c r="AA484" s="54">
        <f>STOCK[[#This Row],[Costo total]]*STOCK[[#This Row],[Entradas]]</f>
        <v>35.6545454545454</v>
      </c>
      <c r="AB484" s="54">
        <f>STOCK[[#This Row],[Stock Actual]]*STOCK[[#This Row],[Costo total]]</f>
        <v>0</v>
      </c>
    </row>
    <row r="485" s="53" customFormat="1" ht="50" customHeight="1" spans="1:28">
      <c r="A485" s="53" t="s">
        <v>1007</v>
      </c>
      <c r="B485" s="66"/>
      <c r="C485" s="53" t="s">
        <v>32</v>
      </c>
      <c r="D485" s="53" t="s">
        <v>38</v>
      </c>
      <c r="E485" s="67" t="s">
        <v>1008</v>
      </c>
      <c r="F485" s="53" t="s">
        <v>49</v>
      </c>
      <c r="G485" s="53" t="s">
        <v>36</v>
      </c>
      <c r="H485" s="53">
        <f>STOCK[[#This Row],[Precio Final]]</f>
        <v>25</v>
      </c>
      <c r="I485" s="53">
        <f>STOCK[[#This Row],[Precio Venta Ideal (x1.5)]]</f>
        <v>25.7181818181818</v>
      </c>
      <c r="J485" s="71">
        <v>2</v>
      </c>
      <c r="K485" s="71">
        <f>SUMIFS(VENTAS[Cantidad],VENTAS[Código del producto Vendido],STOCK[[#This Row],[Code]])</f>
        <v>2</v>
      </c>
      <c r="L485" s="71">
        <f>STOCK[[#This Row],[Entradas]]-STOCK[[#This Row],[Salidas]]</f>
        <v>0</v>
      </c>
      <c r="M485" s="53">
        <f>STOCK[[#This Row],[Precio Final]]*10%</f>
        <v>2.5</v>
      </c>
      <c r="N485" s="53">
        <v>168</v>
      </c>
      <c r="O485" s="53">
        <v>17.6</v>
      </c>
      <c r="P485" s="53">
        <v>9.54545454545454</v>
      </c>
      <c r="Q485" s="71">
        <v>300</v>
      </c>
      <c r="R485" s="53">
        <v>17</v>
      </c>
      <c r="S485" s="53">
        <f>STOCK[[#This Row],[Peso (g)]]*STOCK[[#This Row],[Precio Envío Kilogramo (USD)]]/1000</f>
        <v>5.1</v>
      </c>
      <c r="T485" s="53">
        <f>STOCK[[#This Row],[Costo Unitario (USD)]]+STOCK[[#This Row],[Costo Envío (USD)]]+STOCK[[#This Row],[Comisión 10%]]</f>
        <v>17.1454545454545</v>
      </c>
      <c r="U485" s="53">
        <f>STOCK[[#This Row],[Costo total]]*1.5</f>
        <v>25.7181818181818</v>
      </c>
      <c r="V485" s="53">
        <v>25</v>
      </c>
      <c r="W485" s="53">
        <f>STOCK[[#This Row],[Precio Final]]-STOCK[[#This Row],[Costo total]]</f>
        <v>7.85454545454546</v>
      </c>
      <c r="X485" s="53">
        <f>STOCK[[#This Row],[Ganancia Unitaria]]*STOCK[[#This Row],[Salidas]]</f>
        <v>15.7090909090909</v>
      </c>
      <c r="Y485" s="53" t="s">
        <v>896</v>
      </c>
      <c r="AA485" s="53">
        <f>STOCK[[#This Row],[Costo total]]*STOCK[[#This Row],[Entradas]]</f>
        <v>34.2909090909091</v>
      </c>
      <c r="AB485" s="53">
        <f>STOCK[[#This Row],[Stock Actual]]*STOCK[[#This Row],[Costo total]]</f>
        <v>0</v>
      </c>
    </row>
    <row r="486" s="54" customFormat="1" ht="50" customHeight="1" spans="1:28">
      <c r="A486" s="54" t="s">
        <v>1009</v>
      </c>
      <c r="B486" s="66"/>
      <c r="C486" s="54" t="s">
        <v>32</v>
      </c>
      <c r="D486" s="54" t="s">
        <v>1010</v>
      </c>
      <c r="E486" s="68" t="s">
        <v>1011</v>
      </c>
      <c r="F486" s="54" t="s">
        <v>83</v>
      </c>
      <c r="G486" s="54" t="s">
        <v>36</v>
      </c>
      <c r="H486" s="54">
        <f>STOCK[[#This Row],[Precio Final]]</f>
        <v>35</v>
      </c>
      <c r="I486" s="54">
        <f>STOCK[[#This Row],[Precio Venta Ideal (x1.5)]]</f>
        <v>42.3443181818183</v>
      </c>
      <c r="J486" s="72">
        <v>1</v>
      </c>
      <c r="K486" s="72">
        <f>SUMIFS(VENTAS[Cantidad],VENTAS[Código del producto Vendido],STOCK[[#This Row],[Code]])</f>
        <v>1</v>
      </c>
      <c r="L486" s="72">
        <f>STOCK[[#This Row],[Entradas]]-STOCK[[#This Row],[Salidas]]</f>
        <v>0</v>
      </c>
      <c r="M486" s="54">
        <f>STOCK[[#This Row],[Precio Final]]*10%</f>
        <v>3.5</v>
      </c>
      <c r="N486" s="54">
        <v>272</v>
      </c>
      <c r="O486" s="54">
        <v>17.6</v>
      </c>
      <c r="P486" s="54">
        <v>15.4545454545455</v>
      </c>
      <c r="Q486" s="72">
        <v>530</v>
      </c>
      <c r="R486" s="54">
        <v>17.5</v>
      </c>
      <c r="S486" s="54">
        <f>STOCK[[#This Row],[Peso (g)]]*STOCK[[#This Row],[Precio Envío Kilogramo (USD)]]/1000</f>
        <v>9.275</v>
      </c>
      <c r="T486" s="53">
        <f>STOCK[[#This Row],[Costo Unitario (USD)]]+STOCK[[#This Row],[Costo Envío (USD)]]+STOCK[[#This Row],[Comisión 10%]]</f>
        <v>28.2295454545455</v>
      </c>
      <c r="U486" s="54">
        <f>STOCK[[#This Row],[Costo total]]*1.5</f>
        <v>42.3443181818183</v>
      </c>
      <c r="V486" s="54">
        <v>35</v>
      </c>
      <c r="W486" s="54">
        <f>STOCK[[#This Row],[Precio Final]]-STOCK[[#This Row],[Costo total]]</f>
        <v>6.7704545454545</v>
      </c>
      <c r="X486" s="54">
        <f>STOCK[[#This Row],[Ganancia Unitaria]]*STOCK[[#This Row],[Salidas]]</f>
        <v>6.7704545454545</v>
      </c>
      <c r="Y486" s="54" t="s">
        <v>928</v>
      </c>
      <c r="AA486" s="54">
        <f>STOCK[[#This Row],[Costo total]]*STOCK[[#This Row],[Entradas]]</f>
        <v>28.2295454545455</v>
      </c>
      <c r="AB486" s="54">
        <f>STOCK[[#This Row],[Stock Actual]]*STOCK[[#This Row],[Costo total]]</f>
        <v>0</v>
      </c>
    </row>
    <row r="487" s="53" customFormat="1" ht="50" customHeight="1" spans="1:28">
      <c r="A487" s="53" t="s">
        <v>1012</v>
      </c>
      <c r="B487" s="66"/>
      <c r="C487" s="53" t="s">
        <v>32</v>
      </c>
      <c r="D487" s="53" t="s">
        <v>213</v>
      </c>
      <c r="E487" s="67" t="s">
        <v>1011</v>
      </c>
      <c r="F487" s="53" t="s">
        <v>46</v>
      </c>
      <c r="G487" s="53" t="s">
        <v>36</v>
      </c>
      <c r="H487" s="53">
        <f>STOCK[[#This Row],[Precio Final]]</f>
        <v>35</v>
      </c>
      <c r="I487" s="53">
        <f>STOCK[[#This Row],[Precio Venta Ideal (x1.5)]]</f>
        <v>41.5568181818183</v>
      </c>
      <c r="J487" s="71">
        <v>1</v>
      </c>
      <c r="K487" s="71">
        <f>SUMIFS(VENTAS[Cantidad],VENTAS[Código del producto Vendido],STOCK[[#This Row],[Code]])</f>
        <v>1</v>
      </c>
      <c r="L487" s="71">
        <f>STOCK[[#This Row],[Entradas]]-STOCK[[#This Row],[Salidas]]</f>
        <v>0</v>
      </c>
      <c r="M487" s="53">
        <f>STOCK[[#This Row],[Precio Final]]*10%</f>
        <v>3.5</v>
      </c>
      <c r="N487" s="53">
        <v>272</v>
      </c>
      <c r="O487" s="53">
        <v>17.6</v>
      </c>
      <c r="P487" s="53">
        <v>15.4545454545455</v>
      </c>
      <c r="Q487" s="71">
        <v>500</v>
      </c>
      <c r="R487" s="53">
        <v>17.5</v>
      </c>
      <c r="S487" s="53">
        <f>STOCK[[#This Row],[Peso (g)]]*STOCK[[#This Row],[Precio Envío Kilogramo (USD)]]/1000</f>
        <v>8.75</v>
      </c>
      <c r="T487" s="53">
        <f>STOCK[[#This Row],[Costo Unitario (USD)]]+STOCK[[#This Row],[Costo Envío (USD)]]+STOCK[[#This Row],[Comisión 10%]]</f>
        <v>27.7045454545455</v>
      </c>
      <c r="U487" s="53">
        <f>STOCK[[#This Row],[Costo total]]*1.5</f>
        <v>41.5568181818183</v>
      </c>
      <c r="V487" s="53">
        <v>35</v>
      </c>
      <c r="W487" s="53">
        <f>STOCK[[#This Row],[Precio Final]]-STOCK[[#This Row],[Costo total]]</f>
        <v>7.2954545454545</v>
      </c>
      <c r="X487" s="53">
        <f>STOCK[[#This Row],[Ganancia Unitaria]]*STOCK[[#This Row],[Salidas]]</f>
        <v>7.2954545454545</v>
      </c>
      <c r="Y487" s="53" t="s">
        <v>928</v>
      </c>
      <c r="AA487" s="53">
        <f>STOCK[[#This Row],[Costo total]]*STOCK[[#This Row],[Entradas]]</f>
        <v>27.7045454545455</v>
      </c>
      <c r="AB487" s="53">
        <f>STOCK[[#This Row],[Stock Actual]]*STOCK[[#This Row],[Costo total]]</f>
        <v>0</v>
      </c>
    </row>
    <row r="488" s="54" customFormat="1" ht="50" customHeight="1" spans="1:28">
      <c r="A488" s="54" t="s">
        <v>1013</v>
      </c>
      <c r="B488" s="66"/>
      <c r="C488" s="54" t="s">
        <v>32</v>
      </c>
      <c r="D488" s="54" t="s">
        <v>1014</v>
      </c>
      <c r="E488" s="68" t="s">
        <v>1011</v>
      </c>
      <c r="F488" s="54" t="s">
        <v>211</v>
      </c>
      <c r="G488" s="54" t="s">
        <v>36</v>
      </c>
      <c r="H488" s="54">
        <f>STOCK[[#This Row],[Precio Final]]</f>
        <v>35</v>
      </c>
      <c r="I488" s="54">
        <f>STOCK[[#This Row],[Precio Venta Ideal (x1.5)]]</f>
        <v>38.5380681818182</v>
      </c>
      <c r="J488" s="72">
        <v>2</v>
      </c>
      <c r="K488" s="72">
        <f>SUMIFS(VENTAS[Cantidad],VENTAS[Código del producto Vendido],STOCK[[#This Row],[Code]])</f>
        <v>2</v>
      </c>
      <c r="L488" s="72">
        <f>STOCK[[#This Row],[Entradas]]-STOCK[[#This Row],[Salidas]]</f>
        <v>0</v>
      </c>
      <c r="M488" s="54">
        <f>STOCK[[#This Row],[Precio Final]]*10%</f>
        <v>3.5</v>
      </c>
      <c r="N488" s="54">
        <v>272</v>
      </c>
      <c r="O488" s="54">
        <v>17.6</v>
      </c>
      <c r="P488" s="54">
        <v>15.4545454545455</v>
      </c>
      <c r="Q488" s="72">
        <v>385</v>
      </c>
      <c r="R488" s="54">
        <v>17.5</v>
      </c>
      <c r="S488" s="54">
        <f>STOCK[[#This Row],[Peso (g)]]*STOCK[[#This Row],[Precio Envío Kilogramo (USD)]]/1000</f>
        <v>6.7375</v>
      </c>
      <c r="T488" s="53">
        <f>STOCK[[#This Row],[Costo Unitario (USD)]]+STOCK[[#This Row],[Costo Envío (USD)]]+STOCK[[#This Row],[Comisión 10%]]</f>
        <v>25.6920454545455</v>
      </c>
      <c r="U488" s="54">
        <f>STOCK[[#This Row],[Costo total]]*1.5</f>
        <v>38.5380681818182</v>
      </c>
      <c r="V488" s="54">
        <v>35</v>
      </c>
      <c r="W488" s="54">
        <f>STOCK[[#This Row],[Precio Final]]-STOCK[[#This Row],[Costo total]]</f>
        <v>9.3079545454545</v>
      </c>
      <c r="X488" s="54">
        <f>STOCK[[#This Row],[Ganancia Unitaria]]*STOCK[[#This Row],[Salidas]]</f>
        <v>18.615909090909</v>
      </c>
      <c r="Y488" s="54" t="s">
        <v>896</v>
      </c>
      <c r="AA488" s="54">
        <f>STOCK[[#This Row],[Costo total]]*STOCK[[#This Row],[Entradas]]</f>
        <v>51.384090909091</v>
      </c>
      <c r="AB488" s="54">
        <f>STOCK[[#This Row],[Stock Actual]]*STOCK[[#This Row],[Costo total]]</f>
        <v>0</v>
      </c>
    </row>
    <row r="489" s="53" customFormat="1" ht="50" customHeight="1" spans="1:28">
      <c r="A489" s="53" t="s">
        <v>1015</v>
      </c>
      <c r="B489" s="66"/>
      <c r="C489" s="53" t="s">
        <v>32</v>
      </c>
      <c r="D489" s="53" t="s">
        <v>546</v>
      </c>
      <c r="E489" s="67" t="s">
        <v>1016</v>
      </c>
      <c r="F489" s="53" t="s">
        <v>49</v>
      </c>
      <c r="G489" s="53" t="s">
        <v>36</v>
      </c>
      <c r="H489" s="53">
        <f>STOCK[[#This Row],[Precio Final]]</f>
        <v>12</v>
      </c>
      <c r="I489" s="53">
        <f>STOCK[[#This Row],[Precio Venta Ideal (x1.5)]]</f>
        <v>13.3482954545455</v>
      </c>
      <c r="J489" s="71">
        <v>2</v>
      </c>
      <c r="K489" s="71">
        <f>SUMIFS(VENTAS[Cantidad],VENTAS[Código del producto Vendido],STOCK[[#This Row],[Code]])</f>
        <v>2</v>
      </c>
      <c r="L489" s="71">
        <f>STOCK[[#This Row],[Entradas]]-STOCK[[#This Row],[Salidas]]</f>
        <v>0</v>
      </c>
      <c r="M489" s="53">
        <f>STOCK[[#This Row],[Precio Final]]*10%</f>
        <v>1.2</v>
      </c>
      <c r="N489" s="53">
        <v>97</v>
      </c>
      <c r="O489" s="53">
        <v>17.6</v>
      </c>
      <c r="P489" s="53">
        <v>5.51136363636364</v>
      </c>
      <c r="Q489" s="71">
        <v>125</v>
      </c>
      <c r="R489" s="53">
        <v>17.5</v>
      </c>
      <c r="S489" s="53">
        <f>STOCK[[#This Row],[Peso (g)]]*STOCK[[#This Row],[Precio Envío Kilogramo (USD)]]/1000</f>
        <v>2.1875</v>
      </c>
      <c r="T489" s="53">
        <f>STOCK[[#This Row],[Costo Unitario (USD)]]+STOCK[[#This Row],[Costo Envío (USD)]]+STOCK[[#This Row],[Comisión 10%]]</f>
        <v>8.89886363636364</v>
      </c>
      <c r="U489" s="53">
        <f>STOCK[[#This Row],[Costo total]]*1.5</f>
        <v>13.3482954545455</v>
      </c>
      <c r="V489" s="53">
        <v>12</v>
      </c>
      <c r="W489" s="53">
        <f>STOCK[[#This Row],[Precio Final]]-STOCK[[#This Row],[Costo total]]</f>
        <v>3.10113636363636</v>
      </c>
      <c r="X489" s="53">
        <f>STOCK[[#This Row],[Ganancia Unitaria]]*STOCK[[#This Row],[Salidas]]</f>
        <v>6.20227272727272</v>
      </c>
      <c r="Y489" s="53" t="s">
        <v>928</v>
      </c>
      <c r="AA489" s="53">
        <f>STOCK[[#This Row],[Costo total]]*STOCK[[#This Row],[Entradas]]</f>
        <v>17.7977272727273</v>
      </c>
      <c r="AB489" s="53">
        <f>STOCK[[#This Row],[Stock Actual]]*STOCK[[#This Row],[Costo total]]</f>
        <v>0</v>
      </c>
    </row>
    <row r="490" s="54" customFormat="1" ht="50" customHeight="1" spans="1:28">
      <c r="A490" s="54" t="s">
        <v>1017</v>
      </c>
      <c r="B490" s="66"/>
      <c r="C490" s="54" t="s">
        <v>32</v>
      </c>
      <c r="D490" s="54" t="s">
        <v>174</v>
      </c>
      <c r="E490" s="68" t="s">
        <v>1018</v>
      </c>
      <c r="F490" s="54" t="s">
        <v>40</v>
      </c>
      <c r="G490" s="54" t="s">
        <v>36</v>
      </c>
      <c r="H490" s="54">
        <f>STOCK[[#This Row],[Precio Final]]</f>
        <v>12</v>
      </c>
      <c r="I490" s="54">
        <f>STOCK[[#This Row],[Precio Venta Ideal (x1.5)]]</f>
        <v>12.5352272727273</v>
      </c>
      <c r="J490" s="72">
        <v>1</v>
      </c>
      <c r="K490" s="72">
        <f>SUMIFS(VENTAS[Cantidad],VENTAS[Código del producto Vendido],STOCK[[#This Row],[Code]])</f>
        <v>1</v>
      </c>
      <c r="L490" s="72">
        <f>STOCK[[#This Row],[Entradas]]-STOCK[[#This Row],[Salidas]]</f>
        <v>0</v>
      </c>
      <c r="M490" s="54">
        <f>STOCK[[#This Row],[Precio Final]]*10%</f>
        <v>1.2</v>
      </c>
      <c r="N490" s="54">
        <v>89</v>
      </c>
      <c r="O490" s="54">
        <v>17.6</v>
      </c>
      <c r="P490" s="54">
        <v>5.05681818181818</v>
      </c>
      <c r="Q490" s="72">
        <v>120</v>
      </c>
      <c r="R490" s="54">
        <v>17.5</v>
      </c>
      <c r="S490" s="54">
        <f>STOCK[[#This Row],[Peso (g)]]*STOCK[[#This Row],[Precio Envío Kilogramo (USD)]]/1000</f>
        <v>2.1</v>
      </c>
      <c r="T490" s="53">
        <f>STOCK[[#This Row],[Costo Unitario (USD)]]+STOCK[[#This Row],[Costo Envío (USD)]]+STOCK[[#This Row],[Comisión 10%]]</f>
        <v>8.35681818181818</v>
      </c>
      <c r="U490" s="54">
        <f>STOCK[[#This Row],[Costo total]]*1.5</f>
        <v>12.5352272727273</v>
      </c>
      <c r="V490" s="54">
        <v>12</v>
      </c>
      <c r="W490" s="54">
        <f>STOCK[[#This Row],[Precio Final]]-STOCK[[#This Row],[Costo total]]</f>
        <v>3.64318181818182</v>
      </c>
      <c r="X490" s="54">
        <f>STOCK[[#This Row],[Ganancia Unitaria]]*STOCK[[#This Row],[Salidas]]</f>
        <v>3.64318181818182</v>
      </c>
      <c r="Y490" s="54" t="s">
        <v>896</v>
      </c>
      <c r="AA490" s="54">
        <f>STOCK[[#This Row],[Costo total]]*STOCK[[#This Row],[Entradas]]</f>
        <v>8.35681818181818</v>
      </c>
      <c r="AB490" s="54">
        <f>STOCK[[#This Row],[Stock Actual]]*STOCK[[#This Row],[Costo total]]</f>
        <v>0</v>
      </c>
    </row>
    <row r="491" s="53" customFormat="1" ht="50" customHeight="1" spans="1:28">
      <c r="A491" s="53" t="s">
        <v>1019</v>
      </c>
      <c r="B491" s="66"/>
      <c r="C491" s="53" t="s">
        <v>32</v>
      </c>
      <c r="D491" s="53" t="s">
        <v>174</v>
      </c>
      <c r="E491" s="67" t="s">
        <v>1018</v>
      </c>
      <c r="F491" s="53" t="s">
        <v>62</v>
      </c>
      <c r="G491" s="53" t="s">
        <v>36</v>
      </c>
      <c r="H491" s="53">
        <f>STOCK[[#This Row],[Precio Final]]</f>
        <v>12</v>
      </c>
      <c r="I491" s="53">
        <f>STOCK[[#This Row],[Precio Venta Ideal (x1.5)]]</f>
        <v>12.5352272727273</v>
      </c>
      <c r="J491" s="71">
        <v>2</v>
      </c>
      <c r="K491" s="71">
        <f>SUMIFS(VENTAS[Cantidad],VENTAS[Código del producto Vendido],STOCK[[#This Row],[Code]])</f>
        <v>2</v>
      </c>
      <c r="L491" s="71">
        <f>STOCK[[#This Row],[Entradas]]-STOCK[[#This Row],[Salidas]]</f>
        <v>0</v>
      </c>
      <c r="M491" s="53">
        <f>STOCK[[#This Row],[Precio Final]]*10%</f>
        <v>1.2</v>
      </c>
      <c r="N491" s="53">
        <v>89</v>
      </c>
      <c r="O491" s="53">
        <v>17.6</v>
      </c>
      <c r="P491" s="53">
        <v>5.05681818181818</v>
      </c>
      <c r="Q491" s="71">
        <v>120</v>
      </c>
      <c r="R491" s="53">
        <v>17.5</v>
      </c>
      <c r="S491" s="53">
        <f>STOCK[[#This Row],[Peso (g)]]*STOCK[[#This Row],[Precio Envío Kilogramo (USD)]]/1000</f>
        <v>2.1</v>
      </c>
      <c r="T491" s="53">
        <f>STOCK[[#This Row],[Costo Unitario (USD)]]+STOCK[[#This Row],[Costo Envío (USD)]]+STOCK[[#This Row],[Comisión 10%]]</f>
        <v>8.35681818181818</v>
      </c>
      <c r="U491" s="53">
        <f>STOCK[[#This Row],[Costo total]]*1.5</f>
        <v>12.5352272727273</v>
      </c>
      <c r="V491" s="53">
        <v>12</v>
      </c>
      <c r="W491" s="53">
        <f>STOCK[[#This Row],[Precio Final]]-STOCK[[#This Row],[Costo total]]</f>
        <v>3.64318181818182</v>
      </c>
      <c r="X491" s="53">
        <f>STOCK[[#This Row],[Ganancia Unitaria]]*STOCK[[#This Row],[Salidas]]</f>
        <v>7.28636363636364</v>
      </c>
      <c r="Y491" s="53" t="s">
        <v>928</v>
      </c>
      <c r="AA491" s="53">
        <f>STOCK[[#This Row],[Costo total]]*STOCK[[#This Row],[Entradas]]</f>
        <v>16.7136363636364</v>
      </c>
      <c r="AB491" s="53">
        <f>STOCK[[#This Row],[Stock Actual]]*STOCK[[#This Row],[Costo total]]</f>
        <v>0</v>
      </c>
    </row>
    <row r="492" s="54" customFormat="1" ht="50" customHeight="1" spans="1:28">
      <c r="A492" s="54" t="s">
        <v>1020</v>
      </c>
      <c r="B492" s="66"/>
      <c r="C492" s="54" t="s">
        <v>32</v>
      </c>
      <c r="D492" s="54" t="s">
        <v>174</v>
      </c>
      <c r="E492" s="68" t="s">
        <v>1018</v>
      </c>
      <c r="F492" s="54" t="s">
        <v>49</v>
      </c>
      <c r="G492" s="54" t="s">
        <v>36</v>
      </c>
      <c r="H492" s="54">
        <f>STOCK[[#This Row],[Precio Final]]</f>
        <v>12</v>
      </c>
      <c r="I492" s="54">
        <f>STOCK[[#This Row],[Precio Venta Ideal (x1.5)]]</f>
        <v>12.5352272727273</v>
      </c>
      <c r="J492" s="72">
        <v>1</v>
      </c>
      <c r="K492" s="72">
        <f>SUMIFS(VENTAS[Cantidad],VENTAS[Código del producto Vendido],STOCK[[#This Row],[Code]])</f>
        <v>1</v>
      </c>
      <c r="L492" s="72">
        <f>STOCK[[#This Row],[Entradas]]-STOCK[[#This Row],[Salidas]]</f>
        <v>0</v>
      </c>
      <c r="M492" s="54">
        <f>STOCK[[#This Row],[Precio Final]]*10%</f>
        <v>1.2</v>
      </c>
      <c r="N492" s="54">
        <v>89</v>
      </c>
      <c r="O492" s="54">
        <v>17.6</v>
      </c>
      <c r="P492" s="54">
        <v>5.05681818181818</v>
      </c>
      <c r="Q492" s="72">
        <v>120</v>
      </c>
      <c r="R492" s="54">
        <v>17.5</v>
      </c>
      <c r="S492" s="54">
        <f>STOCK[[#This Row],[Peso (g)]]*STOCK[[#This Row],[Precio Envío Kilogramo (USD)]]/1000</f>
        <v>2.1</v>
      </c>
      <c r="T492" s="53">
        <f>STOCK[[#This Row],[Costo Unitario (USD)]]+STOCK[[#This Row],[Costo Envío (USD)]]+STOCK[[#This Row],[Comisión 10%]]</f>
        <v>8.35681818181818</v>
      </c>
      <c r="U492" s="54">
        <f>STOCK[[#This Row],[Costo total]]*1.5</f>
        <v>12.5352272727273</v>
      </c>
      <c r="V492" s="54">
        <v>12</v>
      </c>
      <c r="W492" s="54">
        <f>STOCK[[#This Row],[Precio Final]]-STOCK[[#This Row],[Costo total]]</f>
        <v>3.64318181818182</v>
      </c>
      <c r="X492" s="54">
        <f>STOCK[[#This Row],[Ganancia Unitaria]]*STOCK[[#This Row],[Salidas]]</f>
        <v>3.64318181818182</v>
      </c>
      <c r="Y492" s="54" t="s">
        <v>928</v>
      </c>
      <c r="AA492" s="54">
        <f>STOCK[[#This Row],[Costo total]]*STOCK[[#This Row],[Entradas]]</f>
        <v>8.35681818181818</v>
      </c>
      <c r="AB492" s="54">
        <f>STOCK[[#This Row],[Stock Actual]]*STOCK[[#This Row],[Costo total]]</f>
        <v>0</v>
      </c>
    </row>
    <row r="493" s="53" customFormat="1" ht="50" customHeight="1" spans="1:29">
      <c r="A493" s="53" t="s">
        <v>1021</v>
      </c>
      <c r="B493" s="66"/>
      <c r="C493" s="53" t="s">
        <v>32</v>
      </c>
      <c r="D493" s="53" t="s">
        <v>196</v>
      </c>
      <c r="E493" s="67" t="s">
        <v>1022</v>
      </c>
      <c r="F493" s="53" t="s">
        <v>40</v>
      </c>
      <c r="G493" s="53" t="s">
        <v>36</v>
      </c>
      <c r="H493" s="53">
        <f>STOCK[[#This Row],[Precio Final]]</f>
        <v>20</v>
      </c>
      <c r="I493" s="53">
        <f>STOCK[[#This Row],[Precio Venta Ideal (x1.5)]]</f>
        <v>15.1575</v>
      </c>
      <c r="J493" s="71">
        <v>2</v>
      </c>
      <c r="K493" s="71">
        <f>SUMIFS(VENTAS[Cantidad],VENTAS[Código del producto Vendido],STOCK[[#This Row],[Code]])</f>
        <v>1</v>
      </c>
      <c r="L493" s="71">
        <f>STOCK[[#This Row],[Entradas]]-STOCK[[#This Row],[Salidas]]</f>
        <v>1</v>
      </c>
      <c r="M493" s="53">
        <f>STOCK[[#This Row],[Precio Final]]*10%</f>
        <v>2</v>
      </c>
      <c r="N493" s="53">
        <v>110</v>
      </c>
      <c r="O493" s="53">
        <v>17.6</v>
      </c>
      <c r="P493" s="53">
        <v>6.25</v>
      </c>
      <c r="Q493" s="71">
        <v>106</v>
      </c>
      <c r="R493" s="53">
        <v>17.5</v>
      </c>
      <c r="S493" s="53">
        <f>STOCK[[#This Row],[Peso (g)]]*STOCK[[#This Row],[Precio Envío Kilogramo (USD)]]/1000</f>
        <v>1.855</v>
      </c>
      <c r="T493" s="53">
        <f>STOCK[[#This Row],[Costo Unitario (USD)]]+STOCK[[#This Row],[Costo Envío (USD)]]+STOCK[[#This Row],[Comisión 10%]]</f>
        <v>10.105</v>
      </c>
      <c r="U493" s="53">
        <f>STOCK[[#This Row],[Costo total]]*1.5</f>
        <v>15.1575</v>
      </c>
      <c r="V493" s="53">
        <v>20</v>
      </c>
      <c r="W493" s="53">
        <f>STOCK[[#This Row],[Precio Final]]-STOCK[[#This Row],[Costo total]]</f>
        <v>9.895</v>
      </c>
      <c r="X493" s="53">
        <f>STOCK[[#This Row],[Ganancia Unitaria]]*STOCK[[#This Row],[Salidas]]</f>
        <v>9.895</v>
      </c>
      <c r="AA493" s="53">
        <f>STOCK[[#This Row],[Costo total]]*STOCK[[#This Row],[Entradas]]</f>
        <v>20.21</v>
      </c>
      <c r="AB493" s="53">
        <f>STOCK[[#This Row],[Stock Actual]]*STOCK[[#This Row],[Costo total]]</f>
        <v>10.105</v>
      </c>
      <c r="AC493" s="53">
        <v>15</v>
      </c>
    </row>
    <row r="494" s="54" customFormat="1" ht="50" customHeight="1" spans="1:28">
      <c r="A494" s="54" t="s">
        <v>1023</v>
      </c>
      <c r="B494" s="66"/>
      <c r="C494" s="54" t="s">
        <v>32</v>
      </c>
      <c r="D494" s="54" t="s">
        <v>152</v>
      </c>
      <c r="E494" s="68" t="s">
        <v>1024</v>
      </c>
      <c r="F494" s="54" t="s">
        <v>62</v>
      </c>
      <c r="G494" s="54" t="s">
        <v>36</v>
      </c>
      <c r="H494" s="54">
        <f>STOCK[[#This Row],[Precio Final]]</f>
        <v>19</v>
      </c>
      <c r="I494" s="54">
        <f>STOCK[[#This Row],[Precio Venta Ideal (x1.5)]]</f>
        <v>15.0075</v>
      </c>
      <c r="J494" s="72">
        <v>1</v>
      </c>
      <c r="K494" s="72">
        <f>SUMIFS(VENTAS[Cantidad],VENTAS[Código del producto Vendido],STOCK[[#This Row],[Code]])</f>
        <v>1</v>
      </c>
      <c r="L494" s="72">
        <f>STOCK[[#This Row],[Entradas]]-STOCK[[#This Row],[Salidas]]</f>
        <v>0</v>
      </c>
      <c r="M494" s="54">
        <f>STOCK[[#This Row],[Precio Final]]*10%</f>
        <v>1.9</v>
      </c>
      <c r="N494" s="54">
        <v>110</v>
      </c>
      <c r="O494" s="54">
        <v>17.6</v>
      </c>
      <c r="P494" s="54">
        <v>6.25</v>
      </c>
      <c r="Q494" s="72">
        <v>106</v>
      </c>
      <c r="R494" s="54">
        <v>17.5</v>
      </c>
      <c r="S494" s="54">
        <f>STOCK[[#This Row],[Peso (g)]]*STOCK[[#This Row],[Precio Envío Kilogramo (USD)]]/1000</f>
        <v>1.855</v>
      </c>
      <c r="T494" s="53">
        <f>STOCK[[#This Row],[Costo Unitario (USD)]]+STOCK[[#This Row],[Costo Envío (USD)]]+STOCK[[#This Row],[Comisión 10%]]</f>
        <v>10.005</v>
      </c>
      <c r="U494" s="54">
        <f>STOCK[[#This Row],[Costo total]]*1.5</f>
        <v>15.0075</v>
      </c>
      <c r="V494" s="54">
        <v>19</v>
      </c>
      <c r="W494" s="54">
        <f>STOCK[[#This Row],[Precio Final]]-STOCK[[#This Row],[Costo total]]</f>
        <v>8.995</v>
      </c>
      <c r="X494" s="54">
        <f>STOCK[[#This Row],[Ganancia Unitaria]]*STOCK[[#This Row],[Salidas]]</f>
        <v>8.995</v>
      </c>
      <c r="AA494" s="54">
        <f>STOCK[[#This Row],[Costo total]]*STOCK[[#This Row],[Entradas]]</f>
        <v>10.005</v>
      </c>
      <c r="AB494" s="54">
        <f>STOCK[[#This Row],[Stock Actual]]*STOCK[[#This Row],[Costo total]]</f>
        <v>0</v>
      </c>
    </row>
    <row r="495" s="53" customFormat="1" ht="50" customHeight="1" spans="1:28">
      <c r="A495" s="53" t="s">
        <v>1025</v>
      </c>
      <c r="B495" s="66"/>
      <c r="C495" s="53" t="s">
        <v>32</v>
      </c>
      <c r="D495" s="53" t="s">
        <v>152</v>
      </c>
      <c r="E495" s="67" t="s">
        <v>1024</v>
      </c>
      <c r="F495" s="53" t="s">
        <v>49</v>
      </c>
      <c r="G495" s="53" t="s">
        <v>36</v>
      </c>
      <c r="H495" s="53">
        <f>STOCK[[#This Row],[Precio Final]]</f>
        <v>19</v>
      </c>
      <c r="I495" s="53">
        <f>STOCK[[#This Row],[Precio Venta Ideal (x1.5)]]</f>
        <v>15.0075</v>
      </c>
      <c r="J495" s="71">
        <v>1</v>
      </c>
      <c r="K495" s="71">
        <f>SUMIFS(VENTAS[Cantidad],VENTAS[Código del producto Vendido],STOCK[[#This Row],[Code]])</f>
        <v>1</v>
      </c>
      <c r="L495" s="71">
        <f>STOCK[[#This Row],[Entradas]]-STOCK[[#This Row],[Salidas]]</f>
        <v>0</v>
      </c>
      <c r="M495" s="53">
        <f>STOCK[[#This Row],[Precio Final]]*10%</f>
        <v>1.9</v>
      </c>
      <c r="N495" s="53">
        <v>110</v>
      </c>
      <c r="O495" s="53">
        <v>17.6</v>
      </c>
      <c r="P495" s="53">
        <v>6.25</v>
      </c>
      <c r="Q495" s="71">
        <v>106</v>
      </c>
      <c r="R495" s="53">
        <v>17.5</v>
      </c>
      <c r="S495" s="53">
        <f>STOCK[[#This Row],[Peso (g)]]*STOCK[[#This Row],[Precio Envío Kilogramo (USD)]]/1000</f>
        <v>1.855</v>
      </c>
      <c r="T495" s="53">
        <f>STOCK[[#This Row],[Costo Unitario (USD)]]+STOCK[[#This Row],[Costo Envío (USD)]]+STOCK[[#This Row],[Comisión 10%]]</f>
        <v>10.005</v>
      </c>
      <c r="U495" s="53">
        <f>STOCK[[#This Row],[Costo total]]*1.5</f>
        <v>15.0075</v>
      </c>
      <c r="V495" s="53">
        <v>19</v>
      </c>
      <c r="W495" s="53">
        <f>STOCK[[#This Row],[Precio Final]]-STOCK[[#This Row],[Costo total]]</f>
        <v>8.995</v>
      </c>
      <c r="X495" s="53">
        <f>STOCK[[#This Row],[Ganancia Unitaria]]*STOCK[[#This Row],[Salidas]]</f>
        <v>8.995</v>
      </c>
      <c r="AA495" s="53">
        <f>STOCK[[#This Row],[Costo total]]*STOCK[[#This Row],[Entradas]]</f>
        <v>10.005</v>
      </c>
      <c r="AB495" s="53">
        <f>STOCK[[#This Row],[Stock Actual]]*STOCK[[#This Row],[Costo total]]</f>
        <v>0</v>
      </c>
    </row>
    <row r="496" s="54" customFormat="1" ht="50" customHeight="1" spans="1:28">
      <c r="A496" s="54" t="s">
        <v>1026</v>
      </c>
      <c r="B496" s="66"/>
      <c r="C496" s="54" t="s">
        <v>32</v>
      </c>
      <c r="D496" s="54" t="s">
        <v>174</v>
      </c>
      <c r="E496" s="68" t="s">
        <v>1027</v>
      </c>
      <c r="F496" s="54" t="s">
        <v>40</v>
      </c>
      <c r="G496" s="54" t="s">
        <v>36</v>
      </c>
      <c r="H496" s="54">
        <f>STOCK[[#This Row],[Precio Final]]</f>
        <v>12</v>
      </c>
      <c r="I496" s="54">
        <f>STOCK[[#This Row],[Precio Venta Ideal (x1.5)]]</f>
        <v>11.9386363636364</v>
      </c>
      <c r="J496" s="72">
        <v>1</v>
      </c>
      <c r="K496" s="72">
        <f>SUMIFS(VENTAS[Cantidad],VENTAS[Código del producto Vendido],STOCK[[#This Row],[Code]])</f>
        <v>1</v>
      </c>
      <c r="L496" s="72">
        <f>STOCK[[#This Row],[Entradas]]-STOCK[[#This Row],[Salidas]]</f>
        <v>0</v>
      </c>
      <c r="M496" s="54">
        <f>STOCK[[#This Row],[Precio Final]]*10%</f>
        <v>1.2</v>
      </c>
      <c r="N496" s="54">
        <v>82</v>
      </c>
      <c r="O496" s="54">
        <v>17.6</v>
      </c>
      <c r="P496" s="54">
        <v>4.65909090909091</v>
      </c>
      <c r="Q496" s="72">
        <v>120</v>
      </c>
      <c r="R496" s="54">
        <v>17.5</v>
      </c>
      <c r="S496" s="54">
        <f>STOCK[[#This Row],[Peso (g)]]*STOCK[[#This Row],[Precio Envío Kilogramo (USD)]]/1000</f>
        <v>2.1</v>
      </c>
      <c r="T496" s="53">
        <f>STOCK[[#This Row],[Costo Unitario (USD)]]+STOCK[[#This Row],[Costo Envío (USD)]]+STOCK[[#This Row],[Comisión 10%]]</f>
        <v>7.95909090909091</v>
      </c>
      <c r="U496" s="54">
        <f>STOCK[[#This Row],[Costo total]]*1.5</f>
        <v>11.9386363636364</v>
      </c>
      <c r="V496" s="54">
        <v>12</v>
      </c>
      <c r="W496" s="54">
        <f>STOCK[[#This Row],[Precio Final]]-STOCK[[#This Row],[Costo total]]</f>
        <v>4.04090909090909</v>
      </c>
      <c r="X496" s="54">
        <f>STOCK[[#This Row],[Ganancia Unitaria]]*STOCK[[#This Row],[Salidas]]</f>
        <v>4.04090909090909</v>
      </c>
      <c r="Y496" s="54" t="s">
        <v>896</v>
      </c>
      <c r="AA496" s="54">
        <f>STOCK[[#This Row],[Costo total]]*STOCK[[#This Row],[Entradas]]</f>
        <v>7.95909090909091</v>
      </c>
      <c r="AB496" s="54">
        <f>STOCK[[#This Row],[Stock Actual]]*STOCK[[#This Row],[Costo total]]</f>
        <v>0</v>
      </c>
    </row>
    <row r="497" s="53" customFormat="1" ht="50" customHeight="1" spans="1:28">
      <c r="A497" s="53" t="s">
        <v>1028</v>
      </c>
      <c r="B497" s="66"/>
      <c r="C497" s="53" t="s">
        <v>32</v>
      </c>
      <c r="D497" s="53" t="s">
        <v>174</v>
      </c>
      <c r="E497" s="67" t="s">
        <v>1027</v>
      </c>
      <c r="F497" s="53" t="s">
        <v>62</v>
      </c>
      <c r="G497" s="53" t="s">
        <v>36</v>
      </c>
      <c r="H497" s="53">
        <f>STOCK[[#This Row],[Precio Final]]</f>
        <v>12</v>
      </c>
      <c r="I497" s="53">
        <f>STOCK[[#This Row],[Precio Venta Ideal (x1.5)]]</f>
        <v>11.9386363636364</v>
      </c>
      <c r="J497" s="71">
        <v>1</v>
      </c>
      <c r="K497" s="71">
        <f>SUMIFS(VENTAS[Cantidad],VENTAS[Código del producto Vendido],STOCK[[#This Row],[Code]])</f>
        <v>1</v>
      </c>
      <c r="L497" s="71">
        <f>STOCK[[#This Row],[Entradas]]-STOCK[[#This Row],[Salidas]]</f>
        <v>0</v>
      </c>
      <c r="M497" s="53">
        <f>STOCK[[#This Row],[Precio Final]]*10%</f>
        <v>1.2</v>
      </c>
      <c r="N497" s="53">
        <v>82</v>
      </c>
      <c r="O497" s="53">
        <v>17.6</v>
      </c>
      <c r="P497" s="53">
        <v>4.65909090909091</v>
      </c>
      <c r="Q497" s="71">
        <v>120</v>
      </c>
      <c r="R497" s="53">
        <v>17.5</v>
      </c>
      <c r="S497" s="53">
        <f>STOCK[[#This Row],[Peso (g)]]*STOCK[[#This Row],[Precio Envío Kilogramo (USD)]]/1000</f>
        <v>2.1</v>
      </c>
      <c r="T497" s="53">
        <f>STOCK[[#This Row],[Costo Unitario (USD)]]+STOCK[[#This Row],[Costo Envío (USD)]]+STOCK[[#This Row],[Comisión 10%]]</f>
        <v>7.95909090909091</v>
      </c>
      <c r="U497" s="53">
        <f>STOCK[[#This Row],[Costo total]]*1.5</f>
        <v>11.9386363636364</v>
      </c>
      <c r="V497" s="53">
        <v>12</v>
      </c>
      <c r="W497" s="53">
        <f>STOCK[[#This Row],[Precio Final]]-STOCK[[#This Row],[Costo total]]</f>
        <v>4.04090909090909</v>
      </c>
      <c r="X497" s="53">
        <f>STOCK[[#This Row],[Ganancia Unitaria]]*STOCK[[#This Row],[Salidas]]</f>
        <v>4.04090909090909</v>
      </c>
      <c r="Y497" s="53" t="s">
        <v>896</v>
      </c>
      <c r="AA497" s="53">
        <f>STOCK[[#This Row],[Costo total]]*STOCK[[#This Row],[Entradas]]</f>
        <v>7.95909090909091</v>
      </c>
      <c r="AB497" s="53">
        <f>STOCK[[#This Row],[Stock Actual]]*STOCK[[#This Row],[Costo total]]</f>
        <v>0</v>
      </c>
    </row>
    <row r="498" s="54" customFormat="1" ht="50" customHeight="1" spans="1:28">
      <c r="A498" s="54" t="s">
        <v>1029</v>
      </c>
      <c r="B498" s="66"/>
      <c r="C498" s="54" t="s">
        <v>32</v>
      </c>
      <c r="D498" s="54" t="s">
        <v>174</v>
      </c>
      <c r="E498" s="68" t="s">
        <v>1027</v>
      </c>
      <c r="F498" s="54" t="s">
        <v>49</v>
      </c>
      <c r="G498" s="54" t="s">
        <v>36</v>
      </c>
      <c r="H498" s="54">
        <f>STOCK[[#This Row],[Precio Final]]</f>
        <v>12</v>
      </c>
      <c r="I498" s="54">
        <f>STOCK[[#This Row],[Precio Venta Ideal (x1.5)]]</f>
        <v>11.9386363636364</v>
      </c>
      <c r="J498" s="72">
        <v>1</v>
      </c>
      <c r="K498" s="72">
        <f>SUMIFS(VENTAS[Cantidad],VENTAS[Código del producto Vendido],STOCK[[#This Row],[Code]])</f>
        <v>1</v>
      </c>
      <c r="L498" s="72">
        <f>STOCK[[#This Row],[Entradas]]-STOCK[[#This Row],[Salidas]]</f>
        <v>0</v>
      </c>
      <c r="M498" s="54">
        <f>STOCK[[#This Row],[Precio Final]]*10%</f>
        <v>1.2</v>
      </c>
      <c r="N498" s="54">
        <v>82</v>
      </c>
      <c r="O498" s="54">
        <v>17.6</v>
      </c>
      <c r="P498" s="54">
        <v>4.65909090909091</v>
      </c>
      <c r="Q498" s="72">
        <v>120</v>
      </c>
      <c r="R498" s="54">
        <v>17.5</v>
      </c>
      <c r="S498" s="54">
        <f>STOCK[[#This Row],[Peso (g)]]*STOCK[[#This Row],[Precio Envío Kilogramo (USD)]]/1000</f>
        <v>2.1</v>
      </c>
      <c r="T498" s="53">
        <f>STOCK[[#This Row],[Costo Unitario (USD)]]+STOCK[[#This Row],[Costo Envío (USD)]]+STOCK[[#This Row],[Comisión 10%]]</f>
        <v>7.95909090909091</v>
      </c>
      <c r="U498" s="54">
        <f>STOCK[[#This Row],[Costo total]]*1.5</f>
        <v>11.9386363636364</v>
      </c>
      <c r="V498" s="54">
        <v>12</v>
      </c>
      <c r="W498" s="54">
        <f>STOCK[[#This Row],[Precio Final]]-STOCK[[#This Row],[Costo total]]</f>
        <v>4.04090909090909</v>
      </c>
      <c r="X498" s="54">
        <f>STOCK[[#This Row],[Ganancia Unitaria]]*STOCK[[#This Row],[Salidas]]</f>
        <v>4.04090909090909</v>
      </c>
      <c r="Y498" s="54" t="s">
        <v>896</v>
      </c>
      <c r="AA498" s="54">
        <f>STOCK[[#This Row],[Costo total]]*STOCK[[#This Row],[Entradas]]</f>
        <v>7.95909090909091</v>
      </c>
      <c r="AB498" s="54">
        <f>STOCK[[#This Row],[Stock Actual]]*STOCK[[#This Row],[Costo total]]</f>
        <v>0</v>
      </c>
    </row>
    <row r="499" s="53" customFormat="1" ht="50" customHeight="1" spans="1:28">
      <c r="A499" s="53" t="s">
        <v>1030</v>
      </c>
      <c r="B499" s="66"/>
      <c r="C499" s="53" t="s">
        <v>32</v>
      </c>
      <c r="D499" s="53" t="s">
        <v>174</v>
      </c>
      <c r="E499" s="67" t="s">
        <v>1031</v>
      </c>
      <c r="F499" s="53" t="s">
        <v>62</v>
      </c>
      <c r="G499" s="53" t="s">
        <v>36</v>
      </c>
      <c r="H499" s="53">
        <f>STOCK[[#This Row],[Precio Final]]</f>
        <v>12</v>
      </c>
      <c r="I499" s="53">
        <f>STOCK[[#This Row],[Precio Venta Ideal (x1.5)]]</f>
        <v>13.4335227272727</v>
      </c>
      <c r="J499" s="71">
        <v>3</v>
      </c>
      <c r="K499" s="71">
        <f>SUMIFS(VENTAS[Cantidad],VENTAS[Código del producto Vendido],STOCK[[#This Row],[Code]])</f>
        <v>3</v>
      </c>
      <c r="L499" s="71">
        <f>STOCK[[#This Row],[Entradas]]-STOCK[[#This Row],[Salidas]]</f>
        <v>0</v>
      </c>
      <c r="M499" s="53">
        <f>STOCK[[#This Row],[Precio Final]]*10%</f>
        <v>1.2</v>
      </c>
      <c r="N499" s="53">
        <v>98</v>
      </c>
      <c r="O499" s="53">
        <v>17.6</v>
      </c>
      <c r="P499" s="53">
        <v>5.56818181818182</v>
      </c>
      <c r="Q499" s="71">
        <v>125</v>
      </c>
      <c r="R499" s="53">
        <v>17.5</v>
      </c>
      <c r="S499" s="53">
        <f>STOCK[[#This Row],[Peso (g)]]*STOCK[[#This Row],[Precio Envío Kilogramo (USD)]]/1000</f>
        <v>2.1875</v>
      </c>
      <c r="T499" s="53">
        <f>STOCK[[#This Row],[Costo Unitario (USD)]]+STOCK[[#This Row],[Costo Envío (USD)]]+STOCK[[#This Row],[Comisión 10%]]</f>
        <v>8.95568181818182</v>
      </c>
      <c r="U499" s="53">
        <f>STOCK[[#This Row],[Costo total]]*1.5</f>
        <v>13.4335227272727</v>
      </c>
      <c r="V499" s="53">
        <v>12</v>
      </c>
      <c r="W499" s="53">
        <f>STOCK[[#This Row],[Precio Final]]-STOCK[[#This Row],[Costo total]]</f>
        <v>3.04431818181818</v>
      </c>
      <c r="X499" s="53">
        <f>STOCK[[#This Row],[Ganancia Unitaria]]*STOCK[[#This Row],[Salidas]]</f>
        <v>9.13295454545454</v>
      </c>
      <c r="Y499" s="53" t="s">
        <v>893</v>
      </c>
      <c r="AA499" s="53">
        <f>STOCK[[#This Row],[Costo total]]*STOCK[[#This Row],[Entradas]]</f>
        <v>26.8670454545455</v>
      </c>
      <c r="AB499" s="53">
        <f>STOCK[[#This Row],[Stock Actual]]*STOCK[[#This Row],[Costo total]]</f>
        <v>0</v>
      </c>
    </row>
    <row r="500" s="54" customFormat="1" ht="50" customHeight="1" spans="1:28">
      <c r="A500" s="54" t="s">
        <v>1032</v>
      </c>
      <c r="B500" s="66"/>
      <c r="C500" s="54" t="s">
        <v>32</v>
      </c>
      <c r="D500" s="54" t="s">
        <v>546</v>
      </c>
      <c r="E500" s="68" t="s">
        <v>1033</v>
      </c>
      <c r="F500" s="54" t="s">
        <v>49</v>
      </c>
      <c r="G500" s="54" t="s">
        <v>36</v>
      </c>
      <c r="H500" s="54">
        <f>STOCK[[#This Row],[Precio Final]]</f>
        <v>12</v>
      </c>
      <c r="I500" s="54">
        <f>STOCK[[#This Row],[Precio Venta Ideal (x1.5)]]</f>
        <v>7.50511363636363</v>
      </c>
      <c r="J500" s="72">
        <v>1</v>
      </c>
      <c r="K500" s="72">
        <f>SUMIFS(VENTAS[Cantidad],VENTAS[Código del producto Vendido],STOCK[[#This Row],[Code]])</f>
        <v>1</v>
      </c>
      <c r="L500" s="72">
        <f>STOCK[[#This Row],[Entradas]]-STOCK[[#This Row],[Salidas]]</f>
        <v>0</v>
      </c>
      <c r="M500" s="54">
        <f>STOCK[[#This Row],[Precio Final]]*10%</f>
        <v>1.2</v>
      </c>
      <c r="N500" s="54">
        <v>50</v>
      </c>
      <c r="O500" s="54">
        <v>17.6</v>
      </c>
      <c r="P500" s="54">
        <v>2.84090909090909</v>
      </c>
      <c r="Q500" s="72">
        <v>55</v>
      </c>
      <c r="R500" s="54">
        <v>17.5</v>
      </c>
      <c r="S500" s="54">
        <f>STOCK[[#This Row],[Peso (g)]]*STOCK[[#This Row],[Precio Envío Kilogramo (USD)]]/1000</f>
        <v>0.9625</v>
      </c>
      <c r="T500" s="53">
        <f>STOCK[[#This Row],[Costo Unitario (USD)]]+STOCK[[#This Row],[Costo Envío (USD)]]+STOCK[[#This Row],[Comisión 10%]]</f>
        <v>5.00340909090909</v>
      </c>
      <c r="U500" s="54">
        <f>STOCK[[#This Row],[Costo total]]*1.5</f>
        <v>7.50511363636363</v>
      </c>
      <c r="V500" s="54">
        <v>12</v>
      </c>
      <c r="W500" s="54">
        <f>STOCK[[#This Row],[Precio Final]]-STOCK[[#This Row],[Costo total]]</f>
        <v>6.99659090909091</v>
      </c>
      <c r="X500" s="54">
        <f>STOCK[[#This Row],[Ganancia Unitaria]]*STOCK[[#This Row],[Salidas]]</f>
        <v>6.99659090909091</v>
      </c>
      <c r="Y500" s="54" t="s">
        <v>896</v>
      </c>
      <c r="AA500" s="54">
        <f>STOCK[[#This Row],[Costo total]]*STOCK[[#This Row],[Entradas]]</f>
        <v>5.00340909090909</v>
      </c>
      <c r="AB500" s="54">
        <f>STOCK[[#This Row],[Stock Actual]]*STOCK[[#This Row],[Costo total]]</f>
        <v>0</v>
      </c>
    </row>
    <row r="501" s="53" customFormat="1" ht="50" customHeight="1" spans="1:28">
      <c r="A501" s="53" t="s">
        <v>1034</v>
      </c>
      <c r="B501" s="66"/>
      <c r="C501" s="53" t="s">
        <v>32</v>
      </c>
      <c r="D501" s="53" t="s">
        <v>155</v>
      </c>
      <c r="E501" s="67" t="s">
        <v>1035</v>
      </c>
      <c r="F501" s="53" t="s">
        <v>62</v>
      </c>
      <c r="G501" s="53" t="s">
        <v>36</v>
      </c>
      <c r="H501" s="53">
        <f>STOCK[[#This Row],[Precio Final]]</f>
        <v>35</v>
      </c>
      <c r="I501" s="53">
        <f>STOCK[[#This Row],[Precio Venta Ideal (x1.5)]]</f>
        <v>42.2727272727273</v>
      </c>
      <c r="J501" s="71">
        <v>3</v>
      </c>
      <c r="K501" s="71">
        <f>SUMIFS(VENTAS[Cantidad],VENTAS[Código del producto Vendido],STOCK[[#This Row],[Code]])</f>
        <v>3</v>
      </c>
      <c r="L501" s="71">
        <f>STOCK[[#This Row],[Entradas]]-STOCK[[#This Row],[Salidas]]</f>
        <v>0</v>
      </c>
      <c r="M501" s="53">
        <f>STOCK[[#This Row],[Precio Final]]*10%</f>
        <v>3.5</v>
      </c>
      <c r="N501" s="53">
        <v>265</v>
      </c>
      <c r="O501" s="53">
        <v>17.6</v>
      </c>
      <c r="P501" s="53">
        <v>15.0568181818182</v>
      </c>
      <c r="Q501" s="71">
        <v>550</v>
      </c>
      <c r="R501" s="53">
        <v>17.5</v>
      </c>
      <c r="S501" s="53">
        <f>STOCK[[#This Row],[Peso (g)]]*STOCK[[#This Row],[Precio Envío Kilogramo (USD)]]/1000</f>
        <v>9.625</v>
      </c>
      <c r="T501" s="53">
        <f>STOCK[[#This Row],[Costo Unitario (USD)]]+STOCK[[#This Row],[Costo Envío (USD)]]+STOCK[[#This Row],[Comisión 10%]]</f>
        <v>28.1818181818182</v>
      </c>
      <c r="U501" s="53">
        <f>STOCK[[#This Row],[Costo total]]*1.5</f>
        <v>42.2727272727273</v>
      </c>
      <c r="V501" s="53">
        <v>35</v>
      </c>
      <c r="W501" s="53">
        <f>STOCK[[#This Row],[Precio Final]]-STOCK[[#This Row],[Costo total]]</f>
        <v>6.8181818181818</v>
      </c>
      <c r="X501" s="53">
        <f>STOCK[[#This Row],[Ganancia Unitaria]]*STOCK[[#This Row],[Salidas]]</f>
        <v>20.4545454545454</v>
      </c>
      <c r="AA501" s="53">
        <f>STOCK[[#This Row],[Costo total]]*STOCK[[#This Row],[Entradas]]</f>
        <v>84.5454545454546</v>
      </c>
      <c r="AB501" s="53">
        <f>STOCK[[#This Row],[Stock Actual]]*STOCK[[#This Row],[Costo total]]</f>
        <v>0</v>
      </c>
    </row>
    <row r="502" s="54" customFormat="1" ht="50" customHeight="1" spans="1:28">
      <c r="A502" s="54" t="s">
        <v>1036</v>
      </c>
      <c r="B502" s="66"/>
      <c r="C502" s="54" t="s">
        <v>32</v>
      </c>
      <c r="D502" s="54" t="s">
        <v>155</v>
      </c>
      <c r="E502" s="68" t="s">
        <v>1035</v>
      </c>
      <c r="F502" s="54" t="s">
        <v>49</v>
      </c>
      <c r="G502" s="54" t="s">
        <v>36</v>
      </c>
      <c r="H502" s="54">
        <f>STOCK[[#This Row],[Precio Final]]</f>
        <v>35</v>
      </c>
      <c r="I502" s="54">
        <f>STOCK[[#This Row],[Precio Venta Ideal (x1.5)]]</f>
        <v>42.2727272727273</v>
      </c>
      <c r="J502" s="72">
        <v>3</v>
      </c>
      <c r="K502" s="72">
        <f>SUMIFS(VENTAS[Cantidad],VENTAS[Código del producto Vendido],STOCK[[#This Row],[Code]])</f>
        <v>3</v>
      </c>
      <c r="L502" s="72">
        <f>STOCK[[#This Row],[Entradas]]-STOCK[[#This Row],[Salidas]]</f>
        <v>0</v>
      </c>
      <c r="M502" s="54">
        <f>STOCK[[#This Row],[Precio Final]]*10%</f>
        <v>3.5</v>
      </c>
      <c r="N502" s="54">
        <v>265</v>
      </c>
      <c r="O502" s="54">
        <v>17.6</v>
      </c>
      <c r="P502" s="54">
        <v>15.0568181818182</v>
      </c>
      <c r="Q502" s="72">
        <v>550</v>
      </c>
      <c r="R502" s="54">
        <v>17.5</v>
      </c>
      <c r="S502" s="54">
        <f>STOCK[[#This Row],[Peso (g)]]*STOCK[[#This Row],[Precio Envío Kilogramo (USD)]]/1000</f>
        <v>9.625</v>
      </c>
      <c r="T502" s="53">
        <f>STOCK[[#This Row],[Costo Unitario (USD)]]+STOCK[[#This Row],[Costo Envío (USD)]]+STOCK[[#This Row],[Comisión 10%]]</f>
        <v>28.1818181818182</v>
      </c>
      <c r="U502" s="54">
        <f>STOCK[[#This Row],[Costo total]]*1.5</f>
        <v>42.2727272727273</v>
      </c>
      <c r="V502" s="54">
        <v>35</v>
      </c>
      <c r="W502" s="54">
        <f>STOCK[[#This Row],[Precio Final]]-STOCK[[#This Row],[Costo total]]</f>
        <v>6.8181818181818</v>
      </c>
      <c r="X502" s="54">
        <f>STOCK[[#This Row],[Ganancia Unitaria]]*STOCK[[#This Row],[Salidas]]</f>
        <v>20.4545454545454</v>
      </c>
      <c r="AA502" s="54">
        <f>STOCK[[#This Row],[Costo total]]*STOCK[[#This Row],[Entradas]]</f>
        <v>84.5454545454546</v>
      </c>
      <c r="AB502" s="54">
        <f>STOCK[[#This Row],[Stock Actual]]*STOCK[[#This Row],[Costo total]]</f>
        <v>0</v>
      </c>
    </row>
    <row r="503" s="53" customFormat="1" ht="50" customHeight="1" spans="1:28">
      <c r="A503" s="53" t="s">
        <v>1037</v>
      </c>
      <c r="B503" s="66"/>
      <c r="C503" s="53" t="s">
        <v>32</v>
      </c>
      <c r="D503" s="53" t="s">
        <v>152</v>
      </c>
      <c r="E503" s="67" t="s">
        <v>1038</v>
      </c>
      <c r="F503" s="53" t="s">
        <v>49</v>
      </c>
      <c r="G503" s="53" t="s">
        <v>36</v>
      </c>
      <c r="H503" s="53">
        <f>STOCK[[#This Row],[Precio Final]]</f>
        <v>23</v>
      </c>
      <c r="I503" s="53">
        <f>STOCK[[#This Row],[Precio Venta Ideal (x1.5)]]</f>
        <v>25.3875</v>
      </c>
      <c r="J503" s="71">
        <v>2</v>
      </c>
      <c r="K503" s="71">
        <f>SUMIFS(VENTAS[Cantidad],VENTAS[Código del producto Vendido],STOCK[[#This Row],[Code]])</f>
        <v>1</v>
      </c>
      <c r="L503" s="71">
        <f>STOCK[[#This Row],[Entradas]]-STOCK[[#This Row],[Salidas]]</f>
        <v>1</v>
      </c>
      <c r="M503" s="53">
        <f>STOCK[[#This Row],[Precio Final]]*10%</f>
        <v>2.3</v>
      </c>
      <c r="N503" s="53">
        <v>165</v>
      </c>
      <c r="O503" s="53">
        <v>17.6</v>
      </c>
      <c r="P503" s="53">
        <v>9.375</v>
      </c>
      <c r="Q503" s="71">
        <v>300</v>
      </c>
      <c r="R503" s="53">
        <v>17.5</v>
      </c>
      <c r="S503" s="53">
        <f>STOCK[[#This Row],[Peso (g)]]*STOCK[[#This Row],[Precio Envío Kilogramo (USD)]]/1000</f>
        <v>5.25</v>
      </c>
      <c r="T503" s="53">
        <f>STOCK[[#This Row],[Costo Unitario (USD)]]+STOCK[[#This Row],[Costo Envío (USD)]]+STOCK[[#This Row],[Comisión 10%]]</f>
        <v>16.925</v>
      </c>
      <c r="U503" s="53">
        <f>STOCK[[#This Row],[Costo total]]*1.5</f>
        <v>25.3875</v>
      </c>
      <c r="V503" s="53">
        <v>23</v>
      </c>
      <c r="W503" s="53">
        <f>STOCK[[#This Row],[Precio Final]]-STOCK[[#This Row],[Costo total]]</f>
        <v>6.075</v>
      </c>
      <c r="X503" s="53">
        <f>STOCK[[#This Row],[Ganancia Unitaria]]*STOCK[[#This Row],[Salidas]]</f>
        <v>6.075</v>
      </c>
      <c r="AA503" s="53">
        <f>STOCK[[#This Row],[Costo total]]*STOCK[[#This Row],[Entradas]]</f>
        <v>33.85</v>
      </c>
      <c r="AB503" s="53">
        <f>STOCK[[#This Row],[Stock Actual]]*STOCK[[#This Row],[Costo total]]</f>
        <v>16.925</v>
      </c>
    </row>
    <row r="504" s="54" customFormat="1" ht="50" customHeight="1" spans="1:28">
      <c r="A504" s="54" t="s">
        <v>1039</v>
      </c>
      <c r="B504" s="66"/>
      <c r="C504" s="54" t="s">
        <v>32</v>
      </c>
      <c r="D504" s="54" t="s">
        <v>152</v>
      </c>
      <c r="E504" s="68" t="s">
        <v>1040</v>
      </c>
      <c r="F504" s="54" t="s">
        <v>211</v>
      </c>
      <c r="G504" s="54" t="s">
        <v>36</v>
      </c>
      <c r="H504" s="54">
        <f>STOCK[[#This Row],[Precio Final]]</f>
        <v>25</v>
      </c>
      <c r="I504" s="54">
        <f>STOCK[[#This Row],[Precio Venta Ideal (x1.5)]]</f>
        <v>25.6875</v>
      </c>
      <c r="J504" s="72">
        <v>1</v>
      </c>
      <c r="K504" s="72">
        <f>SUMIFS(VENTAS[Cantidad],VENTAS[Código del producto Vendido],STOCK[[#This Row],[Code]])</f>
        <v>1</v>
      </c>
      <c r="L504" s="72">
        <f>STOCK[[#This Row],[Entradas]]-STOCK[[#This Row],[Salidas]]</f>
        <v>0</v>
      </c>
      <c r="M504" s="54">
        <f>STOCK[[#This Row],[Precio Final]]*10%</f>
        <v>2.5</v>
      </c>
      <c r="N504" s="54">
        <v>165</v>
      </c>
      <c r="O504" s="54">
        <v>17.6</v>
      </c>
      <c r="P504" s="54">
        <v>9.375</v>
      </c>
      <c r="Q504" s="72">
        <v>300</v>
      </c>
      <c r="R504" s="54">
        <v>17.5</v>
      </c>
      <c r="S504" s="54">
        <f>STOCK[[#This Row],[Peso (g)]]*STOCK[[#This Row],[Precio Envío Kilogramo (USD)]]/1000</f>
        <v>5.25</v>
      </c>
      <c r="T504" s="53">
        <f>STOCK[[#This Row],[Costo Unitario (USD)]]+STOCK[[#This Row],[Costo Envío (USD)]]+STOCK[[#This Row],[Comisión 10%]]</f>
        <v>17.125</v>
      </c>
      <c r="U504" s="54">
        <f>STOCK[[#This Row],[Costo total]]*1.5</f>
        <v>25.6875</v>
      </c>
      <c r="V504" s="54">
        <v>25</v>
      </c>
      <c r="W504" s="54">
        <f>STOCK[[#This Row],[Precio Final]]-STOCK[[#This Row],[Costo total]]</f>
        <v>7.875</v>
      </c>
      <c r="X504" s="54">
        <f>STOCK[[#This Row],[Ganancia Unitaria]]*STOCK[[#This Row],[Salidas]]</f>
        <v>7.875</v>
      </c>
      <c r="AA504" s="54">
        <f>STOCK[[#This Row],[Costo total]]*STOCK[[#This Row],[Entradas]]</f>
        <v>17.125</v>
      </c>
      <c r="AB504" s="54">
        <f>STOCK[[#This Row],[Stock Actual]]*STOCK[[#This Row],[Costo total]]</f>
        <v>0</v>
      </c>
    </row>
    <row r="505" s="53" customFormat="1" ht="50" customHeight="1" spans="1:28">
      <c r="A505" s="53" t="s">
        <v>1041</v>
      </c>
      <c r="B505" s="66"/>
      <c r="C505" s="53" t="s">
        <v>32</v>
      </c>
      <c r="D505" s="53" t="s">
        <v>155</v>
      </c>
      <c r="E505" s="67" t="s">
        <v>1042</v>
      </c>
      <c r="F505" s="53" t="s">
        <v>40</v>
      </c>
      <c r="G505" s="53" t="s">
        <v>36</v>
      </c>
      <c r="H505" s="53">
        <f>STOCK[[#This Row],[Precio Final]]</f>
        <v>35</v>
      </c>
      <c r="I505" s="53">
        <f>STOCK[[#This Row],[Precio Venta Ideal (x1.5)]]</f>
        <v>46.5340909090909</v>
      </c>
      <c r="J505" s="71">
        <v>4</v>
      </c>
      <c r="K505" s="71">
        <f>SUMIFS(VENTAS[Cantidad],VENTAS[Código del producto Vendido],STOCK[[#This Row],[Code]])</f>
        <v>4</v>
      </c>
      <c r="L505" s="71">
        <f>STOCK[[#This Row],[Entradas]]-STOCK[[#This Row],[Salidas]]</f>
        <v>0</v>
      </c>
      <c r="M505" s="53">
        <f>STOCK[[#This Row],[Precio Final]]*10%</f>
        <v>3.5</v>
      </c>
      <c r="N505" s="53">
        <v>315</v>
      </c>
      <c r="O505" s="53">
        <v>17.6</v>
      </c>
      <c r="P505" s="53">
        <v>17.8977272727273</v>
      </c>
      <c r="Q505" s="71">
        <v>550</v>
      </c>
      <c r="R505" s="53">
        <v>17.5</v>
      </c>
      <c r="S505" s="53">
        <f>STOCK[[#This Row],[Peso (g)]]*STOCK[[#This Row],[Precio Envío Kilogramo (USD)]]/1000</f>
        <v>9.625</v>
      </c>
      <c r="T505" s="53">
        <f>STOCK[[#This Row],[Costo Unitario (USD)]]+STOCK[[#This Row],[Costo Envío (USD)]]+STOCK[[#This Row],[Comisión 10%]]</f>
        <v>31.0227272727273</v>
      </c>
      <c r="U505" s="53">
        <f>STOCK[[#This Row],[Costo total]]*1.5</f>
        <v>46.5340909090909</v>
      </c>
      <c r="V505" s="53">
        <v>35</v>
      </c>
      <c r="W505" s="53">
        <f>STOCK[[#This Row],[Precio Final]]-STOCK[[#This Row],[Costo total]]</f>
        <v>3.9772727272727</v>
      </c>
      <c r="X505" s="53">
        <f>STOCK[[#This Row],[Ganancia Unitaria]]*STOCK[[#This Row],[Salidas]]</f>
        <v>15.9090909090908</v>
      </c>
      <c r="AA505" s="53">
        <f>STOCK[[#This Row],[Costo total]]*STOCK[[#This Row],[Entradas]]</f>
        <v>124.090909090909</v>
      </c>
      <c r="AB505" s="53">
        <f>STOCK[[#This Row],[Stock Actual]]*STOCK[[#This Row],[Costo total]]</f>
        <v>0</v>
      </c>
    </row>
    <row r="506" s="54" customFormat="1" ht="50" customHeight="1" spans="1:28">
      <c r="A506" s="54" t="s">
        <v>1043</v>
      </c>
      <c r="B506" s="66"/>
      <c r="C506" s="54" t="s">
        <v>32</v>
      </c>
      <c r="D506" s="54" t="s">
        <v>155</v>
      </c>
      <c r="E506" s="68" t="s">
        <v>1042</v>
      </c>
      <c r="F506" s="54" t="s">
        <v>62</v>
      </c>
      <c r="G506" s="54" t="s">
        <v>36</v>
      </c>
      <c r="H506" s="54">
        <f>STOCK[[#This Row],[Precio Final]]</f>
        <v>35</v>
      </c>
      <c r="I506" s="54">
        <f>STOCK[[#This Row],[Precio Venta Ideal (x1.5)]]</f>
        <v>46.5340909090909</v>
      </c>
      <c r="J506" s="72">
        <v>3</v>
      </c>
      <c r="K506" s="72">
        <f>SUMIFS(VENTAS[Cantidad],VENTAS[Código del producto Vendido],STOCK[[#This Row],[Code]])</f>
        <v>3</v>
      </c>
      <c r="L506" s="72">
        <f>STOCK[[#This Row],[Entradas]]-STOCK[[#This Row],[Salidas]]</f>
        <v>0</v>
      </c>
      <c r="M506" s="54">
        <f>STOCK[[#This Row],[Precio Final]]*10%</f>
        <v>3.5</v>
      </c>
      <c r="N506" s="54">
        <v>315</v>
      </c>
      <c r="O506" s="54">
        <v>17.6</v>
      </c>
      <c r="P506" s="54">
        <v>17.8977272727273</v>
      </c>
      <c r="Q506" s="72">
        <v>550</v>
      </c>
      <c r="R506" s="54">
        <v>17.5</v>
      </c>
      <c r="S506" s="54">
        <f>STOCK[[#This Row],[Peso (g)]]*STOCK[[#This Row],[Precio Envío Kilogramo (USD)]]/1000</f>
        <v>9.625</v>
      </c>
      <c r="T506" s="53">
        <f>STOCK[[#This Row],[Costo Unitario (USD)]]+STOCK[[#This Row],[Costo Envío (USD)]]+STOCK[[#This Row],[Comisión 10%]]</f>
        <v>31.0227272727273</v>
      </c>
      <c r="U506" s="54">
        <f>STOCK[[#This Row],[Costo total]]*1.5</f>
        <v>46.5340909090909</v>
      </c>
      <c r="V506" s="54">
        <v>35</v>
      </c>
      <c r="W506" s="54">
        <f>STOCK[[#This Row],[Precio Final]]-STOCK[[#This Row],[Costo total]]</f>
        <v>3.9772727272727</v>
      </c>
      <c r="X506" s="54">
        <f>STOCK[[#This Row],[Ganancia Unitaria]]*STOCK[[#This Row],[Salidas]]</f>
        <v>11.9318181818181</v>
      </c>
      <c r="AA506" s="54">
        <f>STOCK[[#This Row],[Costo total]]*STOCK[[#This Row],[Entradas]]</f>
        <v>93.0681818181819</v>
      </c>
      <c r="AB506" s="54">
        <f>STOCK[[#This Row],[Stock Actual]]*STOCK[[#This Row],[Costo total]]</f>
        <v>0</v>
      </c>
    </row>
    <row r="507" s="53" customFormat="1" ht="50" customHeight="1" spans="1:28">
      <c r="A507" s="53" t="s">
        <v>1044</v>
      </c>
      <c r="B507" s="66"/>
      <c r="C507" s="53" t="s">
        <v>32</v>
      </c>
      <c r="D507" s="53" t="s">
        <v>155</v>
      </c>
      <c r="E507" s="67" t="s">
        <v>1042</v>
      </c>
      <c r="F507" s="53" t="s">
        <v>49</v>
      </c>
      <c r="G507" s="53" t="s">
        <v>36</v>
      </c>
      <c r="H507" s="53">
        <f>STOCK[[#This Row],[Precio Final]]</f>
        <v>35</v>
      </c>
      <c r="I507" s="53">
        <f>STOCK[[#This Row],[Precio Venta Ideal (x1.5)]]</f>
        <v>46.5340909090909</v>
      </c>
      <c r="J507" s="71">
        <v>2</v>
      </c>
      <c r="K507" s="71">
        <f>SUMIFS(VENTAS[Cantidad],VENTAS[Código del producto Vendido],STOCK[[#This Row],[Code]])</f>
        <v>2</v>
      </c>
      <c r="L507" s="71">
        <f>STOCK[[#This Row],[Entradas]]-STOCK[[#This Row],[Salidas]]</f>
        <v>0</v>
      </c>
      <c r="M507" s="53">
        <f>STOCK[[#This Row],[Precio Final]]*10%</f>
        <v>3.5</v>
      </c>
      <c r="N507" s="53">
        <v>315</v>
      </c>
      <c r="O507" s="53">
        <v>17.6</v>
      </c>
      <c r="P507" s="53">
        <v>17.8977272727273</v>
      </c>
      <c r="Q507" s="71">
        <v>550</v>
      </c>
      <c r="R507" s="53">
        <v>17.5</v>
      </c>
      <c r="S507" s="53">
        <f>STOCK[[#This Row],[Peso (g)]]*STOCK[[#This Row],[Precio Envío Kilogramo (USD)]]/1000</f>
        <v>9.625</v>
      </c>
      <c r="T507" s="53">
        <f>STOCK[[#This Row],[Costo Unitario (USD)]]+STOCK[[#This Row],[Costo Envío (USD)]]+STOCK[[#This Row],[Comisión 10%]]</f>
        <v>31.0227272727273</v>
      </c>
      <c r="U507" s="53">
        <f>STOCK[[#This Row],[Costo total]]*1.5</f>
        <v>46.5340909090909</v>
      </c>
      <c r="V507" s="53">
        <v>35</v>
      </c>
      <c r="W507" s="53">
        <f>STOCK[[#This Row],[Precio Final]]-STOCK[[#This Row],[Costo total]]</f>
        <v>3.9772727272727</v>
      </c>
      <c r="X507" s="53">
        <f>STOCK[[#This Row],[Ganancia Unitaria]]*STOCK[[#This Row],[Salidas]]</f>
        <v>7.9545454545454</v>
      </c>
      <c r="AA507" s="53">
        <f>STOCK[[#This Row],[Costo total]]*STOCK[[#This Row],[Entradas]]</f>
        <v>62.0454545454546</v>
      </c>
      <c r="AB507" s="53">
        <f>STOCK[[#This Row],[Stock Actual]]*STOCK[[#This Row],[Costo total]]</f>
        <v>0</v>
      </c>
    </row>
    <row r="508" s="54" customFormat="1" ht="50" customHeight="1" spans="1:28">
      <c r="A508" s="54" t="s">
        <v>1045</v>
      </c>
      <c r="B508" s="66"/>
      <c r="C508" s="54" t="s">
        <v>32</v>
      </c>
      <c r="D508" s="54" t="s">
        <v>155</v>
      </c>
      <c r="E508" s="68" t="s">
        <v>1046</v>
      </c>
      <c r="F508" s="54" t="s">
        <v>1047</v>
      </c>
      <c r="G508" s="54" t="s">
        <v>36</v>
      </c>
      <c r="H508" s="54">
        <f>STOCK[[#This Row],[Precio Final]]</f>
        <v>30</v>
      </c>
      <c r="I508" s="54">
        <f>STOCK[[#This Row],[Precio Venta Ideal (x1.5)]]</f>
        <v>43.2272727272727</v>
      </c>
      <c r="J508" s="72">
        <v>3</v>
      </c>
      <c r="K508" s="72">
        <f>SUMIFS(VENTAS[Cantidad],VENTAS[Código del producto Vendido],STOCK[[#This Row],[Code]])</f>
        <v>3</v>
      </c>
      <c r="L508" s="72">
        <f>STOCK[[#This Row],[Entradas]]-STOCK[[#This Row],[Salidas]]</f>
        <v>0</v>
      </c>
      <c r="M508" s="54">
        <f>STOCK[[#This Row],[Precio Final]]*10%</f>
        <v>3</v>
      </c>
      <c r="N508" s="54">
        <v>285</v>
      </c>
      <c r="O508" s="54">
        <v>17.6</v>
      </c>
      <c r="P508" s="54">
        <v>16.1931818181818</v>
      </c>
      <c r="Q508" s="72">
        <v>550</v>
      </c>
      <c r="R508" s="54">
        <v>17.5</v>
      </c>
      <c r="S508" s="54">
        <f>STOCK[[#This Row],[Peso (g)]]*STOCK[[#This Row],[Precio Envío Kilogramo (USD)]]/1000</f>
        <v>9.625</v>
      </c>
      <c r="T508" s="53">
        <f>STOCK[[#This Row],[Costo Unitario (USD)]]+STOCK[[#This Row],[Costo Envío (USD)]]+STOCK[[#This Row],[Comisión 10%]]</f>
        <v>28.8181818181818</v>
      </c>
      <c r="U508" s="54">
        <f>STOCK[[#This Row],[Costo total]]*1.5</f>
        <v>43.2272727272727</v>
      </c>
      <c r="V508" s="54">
        <v>30</v>
      </c>
      <c r="W508" s="54">
        <f>STOCK[[#This Row],[Precio Final]]-STOCK[[#This Row],[Costo total]]</f>
        <v>1.1818181818182</v>
      </c>
      <c r="X508" s="54">
        <f>STOCK[[#This Row],[Ganancia Unitaria]]*STOCK[[#This Row],[Salidas]]</f>
        <v>3.5454545454546</v>
      </c>
      <c r="AA508" s="54">
        <f>STOCK[[#This Row],[Costo total]]*STOCK[[#This Row],[Entradas]]</f>
        <v>86.4545454545454</v>
      </c>
      <c r="AB508" s="54">
        <f>STOCK[[#This Row],[Stock Actual]]*STOCK[[#This Row],[Costo total]]</f>
        <v>0</v>
      </c>
    </row>
    <row r="509" s="53" customFormat="1" ht="50" customHeight="1" spans="1:28">
      <c r="A509" s="53" t="s">
        <v>1048</v>
      </c>
      <c r="B509" s="66"/>
      <c r="C509" s="53" t="s">
        <v>32</v>
      </c>
      <c r="D509" s="53" t="s">
        <v>155</v>
      </c>
      <c r="E509" s="67" t="s">
        <v>1046</v>
      </c>
      <c r="F509" s="53" t="s">
        <v>49</v>
      </c>
      <c r="G509" s="53" t="s">
        <v>36</v>
      </c>
      <c r="H509" s="53">
        <f>STOCK[[#This Row],[Precio Final]]</f>
        <v>35</v>
      </c>
      <c r="I509" s="53">
        <f>STOCK[[#This Row],[Precio Venta Ideal (x1.5)]]</f>
        <v>43.9772727272727</v>
      </c>
      <c r="J509" s="71">
        <v>2</v>
      </c>
      <c r="K509" s="71">
        <f>SUMIFS(VENTAS[Cantidad],VENTAS[Código del producto Vendido],STOCK[[#This Row],[Code]])</f>
        <v>2</v>
      </c>
      <c r="L509" s="71">
        <f>STOCK[[#This Row],[Entradas]]-STOCK[[#This Row],[Salidas]]</f>
        <v>0</v>
      </c>
      <c r="M509" s="53">
        <f>STOCK[[#This Row],[Precio Final]]*10%</f>
        <v>3.5</v>
      </c>
      <c r="N509" s="53">
        <v>285</v>
      </c>
      <c r="O509" s="53">
        <v>17.6</v>
      </c>
      <c r="P509" s="53">
        <v>16.1931818181818</v>
      </c>
      <c r="Q509" s="71">
        <v>550</v>
      </c>
      <c r="R509" s="53">
        <v>17.5</v>
      </c>
      <c r="S509" s="53">
        <f>STOCK[[#This Row],[Peso (g)]]*STOCK[[#This Row],[Precio Envío Kilogramo (USD)]]/1000</f>
        <v>9.625</v>
      </c>
      <c r="T509" s="53">
        <f>STOCK[[#This Row],[Costo Unitario (USD)]]+STOCK[[#This Row],[Costo Envío (USD)]]+STOCK[[#This Row],[Comisión 10%]]</f>
        <v>29.3181818181818</v>
      </c>
      <c r="U509" s="53">
        <f>STOCK[[#This Row],[Costo total]]*1.5</f>
        <v>43.9772727272727</v>
      </c>
      <c r="V509" s="53">
        <v>35</v>
      </c>
      <c r="W509" s="53">
        <f>STOCK[[#This Row],[Precio Final]]-STOCK[[#This Row],[Costo total]]</f>
        <v>5.6818181818182</v>
      </c>
      <c r="X509" s="53">
        <f>STOCK[[#This Row],[Ganancia Unitaria]]*STOCK[[#This Row],[Salidas]]</f>
        <v>11.3636363636364</v>
      </c>
      <c r="AA509" s="53">
        <f>STOCK[[#This Row],[Costo total]]*STOCK[[#This Row],[Entradas]]</f>
        <v>58.6363636363636</v>
      </c>
      <c r="AB509" s="53">
        <f>STOCK[[#This Row],[Stock Actual]]*STOCK[[#This Row],[Costo total]]</f>
        <v>0</v>
      </c>
    </row>
    <row r="510" s="54" customFormat="1" ht="50" customHeight="1" spans="1:28">
      <c r="A510" s="54" t="s">
        <v>1049</v>
      </c>
      <c r="B510" s="66"/>
      <c r="C510" s="54" t="s">
        <v>32</v>
      </c>
      <c r="D510" s="54" t="s">
        <v>152</v>
      </c>
      <c r="E510" s="68" t="s">
        <v>1050</v>
      </c>
      <c r="F510" s="54" t="s">
        <v>62</v>
      </c>
      <c r="G510" s="54" t="s">
        <v>36</v>
      </c>
      <c r="H510" s="54">
        <f>STOCK[[#This Row],[Precio Final]]</f>
        <v>20</v>
      </c>
      <c r="I510" s="54">
        <f>STOCK[[#This Row],[Precio Venta Ideal (x1.5)]]</f>
        <v>30.971590909091</v>
      </c>
      <c r="J510" s="72">
        <v>1</v>
      </c>
      <c r="K510" s="72">
        <f>SUMIFS(VENTAS[Cantidad],VENTAS[Código del producto Vendido],STOCK[[#This Row],[Code]])</f>
        <v>1</v>
      </c>
      <c r="L510" s="72">
        <f>STOCK[[#This Row],[Entradas]]-STOCK[[#This Row],[Salidas]]</f>
        <v>0</v>
      </c>
      <c r="M510" s="54">
        <f>STOCK[[#This Row],[Precio Final]]*10%</f>
        <v>2</v>
      </c>
      <c r="N510" s="54">
        <v>205</v>
      </c>
      <c r="O510" s="54">
        <v>17.6</v>
      </c>
      <c r="P510" s="54">
        <v>11.6477272727273</v>
      </c>
      <c r="Q510" s="72">
        <v>400</v>
      </c>
      <c r="R510" s="54">
        <v>17.5</v>
      </c>
      <c r="S510" s="54">
        <f>STOCK[[#This Row],[Peso (g)]]*STOCK[[#This Row],[Precio Envío Kilogramo (USD)]]/1000</f>
        <v>7</v>
      </c>
      <c r="T510" s="53">
        <f>STOCK[[#This Row],[Costo Unitario (USD)]]+STOCK[[#This Row],[Costo Envío (USD)]]+STOCK[[#This Row],[Comisión 10%]]</f>
        <v>20.6477272727273</v>
      </c>
      <c r="U510" s="54">
        <f>STOCK[[#This Row],[Costo total]]*1.5</f>
        <v>30.971590909091</v>
      </c>
      <c r="V510" s="54">
        <v>20</v>
      </c>
      <c r="W510" s="54">
        <f>STOCK[[#This Row],[Precio Final]]-STOCK[[#This Row],[Costo total]]</f>
        <v>-0.647727272727302</v>
      </c>
      <c r="X510" s="54">
        <f>STOCK[[#This Row],[Ganancia Unitaria]]*STOCK[[#This Row],[Salidas]]</f>
        <v>-0.647727272727302</v>
      </c>
      <c r="AA510" s="54">
        <f>STOCK[[#This Row],[Costo total]]*STOCK[[#This Row],[Entradas]]</f>
        <v>20.6477272727273</v>
      </c>
      <c r="AB510" s="54">
        <f>STOCK[[#This Row],[Stock Actual]]*STOCK[[#This Row],[Costo total]]</f>
        <v>0</v>
      </c>
    </row>
    <row r="511" s="53" customFormat="1" ht="50" customHeight="1" spans="1:28">
      <c r="A511" s="53" t="s">
        <v>1051</v>
      </c>
      <c r="B511" s="66"/>
      <c r="C511" s="53" t="s">
        <v>32</v>
      </c>
      <c r="D511" s="53" t="s">
        <v>152</v>
      </c>
      <c r="E511" s="67" t="s">
        <v>1050</v>
      </c>
      <c r="F511" s="53" t="s">
        <v>49</v>
      </c>
      <c r="G511" s="53" t="s">
        <v>36</v>
      </c>
      <c r="H511" s="53">
        <f>STOCK[[#This Row],[Precio Final]]</f>
        <v>30</v>
      </c>
      <c r="I511" s="53">
        <f>STOCK[[#This Row],[Precio Venta Ideal (x1.5)]]</f>
        <v>32.4715909090909</v>
      </c>
      <c r="J511" s="71">
        <v>1</v>
      </c>
      <c r="K511" s="71">
        <f>SUMIFS(VENTAS[Cantidad],VENTAS[Código del producto Vendido],STOCK[[#This Row],[Code]])</f>
        <v>1</v>
      </c>
      <c r="L511" s="71">
        <f>STOCK[[#This Row],[Entradas]]-STOCK[[#This Row],[Salidas]]</f>
        <v>0</v>
      </c>
      <c r="M511" s="53">
        <f>STOCK[[#This Row],[Precio Final]]*10%</f>
        <v>3</v>
      </c>
      <c r="N511" s="53">
        <v>205</v>
      </c>
      <c r="O511" s="53">
        <v>17.6</v>
      </c>
      <c r="P511" s="53">
        <v>11.6477272727273</v>
      </c>
      <c r="Q511" s="71">
        <v>400</v>
      </c>
      <c r="R511" s="53">
        <v>17.5</v>
      </c>
      <c r="S511" s="53">
        <f>STOCK[[#This Row],[Peso (g)]]*STOCK[[#This Row],[Precio Envío Kilogramo (USD)]]/1000</f>
        <v>7</v>
      </c>
      <c r="T511" s="53">
        <f>STOCK[[#This Row],[Costo Unitario (USD)]]+STOCK[[#This Row],[Costo Envío (USD)]]+STOCK[[#This Row],[Comisión 10%]]</f>
        <v>21.6477272727273</v>
      </c>
      <c r="U511" s="53">
        <f>STOCK[[#This Row],[Costo total]]*1.5</f>
        <v>32.4715909090909</v>
      </c>
      <c r="V511" s="53">
        <v>30</v>
      </c>
      <c r="W511" s="53">
        <f>STOCK[[#This Row],[Precio Final]]-STOCK[[#This Row],[Costo total]]</f>
        <v>8.3522727272727</v>
      </c>
      <c r="X511" s="53">
        <f>STOCK[[#This Row],[Ganancia Unitaria]]*STOCK[[#This Row],[Salidas]]</f>
        <v>8.3522727272727</v>
      </c>
      <c r="AA511" s="53">
        <f>STOCK[[#This Row],[Costo total]]*STOCK[[#This Row],[Entradas]]</f>
        <v>21.6477272727273</v>
      </c>
      <c r="AB511" s="53">
        <f>STOCK[[#This Row],[Stock Actual]]*STOCK[[#This Row],[Costo total]]</f>
        <v>0</v>
      </c>
    </row>
    <row r="512" s="54" customFormat="1" ht="50" customHeight="1" spans="1:28">
      <c r="A512" s="54" t="s">
        <v>1052</v>
      </c>
      <c r="B512" s="66"/>
      <c r="C512" s="54" t="s">
        <v>32</v>
      </c>
      <c r="D512" s="54" t="s">
        <v>152</v>
      </c>
      <c r="E512" s="68" t="s">
        <v>1050</v>
      </c>
      <c r="F512" s="54" t="s">
        <v>46</v>
      </c>
      <c r="G512" s="54" t="s">
        <v>36</v>
      </c>
      <c r="H512" s="54">
        <f>STOCK[[#This Row],[Precio Final]]</f>
        <v>30</v>
      </c>
      <c r="I512" s="54">
        <f>STOCK[[#This Row],[Precio Venta Ideal (x1.5)]]</f>
        <v>32.4715909090909</v>
      </c>
      <c r="J512" s="72">
        <v>3</v>
      </c>
      <c r="K512" s="72">
        <f>SUMIFS(VENTAS[Cantidad],VENTAS[Código del producto Vendido],STOCK[[#This Row],[Code]])</f>
        <v>3</v>
      </c>
      <c r="L512" s="72">
        <f>STOCK[[#This Row],[Entradas]]-STOCK[[#This Row],[Salidas]]</f>
        <v>0</v>
      </c>
      <c r="M512" s="54">
        <f>STOCK[[#This Row],[Precio Final]]*10%</f>
        <v>3</v>
      </c>
      <c r="N512" s="54">
        <v>205</v>
      </c>
      <c r="O512" s="54">
        <v>17.6</v>
      </c>
      <c r="P512" s="54">
        <v>11.6477272727273</v>
      </c>
      <c r="Q512" s="72">
        <v>400</v>
      </c>
      <c r="R512" s="54">
        <v>17.5</v>
      </c>
      <c r="S512" s="54">
        <f>STOCK[[#This Row],[Peso (g)]]*STOCK[[#This Row],[Precio Envío Kilogramo (USD)]]/1000</f>
        <v>7</v>
      </c>
      <c r="T512" s="53">
        <f>STOCK[[#This Row],[Costo Unitario (USD)]]+STOCK[[#This Row],[Costo Envío (USD)]]+STOCK[[#This Row],[Comisión 10%]]</f>
        <v>21.6477272727273</v>
      </c>
      <c r="U512" s="54">
        <f>STOCK[[#This Row],[Costo total]]*1.5</f>
        <v>32.4715909090909</v>
      </c>
      <c r="V512" s="54">
        <v>30</v>
      </c>
      <c r="W512" s="54">
        <f>STOCK[[#This Row],[Precio Final]]-STOCK[[#This Row],[Costo total]]</f>
        <v>8.3522727272727</v>
      </c>
      <c r="X512" s="54">
        <f>STOCK[[#This Row],[Ganancia Unitaria]]*STOCK[[#This Row],[Salidas]]</f>
        <v>25.0568181818181</v>
      </c>
      <c r="AA512" s="54">
        <f>STOCK[[#This Row],[Costo total]]*STOCK[[#This Row],[Entradas]]</f>
        <v>64.9431818181819</v>
      </c>
      <c r="AB512" s="54">
        <f>STOCK[[#This Row],[Stock Actual]]*STOCK[[#This Row],[Costo total]]</f>
        <v>0</v>
      </c>
    </row>
    <row r="513" s="53" customFormat="1" ht="50" customHeight="1" spans="1:28">
      <c r="A513" s="53" t="s">
        <v>1053</v>
      </c>
      <c r="B513" s="66"/>
      <c r="C513" s="53" t="s">
        <v>32</v>
      </c>
      <c r="D513" s="53" t="s">
        <v>1014</v>
      </c>
      <c r="E513" s="67" t="s">
        <v>1054</v>
      </c>
      <c r="F513" s="53" t="s">
        <v>88</v>
      </c>
      <c r="G513" s="53" t="s">
        <v>36</v>
      </c>
      <c r="H513" s="53">
        <f>STOCK[[#This Row],[Precio Final]]</f>
        <v>30</v>
      </c>
      <c r="I513" s="53">
        <f>STOCK[[#This Row],[Precio Venta Ideal (x1.5)]]</f>
        <v>36.7056818181818</v>
      </c>
      <c r="J513" s="71">
        <v>1</v>
      </c>
      <c r="K513" s="71">
        <f>SUMIFS(VENTAS[Cantidad],VENTAS[Código del producto Vendido],STOCK[[#This Row],[Code]])</f>
        <v>1</v>
      </c>
      <c r="L513" s="71">
        <f>STOCK[[#This Row],[Entradas]]-STOCK[[#This Row],[Salidas]]</f>
        <v>0</v>
      </c>
      <c r="M513" s="53">
        <f>STOCK[[#This Row],[Precio Final]]*10%</f>
        <v>3</v>
      </c>
      <c r="N513" s="53">
        <v>267</v>
      </c>
      <c r="O513" s="53">
        <v>17.6</v>
      </c>
      <c r="P513" s="53">
        <v>15.1704545454545</v>
      </c>
      <c r="Q513" s="71">
        <v>360</v>
      </c>
      <c r="R513" s="53">
        <v>17.5</v>
      </c>
      <c r="S513" s="53">
        <f>STOCK[[#This Row],[Peso (g)]]*STOCK[[#This Row],[Precio Envío Kilogramo (USD)]]/1000</f>
        <v>6.3</v>
      </c>
      <c r="T513" s="53">
        <f>STOCK[[#This Row],[Costo Unitario (USD)]]+STOCK[[#This Row],[Costo Envío (USD)]]+STOCK[[#This Row],[Comisión 10%]]</f>
        <v>24.4704545454545</v>
      </c>
      <c r="U513" s="53">
        <f>STOCK[[#This Row],[Costo total]]*1.5</f>
        <v>36.7056818181818</v>
      </c>
      <c r="V513" s="53">
        <v>30</v>
      </c>
      <c r="W513" s="53">
        <f>STOCK[[#This Row],[Precio Final]]-STOCK[[#This Row],[Costo total]]</f>
        <v>5.5295454545455</v>
      </c>
      <c r="X513" s="53">
        <f>STOCK[[#This Row],[Ganancia Unitaria]]*STOCK[[#This Row],[Salidas]]</f>
        <v>5.5295454545455</v>
      </c>
      <c r="Y513" s="53" t="s">
        <v>928</v>
      </c>
      <c r="AA513" s="53">
        <f>STOCK[[#This Row],[Costo total]]*STOCK[[#This Row],[Entradas]]</f>
        <v>24.4704545454545</v>
      </c>
      <c r="AB513" s="53">
        <f>STOCK[[#This Row],[Stock Actual]]*STOCK[[#This Row],[Costo total]]</f>
        <v>0</v>
      </c>
    </row>
    <row r="514" s="54" customFormat="1" ht="50" customHeight="1" spans="1:28">
      <c r="A514" s="54" t="s">
        <v>1055</v>
      </c>
      <c r="B514" s="66"/>
      <c r="C514" s="54" t="s">
        <v>32</v>
      </c>
      <c r="D514" s="54" t="s">
        <v>1014</v>
      </c>
      <c r="E514" s="68" t="s">
        <v>1054</v>
      </c>
      <c r="F514" s="54" t="s">
        <v>211</v>
      </c>
      <c r="G514" s="54" t="s">
        <v>36</v>
      </c>
      <c r="H514" s="54">
        <f>STOCK[[#This Row],[Precio Final]]</f>
        <v>30</v>
      </c>
      <c r="I514" s="54">
        <f>STOCK[[#This Row],[Precio Venta Ideal (x1.5)]]</f>
        <v>36.7056818181818</v>
      </c>
      <c r="J514" s="72">
        <v>1</v>
      </c>
      <c r="K514" s="72">
        <f>SUMIFS(VENTAS[Cantidad],VENTAS[Código del producto Vendido],STOCK[[#This Row],[Code]])</f>
        <v>1</v>
      </c>
      <c r="L514" s="72">
        <f>STOCK[[#This Row],[Entradas]]-STOCK[[#This Row],[Salidas]]</f>
        <v>0</v>
      </c>
      <c r="M514" s="54">
        <f>STOCK[[#This Row],[Precio Final]]*10%</f>
        <v>3</v>
      </c>
      <c r="N514" s="54">
        <v>267</v>
      </c>
      <c r="O514" s="54">
        <v>17.6</v>
      </c>
      <c r="P514" s="54">
        <v>15.1704545454545</v>
      </c>
      <c r="Q514" s="72">
        <v>360</v>
      </c>
      <c r="R514" s="54">
        <v>17.5</v>
      </c>
      <c r="S514" s="54">
        <f>STOCK[[#This Row],[Peso (g)]]*STOCK[[#This Row],[Precio Envío Kilogramo (USD)]]/1000</f>
        <v>6.3</v>
      </c>
      <c r="T514" s="53">
        <f>STOCK[[#This Row],[Costo Unitario (USD)]]+STOCK[[#This Row],[Costo Envío (USD)]]+STOCK[[#This Row],[Comisión 10%]]</f>
        <v>24.4704545454545</v>
      </c>
      <c r="U514" s="54">
        <f>STOCK[[#This Row],[Costo total]]*1.5</f>
        <v>36.7056818181818</v>
      </c>
      <c r="V514" s="54">
        <v>30</v>
      </c>
      <c r="W514" s="54">
        <f>STOCK[[#This Row],[Precio Final]]-STOCK[[#This Row],[Costo total]]</f>
        <v>5.5295454545455</v>
      </c>
      <c r="X514" s="54">
        <f>STOCK[[#This Row],[Ganancia Unitaria]]*STOCK[[#This Row],[Salidas]]</f>
        <v>5.5295454545455</v>
      </c>
      <c r="Y514" s="54" t="s">
        <v>928</v>
      </c>
      <c r="AA514" s="54">
        <f>STOCK[[#This Row],[Costo total]]*STOCK[[#This Row],[Entradas]]</f>
        <v>24.4704545454545</v>
      </c>
      <c r="AB514" s="54">
        <f>STOCK[[#This Row],[Stock Actual]]*STOCK[[#This Row],[Costo total]]</f>
        <v>0</v>
      </c>
    </row>
    <row r="515" s="53" customFormat="1" ht="50" customHeight="1" spans="1:28">
      <c r="A515" s="53" t="s">
        <v>1056</v>
      </c>
      <c r="B515" s="66"/>
      <c r="C515" s="53" t="s">
        <v>32</v>
      </c>
      <c r="D515" s="53" t="s">
        <v>1057</v>
      </c>
      <c r="E515" s="67" t="s">
        <v>1054</v>
      </c>
      <c r="F515" s="53" t="s">
        <v>46</v>
      </c>
      <c r="G515" s="53" t="s">
        <v>36</v>
      </c>
      <c r="H515" s="53">
        <f>STOCK[[#This Row],[Precio Final]]</f>
        <v>30</v>
      </c>
      <c r="I515" s="53">
        <f>STOCK[[#This Row],[Precio Venta Ideal (x1.5)]]</f>
        <v>36.7056818181818</v>
      </c>
      <c r="J515" s="71">
        <v>2</v>
      </c>
      <c r="K515" s="71">
        <f>SUMIFS(VENTAS[Cantidad],VENTAS[Código del producto Vendido],STOCK[[#This Row],[Code]])</f>
        <v>0</v>
      </c>
      <c r="L515" s="71">
        <f>STOCK[[#This Row],[Entradas]]-STOCK[[#This Row],[Salidas]]</f>
        <v>2</v>
      </c>
      <c r="M515" s="53">
        <f>STOCK[[#This Row],[Precio Final]]*10%</f>
        <v>3</v>
      </c>
      <c r="N515" s="53">
        <v>267</v>
      </c>
      <c r="O515" s="53">
        <v>17.6</v>
      </c>
      <c r="P515" s="53">
        <v>15.1704545454545</v>
      </c>
      <c r="Q515" s="71">
        <v>360</v>
      </c>
      <c r="R515" s="53">
        <v>17.5</v>
      </c>
      <c r="S515" s="53">
        <f>STOCK[[#This Row],[Peso (g)]]*STOCK[[#This Row],[Precio Envío Kilogramo (USD)]]/1000</f>
        <v>6.3</v>
      </c>
      <c r="T515" s="53">
        <f>STOCK[[#This Row],[Costo Unitario (USD)]]+STOCK[[#This Row],[Costo Envío (USD)]]+STOCK[[#This Row],[Comisión 10%]]</f>
        <v>24.4704545454545</v>
      </c>
      <c r="U515" s="53">
        <f>STOCK[[#This Row],[Costo total]]*1.5</f>
        <v>36.7056818181818</v>
      </c>
      <c r="V515" s="53">
        <v>30</v>
      </c>
      <c r="W515" s="53">
        <f>STOCK[[#This Row],[Precio Final]]-STOCK[[#This Row],[Costo total]]</f>
        <v>5.5295454545455</v>
      </c>
      <c r="X515" s="53">
        <f>STOCK[[#This Row],[Ganancia Unitaria]]*STOCK[[#This Row],[Salidas]]</f>
        <v>0</v>
      </c>
      <c r="Y515" s="53" t="s">
        <v>928</v>
      </c>
      <c r="AA515" s="53">
        <f>STOCK[[#This Row],[Costo total]]*STOCK[[#This Row],[Entradas]]</f>
        <v>48.940909090909</v>
      </c>
      <c r="AB515" s="53">
        <f>STOCK[[#This Row],[Stock Actual]]*STOCK[[#This Row],[Costo total]]</f>
        <v>48.940909090909</v>
      </c>
    </row>
    <row r="516" s="54" customFormat="1" ht="50" customHeight="1" spans="1:28">
      <c r="A516" s="54" t="s">
        <v>1058</v>
      </c>
      <c r="B516" s="66"/>
      <c r="C516" s="54" t="s">
        <v>32</v>
      </c>
      <c r="D516" s="54" t="s">
        <v>152</v>
      </c>
      <c r="E516" s="68" t="s">
        <v>1059</v>
      </c>
      <c r="F516" s="54" t="s">
        <v>211</v>
      </c>
      <c r="G516" s="54" t="s">
        <v>36</v>
      </c>
      <c r="H516" s="54">
        <f>STOCK[[#This Row],[Precio Final]]</f>
        <v>20</v>
      </c>
      <c r="I516" s="54">
        <f>STOCK[[#This Row],[Precio Venta Ideal (x1.5)]]</f>
        <v>25.2954545454546</v>
      </c>
      <c r="J516" s="72">
        <v>1</v>
      </c>
      <c r="K516" s="72">
        <f>SUMIFS(VENTAS[Cantidad],VENTAS[Código del producto Vendido],STOCK[[#This Row],[Code]])</f>
        <v>1</v>
      </c>
      <c r="L516" s="72">
        <f>STOCK[[#This Row],[Entradas]]-STOCK[[#This Row],[Salidas]]</f>
        <v>0</v>
      </c>
      <c r="M516" s="54">
        <f>STOCK[[#This Row],[Precio Final]]*10%</f>
        <v>2</v>
      </c>
      <c r="N516" s="54">
        <v>200</v>
      </c>
      <c r="O516" s="54">
        <v>17.6</v>
      </c>
      <c r="P516" s="54">
        <v>11.3636363636364</v>
      </c>
      <c r="Q516" s="72">
        <v>200</v>
      </c>
      <c r="R516" s="54">
        <v>17.5</v>
      </c>
      <c r="S516" s="54">
        <f>STOCK[[#This Row],[Peso (g)]]*STOCK[[#This Row],[Precio Envío Kilogramo (USD)]]/1000</f>
        <v>3.5</v>
      </c>
      <c r="T516" s="53">
        <f>STOCK[[#This Row],[Costo Unitario (USD)]]+STOCK[[#This Row],[Costo Envío (USD)]]+STOCK[[#This Row],[Comisión 10%]]</f>
        <v>16.8636363636364</v>
      </c>
      <c r="U516" s="54">
        <f>STOCK[[#This Row],[Costo total]]*1.5</f>
        <v>25.2954545454546</v>
      </c>
      <c r="V516" s="54">
        <v>20</v>
      </c>
      <c r="W516" s="54">
        <f>STOCK[[#This Row],[Precio Final]]-STOCK[[#This Row],[Costo total]]</f>
        <v>3.1363636363636</v>
      </c>
      <c r="X516" s="54">
        <f>STOCK[[#This Row],[Ganancia Unitaria]]*STOCK[[#This Row],[Salidas]]</f>
        <v>3.1363636363636</v>
      </c>
      <c r="AA516" s="54">
        <f>STOCK[[#This Row],[Costo total]]*STOCK[[#This Row],[Entradas]]</f>
        <v>16.8636363636364</v>
      </c>
      <c r="AB516" s="54">
        <f>STOCK[[#This Row],[Stock Actual]]*STOCK[[#This Row],[Costo total]]</f>
        <v>0</v>
      </c>
    </row>
    <row r="517" s="53" customFormat="1" ht="50" customHeight="1" spans="1:29">
      <c r="A517" s="53" t="s">
        <v>1060</v>
      </c>
      <c r="B517" s="66"/>
      <c r="C517" s="53" t="s">
        <v>32</v>
      </c>
      <c r="D517" s="53" t="s">
        <v>706</v>
      </c>
      <c r="E517" s="67" t="s">
        <v>1061</v>
      </c>
      <c r="F517" s="53" t="s">
        <v>62</v>
      </c>
      <c r="G517" s="53" t="s">
        <v>704</v>
      </c>
      <c r="H517" s="53">
        <f>STOCK[[#This Row],[Precio Final]]</f>
        <v>8</v>
      </c>
      <c r="I517" s="53">
        <f>STOCK[[#This Row],[Precio Venta Ideal (x1.5)]]</f>
        <v>8.68897058823529</v>
      </c>
      <c r="J517" s="71">
        <v>4</v>
      </c>
      <c r="K517" s="71">
        <f>SUMIFS(VENTAS[Cantidad],VENTAS[Código del producto Vendido],STOCK[[#This Row],[Code]])</f>
        <v>1</v>
      </c>
      <c r="L517" s="71">
        <f>STOCK[[#This Row],[Entradas]]-STOCK[[#This Row],[Salidas]]</f>
        <v>3</v>
      </c>
      <c r="M517" s="53">
        <f>STOCK[[#This Row],[Precio Final]]*10%</f>
        <v>0.8</v>
      </c>
      <c r="N517" s="53">
        <v>70</v>
      </c>
      <c r="O517" s="53">
        <v>17</v>
      </c>
      <c r="P517" s="53">
        <v>4.11764705882353</v>
      </c>
      <c r="Q517" s="71">
        <v>50</v>
      </c>
      <c r="R517" s="53">
        <v>17.5</v>
      </c>
      <c r="S517" s="53">
        <f>STOCK[[#This Row],[Peso (g)]]*STOCK[[#This Row],[Precio Envío Kilogramo (USD)]]/1000</f>
        <v>0.875</v>
      </c>
      <c r="T517" s="53">
        <f>STOCK[[#This Row],[Costo Unitario (USD)]]+STOCK[[#This Row],[Costo Envío (USD)]]+STOCK[[#This Row],[Comisión 10%]]</f>
        <v>5.79264705882353</v>
      </c>
      <c r="U517" s="53">
        <f>STOCK[[#This Row],[Costo total]]*1.5</f>
        <v>8.68897058823529</v>
      </c>
      <c r="V517" s="53">
        <v>8</v>
      </c>
      <c r="W517" s="53">
        <f>STOCK[[#This Row],[Precio Final]]-STOCK[[#This Row],[Costo total]]</f>
        <v>2.20735294117647</v>
      </c>
      <c r="X517" s="53">
        <f>STOCK[[#This Row],[Ganancia Unitaria]]*STOCK[[#This Row],[Salidas]]</f>
        <v>2.20735294117647</v>
      </c>
      <c r="AA517" s="53">
        <f>STOCK[[#This Row],[Costo total]]*STOCK[[#This Row],[Entradas]]</f>
        <v>23.1705882352941</v>
      </c>
      <c r="AB517" s="53">
        <f>STOCK[[#This Row],[Stock Actual]]*STOCK[[#This Row],[Costo total]]</f>
        <v>17.3779411764706</v>
      </c>
      <c r="AC517" s="53">
        <v>7</v>
      </c>
    </row>
    <row r="518" s="54" customFormat="1" ht="50" customHeight="1" spans="2:28">
      <c r="B518" s="66"/>
      <c r="E518" s="68"/>
      <c r="H518" s="54">
        <f>STOCK[[#This Row],[Precio Final]]</f>
        <v>0</v>
      </c>
      <c r="I518" s="54">
        <f>STOCK[[#This Row],[Precio Venta Ideal (x1.5)]]</f>
        <v>0</v>
      </c>
      <c r="J518" s="72"/>
      <c r="K518" s="72">
        <f>SUMIFS(VENTAS[Cantidad],VENTAS[Código del producto Vendido],STOCK[[#This Row],[Code]])</f>
        <v>0</v>
      </c>
      <c r="L518" s="72">
        <f>STOCK[[#This Row],[Entradas]]-STOCK[[#This Row],[Salidas]]</f>
        <v>0</v>
      </c>
      <c r="M518" s="54">
        <f>STOCK[[#This Row],[Precio Final]]*10%</f>
        <v>0</v>
      </c>
      <c r="Q518" s="72"/>
      <c r="S518" s="54">
        <f>STOCK[[#This Row],[Peso (g)]]*STOCK[[#This Row],[Precio Envío Kilogramo (USD)]]/1000</f>
        <v>0</v>
      </c>
      <c r="T518" s="53">
        <f>STOCK[[#This Row],[Costo Unitario (USD)]]+STOCK[[#This Row],[Costo Envío (USD)]]+STOCK[[#This Row],[Comisión 10%]]</f>
        <v>0</v>
      </c>
      <c r="U518" s="54">
        <f>STOCK[[#This Row],[Costo total]]*1.5</f>
        <v>0</v>
      </c>
      <c r="W518" s="54">
        <f>STOCK[[#This Row],[Precio Final]]-STOCK[[#This Row],[Costo total]]</f>
        <v>0</v>
      </c>
      <c r="X518" s="54">
        <f>STOCK[[#This Row],[Ganancia Unitaria]]*STOCK[[#This Row],[Salidas]]</f>
        <v>0</v>
      </c>
      <c r="AA518" s="54">
        <f>STOCK[[#This Row],[Costo total]]*STOCK[[#This Row],[Entradas]]</f>
        <v>0</v>
      </c>
      <c r="AB518" s="54">
        <f>STOCK[[#This Row],[Stock Actual]]*STOCK[[#This Row],[Costo total]]</f>
        <v>0</v>
      </c>
    </row>
    <row r="519" s="53" customFormat="1" ht="50" customHeight="1" spans="1:29">
      <c r="A519" s="53" t="s">
        <v>1062</v>
      </c>
      <c r="B519" s="66"/>
      <c r="C519" s="53" t="s">
        <v>32</v>
      </c>
      <c r="D519" s="53" t="s">
        <v>706</v>
      </c>
      <c r="E519" s="67" t="s">
        <v>1063</v>
      </c>
      <c r="F519" s="53" t="s">
        <v>40</v>
      </c>
      <c r="G519" s="53" t="s">
        <v>704</v>
      </c>
      <c r="H519" s="53">
        <f>STOCK[[#This Row],[Precio Final]]</f>
        <v>8</v>
      </c>
      <c r="I519" s="53">
        <f>STOCK[[#This Row],[Precio Venta Ideal (x1.5)]]</f>
        <v>7.80661764705882</v>
      </c>
      <c r="J519" s="71">
        <v>6</v>
      </c>
      <c r="K519" s="71">
        <f>SUMIFS(VENTAS[Cantidad],VENTAS[Código del producto Vendido],STOCK[[#This Row],[Code]])</f>
        <v>3</v>
      </c>
      <c r="L519" s="71">
        <f>STOCK[[#This Row],[Entradas]]-STOCK[[#This Row],[Salidas]]</f>
        <v>3</v>
      </c>
      <c r="M519" s="53">
        <f>STOCK[[#This Row],[Precio Final]]*10%</f>
        <v>0.8</v>
      </c>
      <c r="N519" s="53">
        <v>60</v>
      </c>
      <c r="O519" s="53">
        <v>17</v>
      </c>
      <c r="P519" s="53">
        <v>3.52941176470588</v>
      </c>
      <c r="Q519" s="71">
        <v>50</v>
      </c>
      <c r="R519" s="53">
        <v>17.5</v>
      </c>
      <c r="S519" s="53">
        <f>STOCK[[#This Row],[Peso (g)]]*STOCK[[#This Row],[Precio Envío Kilogramo (USD)]]/1000</f>
        <v>0.875</v>
      </c>
      <c r="T519" s="53">
        <f>STOCK[[#This Row],[Costo Unitario (USD)]]+STOCK[[#This Row],[Costo Envío (USD)]]+STOCK[[#This Row],[Comisión 10%]]</f>
        <v>5.20441176470588</v>
      </c>
      <c r="U519" s="53">
        <f>STOCK[[#This Row],[Costo total]]*1.5</f>
        <v>7.80661764705882</v>
      </c>
      <c r="V519" s="53">
        <v>8</v>
      </c>
      <c r="W519" s="53">
        <f>STOCK[[#This Row],[Precio Final]]-STOCK[[#This Row],[Costo total]]</f>
        <v>2.79558823529412</v>
      </c>
      <c r="X519" s="53">
        <f>STOCK[[#This Row],[Ganancia Unitaria]]*STOCK[[#This Row],[Salidas]]</f>
        <v>8.38676470588236</v>
      </c>
      <c r="AA519" s="53">
        <f>STOCK[[#This Row],[Costo total]]*STOCK[[#This Row],[Entradas]]</f>
        <v>31.2264705882353</v>
      </c>
      <c r="AB519" s="53">
        <f>STOCK[[#This Row],[Stock Actual]]*STOCK[[#This Row],[Costo total]]</f>
        <v>15.6132352941176</v>
      </c>
      <c r="AC519" s="53">
        <v>7</v>
      </c>
    </row>
    <row r="520" s="54" customFormat="1" ht="50" customHeight="1" spans="1:29">
      <c r="A520" s="54" t="s">
        <v>1064</v>
      </c>
      <c r="B520" s="66"/>
      <c r="C520" s="54" t="s">
        <v>32</v>
      </c>
      <c r="D520" s="54" t="s">
        <v>706</v>
      </c>
      <c r="E520" s="68" t="s">
        <v>1065</v>
      </c>
      <c r="F520" s="54" t="s">
        <v>62</v>
      </c>
      <c r="G520" s="54" t="s">
        <v>704</v>
      </c>
      <c r="H520" s="54">
        <f>STOCK[[#This Row],[Precio Final]]</f>
        <v>9</v>
      </c>
      <c r="I520" s="54">
        <f>STOCK[[#This Row],[Precio Venta Ideal (x1.5)]]</f>
        <v>8.83897058823529</v>
      </c>
      <c r="J520" s="72">
        <v>4</v>
      </c>
      <c r="K520" s="72">
        <f>SUMIFS(VENTAS[Cantidad],VENTAS[Código del producto Vendido],STOCK[[#This Row],[Code]])</f>
        <v>3</v>
      </c>
      <c r="L520" s="72">
        <f>STOCK[[#This Row],[Entradas]]-STOCK[[#This Row],[Salidas]]</f>
        <v>1</v>
      </c>
      <c r="M520" s="54">
        <f>STOCK[[#This Row],[Precio Final]]*10%</f>
        <v>0.9</v>
      </c>
      <c r="N520" s="54">
        <v>70</v>
      </c>
      <c r="O520" s="54">
        <v>17</v>
      </c>
      <c r="P520" s="54">
        <v>4.11764705882353</v>
      </c>
      <c r="Q520" s="72">
        <v>50</v>
      </c>
      <c r="R520" s="54">
        <v>17.5</v>
      </c>
      <c r="S520" s="54">
        <f>STOCK[[#This Row],[Peso (g)]]*STOCK[[#This Row],[Precio Envío Kilogramo (USD)]]/1000</f>
        <v>0.875</v>
      </c>
      <c r="T520" s="53">
        <f>STOCK[[#This Row],[Costo Unitario (USD)]]+STOCK[[#This Row],[Costo Envío (USD)]]+STOCK[[#This Row],[Comisión 10%]]</f>
        <v>5.89264705882353</v>
      </c>
      <c r="U520" s="54">
        <f>STOCK[[#This Row],[Costo total]]*1.5</f>
        <v>8.83897058823529</v>
      </c>
      <c r="V520" s="54">
        <v>9</v>
      </c>
      <c r="W520" s="54">
        <f>STOCK[[#This Row],[Precio Final]]-STOCK[[#This Row],[Costo total]]</f>
        <v>3.10735294117647</v>
      </c>
      <c r="X520" s="54">
        <f>STOCK[[#This Row],[Ganancia Unitaria]]*STOCK[[#This Row],[Salidas]]</f>
        <v>9.32205882352941</v>
      </c>
      <c r="AA520" s="54">
        <f>STOCK[[#This Row],[Costo total]]*STOCK[[#This Row],[Entradas]]</f>
        <v>23.5705882352941</v>
      </c>
      <c r="AB520" s="54">
        <f>STOCK[[#This Row],[Stock Actual]]*STOCK[[#This Row],[Costo total]]</f>
        <v>5.89264705882353</v>
      </c>
      <c r="AC520" s="54">
        <v>7</v>
      </c>
    </row>
    <row r="521" s="53" customFormat="1" ht="50" customHeight="1" spans="1:28">
      <c r="A521" s="53" t="s">
        <v>1066</v>
      </c>
      <c r="B521" s="66"/>
      <c r="C521" s="53" t="s">
        <v>32</v>
      </c>
      <c r="D521" s="53" t="s">
        <v>152</v>
      </c>
      <c r="E521" s="67" t="s">
        <v>1067</v>
      </c>
      <c r="F521" s="53" t="s">
        <v>62</v>
      </c>
      <c r="G521" s="53" t="s">
        <v>36</v>
      </c>
      <c r="H521" s="53">
        <f>STOCK[[#This Row],[Precio Final]]</f>
        <v>20</v>
      </c>
      <c r="I521" s="53">
        <f>STOCK[[#This Row],[Precio Venta Ideal (x1.5)]]</f>
        <v>23.4650735294118</v>
      </c>
      <c r="J521" s="71">
        <v>2</v>
      </c>
      <c r="K521" s="71">
        <f>SUMIFS(VENTAS[Cantidad],VENTAS[Código del producto Vendido],STOCK[[#This Row],[Code]])</f>
        <v>2</v>
      </c>
      <c r="L521" s="71">
        <f>STOCK[[#This Row],[Entradas]]-STOCK[[#This Row],[Salidas]]</f>
        <v>0</v>
      </c>
      <c r="M521" s="53">
        <f>STOCK[[#This Row],[Precio Final]]*10%</f>
        <v>2</v>
      </c>
      <c r="N521" s="53">
        <v>165</v>
      </c>
      <c r="O521" s="53">
        <v>17</v>
      </c>
      <c r="P521" s="53">
        <v>9.70588235294118</v>
      </c>
      <c r="Q521" s="71">
        <v>225</v>
      </c>
      <c r="R521" s="53">
        <v>17.5</v>
      </c>
      <c r="S521" s="53">
        <f>STOCK[[#This Row],[Peso (g)]]*STOCK[[#This Row],[Precio Envío Kilogramo (USD)]]/1000</f>
        <v>3.9375</v>
      </c>
      <c r="T521" s="53">
        <f>STOCK[[#This Row],[Costo Unitario (USD)]]+STOCK[[#This Row],[Costo Envío (USD)]]+STOCK[[#This Row],[Comisión 10%]]</f>
        <v>15.6433823529412</v>
      </c>
      <c r="U521" s="53">
        <f>STOCK[[#This Row],[Costo total]]*1.5</f>
        <v>23.4650735294118</v>
      </c>
      <c r="V521" s="53">
        <v>20</v>
      </c>
      <c r="W521" s="53">
        <f>STOCK[[#This Row],[Precio Final]]-STOCK[[#This Row],[Costo total]]</f>
        <v>4.35661764705882</v>
      </c>
      <c r="X521" s="53">
        <f>STOCK[[#This Row],[Ganancia Unitaria]]*STOCK[[#This Row],[Salidas]]</f>
        <v>8.71323529411764</v>
      </c>
      <c r="Y521" s="53" t="s">
        <v>928</v>
      </c>
      <c r="AA521" s="53">
        <f>STOCK[[#This Row],[Costo total]]*STOCK[[#This Row],[Entradas]]</f>
        <v>31.2867647058824</v>
      </c>
      <c r="AB521" s="53">
        <f>STOCK[[#This Row],[Stock Actual]]*STOCK[[#This Row],[Costo total]]</f>
        <v>0</v>
      </c>
    </row>
    <row r="522" s="54" customFormat="1" ht="50" customHeight="1" spans="1:28">
      <c r="A522" s="54" t="s">
        <v>1068</v>
      </c>
      <c r="B522" s="66"/>
      <c r="C522" s="54" t="s">
        <v>32</v>
      </c>
      <c r="D522" s="54" t="s">
        <v>152</v>
      </c>
      <c r="E522" s="68" t="s">
        <v>1067</v>
      </c>
      <c r="F522" s="54" t="s">
        <v>49</v>
      </c>
      <c r="G522" s="54" t="s">
        <v>36</v>
      </c>
      <c r="H522" s="54">
        <f>STOCK[[#This Row],[Precio Final]]</f>
        <v>20</v>
      </c>
      <c r="I522" s="54">
        <f>STOCK[[#This Row],[Precio Venta Ideal (x1.5)]]</f>
        <v>23.4650735294118</v>
      </c>
      <c r="J522" s="72">
        <v>2</v>
      </c>
      <c r="K522" s="72">
        <f>SUMIFS(VENTAS[Cantidad],VENTAS[Código del producto Vendido],STOCK[[#This Row],[Code]])</f>
        <v>2</v>
      </c>
      <c r="L522" s="72">
        <f>STOCK[[#This Row],[Entradas]]-STOCK[[#This Row],[Salidas]]</f>
        <v>0</v>
      </c>
      <c r="M522" s="54">
        <f>STOCK[[#This Row],[Precio Final]]*10%</f>
        <v>2</v>
      </c>
      <c r="N522" s="54">
        <v>165</v>
      </c>
      <c r="O522" s="54">
        <v>17</v>
      </c>
      <c r="P522" s="54">
        <v>9.70588235294118</v>
      </c>
      <c r="Q522" s="72">
        <v>225</v>
      </c>
      <c r="R522" s="54">
        <v>17.5</v>
      </c>
      <c r="S522" s="54">
        <f>STOCK[[#This Row],[Peso (g)]]*STOCK[[#This Row],[Precio Envío Kilogramo (USD)]]/1000</f>
        <v>3.9375</v>
      </c>
      <c r="T522" s="53">
        <f>STOCK[[#This Row],[Costo Unitario (USD)]]+STOCK[[#This Row],[Costo Envío (USD)]]+STOCK[[#This Row],[Comisión 10%]]</f>
        <v>15.6433823529412</v>
      </c>
      <c r="U522" s="54">
        <f>STOCK[[#This Row],[Costo total]]*1.5</f>
        <v>23.4650735294118</v>
      </c>
      <c r="V522" s="54">
        <v>20</v>
      </c>
      <c r="W522" s="54">
        <f>STOCK[[#This Row],[Precio Final]]-STOCK[[#This Row],[Costo total]]</f>
        <v>4.35661764705882</v>
      </c>
      <c r="X522" s="54">
        <f>STOCK[[#This Row],[Ganancia Unitaria]]*STOCK[[#This Row],[Salidas]]</f>
        <v>8.71323529411764</v>
      </c>
      <c r="Y522" s="54" t="s">
        <v>928</v>
      </c>
      <c r="AA522" s="54">
        <f>STOCK[[#This Row],[Costo total]]*STOCK[[#This Row],[Entradas]]</f>
        <v>31.2867647058824</v>
      </c>
      <c r="AB522" s="54">
        <f>STOCK[[#This Row],[Stock Actual]]*STOCK[[#This Row],[Costo total]]</f>
        <v>0</v>
      </c>
    </row>
    <row r="523" s="53" customFormat="1" ht="50" customHeight="1" spans="1:28">
      <c r="A523" s="53" t="s">
        <v>1069</v>
      </c>
      <c r="B523" s="66"/>
      <c r="C523" s="53" t="s">
        <v>32</v>
      </c>
      <c r="D523" s="53" t="s">
        <v>174</v>
      </c>
      <c r="E523" s="67" t="s">
        <v>1070</v>
      </c>
      <c r="F523" s="53" t="s">
        <v>40</v>
      </c>
      <c r="G523" s="53" t="s">
        <v>36</v>
      </c>
      <c r="H523" s="53">
        <f>STOCK[[#This Row],[Precio Final]]</f>
        <v>17</v>
      </c>
      <c r="I523" s="53">
        <f>STOCK[[#This Row],[Precio Venta Ideal (x1.5)]]</f>
        <v>21.3132352941177</v>
      </c>
      <c r="J523" s="71">
        <v>2</v>
      </c>
      <c r="K523" s="71">
        <f>SUMIFS(VENTAS[Cantidad],VENTAS[Código del producto Vendido],STOCK[[#This Row],[Code]])</f>
        <v>2</v>
      </c>
      <c r="L523" s="71">
        <f>STOCK[[#This Row],[Entradas]]-STOCK[[#This Row],[Salidas]]</f>
        <v>0</v>
      </c>
      <c r="M523" s="53">
        <f>STOCK[[#This Row],[Precio Final]]*10%</f>
        <v>1.7</v>
      </c>
      <c r="N523" s="53">
        <v>171</v>
      </c>
      <c r="O523" s="53">
        <v>17</v>
      </c>
      <c r="P523" s="53">
        <v>10.0588235294118</v>
      </c>
      <c r="Q523" s="71">
        <v>140</v>
      </c>
      <c r="R523" s="53">
        <v>17.5</v>
      </c>
      <c r="S523" s="53">
        <f>STOCK[[#This Row],[Peso (g)]]*STOCK[[#This Row],[Precio Envío Kilogramo (USD)]]/1000</f>
        <v>2.45</v>
      </c>
      <c r="T523" s="53">
        <f>STOCK[[#This Row],[Costo Unitario (USD)]]+STOCK[[#This Row],[Costo Envío (USD)]]+STOCK[[#This Row],[Comisión 10%]]</f>
        <v>14.2088235294118</v>
      </c>
      <c r="U523" s="53">
        <f>STOCK[[#This Row],[Costo total]]*1.5</f>
        <v>21.3132352941177</v>
      </c>
      <c r="V523" s="53">
        <v>17</v>
      </c>
      <c r="W523" s="53">
        <f>STOCK[[#This Row],[Precio Final]]-STOCK[[#This Row],[Costo total]]</f>
        <v>2.7911764705882</v>
      </c>
      <c r="X523" s="53">
        <f>STOCK[[#This Row],[Ganancia Unitaria]]*STOCK[[#This Row],[Salidas]]</f>
        <v>5.5823529411764</v>
      </c>
      <c r="Y523" s="53" t="s">
        <v>928</v>
      </c>
      <c r="AA523" s="53">
        <f>STOCK[[#This Row],[Costo total]]*STOCK[[#This Row],[Entradas]]</f>
        <v>28.4176470588236</v>
      </c>
      <c r="AB523" s="53">
        <f>STOCK[[#This Row],[Stock Actual]]*STOCK[[#This Row],[Costo total]]</f>
        <v>0</v>
      </c>
    </row>
    <row r="524" s="54" customFormat="1" ht="50" customHeight="1" spans="1:28">
      <c r="A524" s="54" t="s">
        <v>1071</v>
      </c>
      <c r="B524" s="66"/>
      <c r="C524" s="54" t="s">
        <v>32</v>
      </c>
      <c r="D524" s="54" t="s">
        <v>174</v>
      </c>
      <c r="E524" s="68" t="s">
        <v>1070</v>
      </c>
      <c r="F524" s="54" t="s">
        <v>49</v>
      </c>
      <c r="G524" s="54" t="s">
        <v>36</v>
      </c>
      <c r="H524" s="54">
        <f>STOCK[[#This Row],[Precio Final]]</f>
        <v>17</v>
      </c>
      <c r="I524" s="54">
        <f>STOCK[[#This Row],[Precio Venta Ideal (x1.5)]]</f>
        <v>21.3132352941177</v>
      </c>
      <c r="J524" s="72">
        <v>2</v>
      </c>
      <c r="K524" s="72">
        <f>SUMIFS(VENTAS[Cantidad],VENTAS[Código del producto Vendido],STOCK[[#This Row],[Code]])</f>
        <v>2</v>
      </c>
      <c r="L524" s="72">
        <f>STOCK[[#This Row],[Entradas]]-STOCK[[#This Row],[Salidas]]</f>
        <v>0</v>
      </c>
      <c r="M524" s="54">
        <f>STOCK[[#This Row],[Precio Final]]*10%</f>
        <v>1.7</v>
      </c>
      <c r="N524" s="54">
        <v>171</v>
      </c>
      <c r="O524" s="54">
        <v>17</v>
      </c>
      <c r="P524" s="54">
        <v>10.0588235294118</v>
      </c>
      <c r="Q524" s="72">
        <v>140</v>
      </c>
      <c r="R524" s="54">
        <v>17.5</v>
      </c>
      <c r="S524" s="54">
        <f>STOCK[[#This Row],[Peso (g)]]*STOCK[[#This Row],[Precio Envío Kilogramo (USD)]]/1000</f>
        <v>2.45</v>
      </c>
      <c r="T524" s="53">
        <f>STOCK[[#This Row],[Costo Unitario (USD)]]+STOCK[[#This Row],[Costo Envío (USD)]]+STOCK[[#This Row],[Comisión 10%]]</f>
        <v>14.2088235294118</v>
      </c>
      <c r="U524" s="54">
        <f>STOCK[[#This Row],[Costo total]]*1.5</f>
        <v>21.3132352941177</v>
      </c>
      <c r="V524" s="54">
        <v>17</v>
      </c>
      <c r="W524" s="54">
        <f>STOCK[[#This Row],[Precio Final]]-STOCK[[#This Row],[Costo total]]</f>
        <v>2.7911764705882</v>
      </c>
      <c r="X524" s="54">
        <f>STOCK[[#This Row],[Ganancia Unitaria]]*STOCK[[#This Row],[Salidas]]</f>
        <v>5.5823529411764</v>
      </c>
      <c r="Y524" s="54" t="s">
        <v>928</v>
      </c>
      <c r="AA524" s="54">
        <f>STOCK[[#This Row],[Costo total]]*STOCK[[#This Row],[Entradas]]</f>
        <v>28.4176470588236</v>
      </c>
      <c r="AB524" s="54">
        <f>STOCK[[#This Row],[Stock Actual]]*STOCK[[#This Row],[Costo total]]</f>
        <v>0</v>
      </c>
    </row>
    <row r="525" s="53" customFormat="1" ht="50" customHeight="1" spans="1:28">
      <c r="A525" s="53" t="s">
        <v>1072</v>
      </c>
      <c r="B525" s="66"/>
      <c r="C525" s="53" t="s">
        <v>32</v>
      </c>
      <c r="D525" s="53" t="s">
        <v>38</v>
      </c>
      <c r="E525" s="67" t="s">
        <v>1073</v>
      </c>
      <c r="F525" s="53" t="s">
        <v>62</v>
      </c>
      <c r="G525" s="53" t="s">
        <v>36</v>
      </c>
      <c r="H525" s="53">
        <f>STOCK[[#This Row],[Precio Final]]</f>
        <v>25</v>
      </c>
      <c r="I525" s="53">
        <f>STOCK[[#This Row],[Precio Venta Ideal (x1.5)]]</f>
        <v>33.9573529411764</v>
      </c>
      <c r="J525" s="71">
        <v>1</v>
      </c>
      <c r="K525" s="71">
        <f>SUMIFS(VENTAS[Cantidad],VENTAS[Código del producto Vendido],STOCK[[#This Row],[Code]])</f>
        <v>1</v>
      </c>
      <c r="L525" s="71">
        <f>STOCK[[#This Row],[Entradas]]-STOCK[[#This Row],[Salidas]]</f>
        <v>0</v>
      </c>
      <c r="M525" s="53">
        <f>STOCK[[#This Row],[Precio Final]]*10%</f>
        <v>2.5</v>
      </c>
      <c r="N525" s="53">
        <v>265</v>
      </c>
      <c r="O525" s="53">
        <v>17</v>
      </c>
      <c r="P525" s="53">
        <v>15.5882352941176</v>
      </c>
      <c r="Q525" s="71">
        <v>260</v>
      </c>
      <c r="R525" s="53">
        <v>17.5</v>
      </c>
      <c r="S525" s="53">
        <f>STOCK[[#This Row],[Peso (g)]]*STOCK[[#This Row],[Precio Envío Kilogramo (USD)]]/1000</f>
        <v>4.55</v>
      </c>
      <c r="T525" s="53">
        <f>STOCK[[#This Row],[Costo Unitario (USD)]]+STOCK[[#This Row],[Costo Envío (USD)]]+STOCK[[#This Row],[Comisión 10%]]</f>
        <v>22.6382352941176</v>
      </c>
      <c r="U525" s="53">
        <f>STOCK[[#This Row],[Costo total]]*1.5</f>
        <v>33.9573529411764</v>
      </c>
      <c r="V525" s="53">
        <v>25</v>
      </c>
      <c r="W525" s="53">
        <f>STOCK[[#This Row],[Precio Final]]-STOCK[[#This Row],[Costo total]]</f>
        <v>2.3617647058824</v>
      </c>
      <c r="X525" s="53">
        <f>STOCK[[#This Row],[Ganancia Unitaria]]*STOCK[[#This Row],[Salidas]]</f>
        <v>2.3617647058824</v>
      </c>
      <c r="Y525" s="53" t="s">
        <v>928</v>
      </c>
      <c r="AA525" s="53">
        <f>STOCK[[#This Row],[Costo total]]*STOCK[[#This Row],[Entradas]]</f>
        <v>22.6382352941176</v>
      </c>
      <c r="AB525" s="53">
        <f>STOCK[[#This Row],[Stock Actual]]*STOCK[[#This Row],[Costo total]]</f>
        <v>0</v>
      </c>
    </row>
    <row r="526" s="54" customFormat="1" ht="50" customHeight="1" spans="1:28">
      <c r="A526" s="54" t="s">
        <v>1074</v>
      </c>
      <c r="B526" s="66"/>
      <c r="C526" s="54" t="s">
        <v>32</v>
      </c>
      <c r="D526" s="54" t="s">
        <v>1075</v>
      </c>
      <c r="E526" s="68" t="s">
        <v>1076</v>
      </c>
      <c r="F526" s="54" t="s">
        <v>62</v>
      </c>
      <c r="G526" s="54" t="s">
        <v>36</v>
      </c>
      <c r="H526" s="54">
        <f>STOCK[[#This Row],[Precio Final]]</f>
        <v>20</v>
      </c>
      <c r="I526" s="54">
        <f>STOCK[[#This Row],[Precio Venta Ideal (x1.5)]]</f>
        <v>23.5235294117647</v>
      </c>
      <c r="J526" s="72">
        <v>1</v>
      </c>
      <c r="K526" s="72">
        <f>SUMIFS(VENTAS[Cantidad],VENTAS[Código del producto Vendido],STOCK[[#This Row],[Code]])</f>
        <v>1</v>
      </c>
      <c r="L526" s="72">
        <f>STOCK[[#This Row],[Entradas]]-STOCK[[#This Row],[Salidas]]</f>
        <v>0</v>
      </c>
      <c r="M526" s="54">
        <f>STOCK[[#This Row],[Precio Final]]*10%</f>
        <v>2</v>
      </c>
      <c r="N526" s="54">
        <v>185</v>
      </c>
      <c r="O526" s="54">
        <v>17</v>
      </c>
      <c r="P526" s="54">
        <v>10.8823529411765</v>
      </c>
      <c r="Q526" s="72">
        <v>160</v>
      </c>
      <c r="R526" s="54">
        <v>17.5</v>
      </c>
      <c r="S526" s="54">
        <f>STOCK[[#This Row],[Peso (g)]]*STOCK[[#This Row],[Precio Envío Kilogramo (USD)]]/1000</f>
        <v>2.8</v>
      </c>
      <c r="T526" s="53">
        <f>STOCK[[#This Row],[Costo Unitario (USD)]]+STOCK[[#This Row],[Costo Envío (USD)]]+STOCK[[#This Row],[Comisión 10%]]</f>
        <v>15.6823529411765</v>
      </c>
      <c r="U526" s="54">
        <f>STOCK[[#This Row],[Costo total]]*1.5</f>
        <v>23.5235294117647</v>
      </c>
      <c r="V526" s="54">
        <v>20</v>
      </c>
      <c r="W526" s="54">
        <f>STOCK[[#This Row],[Precio Final]]-STOCK[[#This Row],[Costo total]]</f>
        <v>4.3176470588235</v>
      </c>
      <c r="X526" s="54">
        <f>STOCK[[#This Row],[Ganancia Unitaria]]*STOCK[[#This Row],[Salidas]]</f>
        <v>4.3176470588235</v>
      </c>
      <c r="Y526" s="54" t="s">
        <v>928</v>
      </c>
      <c r="AA526" s="54">
        <f>STOCK[[#This Row],[Costo total]]*STOCK[[#This Row],[Entradas]]</f>
        <v>15.6823529411765</v>
      </c>
      <c r="AB526" s="54">
        <f>STOCK[[#This Row],[Stock Actual]]*STOCK[[#This Row],[Costo total]]</f>
        <v>0</v>
      </c>
    </row>
    <row r="527" s="53" customFormat="1" ht="50" customHeight="1" spans="1:28">
      <c r="A527" s="53" t="s">
        <v>1077</v>
      </c>
      <c r="B527" s="66"/>
      <c r="C527" s="53" t="s">
        <v>32</v>
      </c>
      <c r="D527" s="53" t="s">
        <v>125</v>
      </c>
      <c r="E527" s="67" t="s">
        <v>1078</v>
      </c>
      <c r="F527" s="53" t="s">
        <v>1079</v>
      </c>
      <c r="G527" s="53" t="s">
        <v>36</v>
      </c>
      <c r="H527" s="53">
        <f>STOCK[[#This Row],[Precio Final]]</f>
        <v>20</v>
      </c>
      <c r="I527" s="53">
        <f>STOCK[[#This Row],[Precio Venta Ideal (x1.5)]]</f>
        <v>36.0761029411764</v>
      </c>
      <c r="J527" s="71">
        <v>1</v>
      </c>
      <c r="K527" s="71">
        <f>SUMIFS(VENTAS[Cantidad],VENTAS[Código del producto Vendido],STOCK[[#This Row],[Code]])</f>
        <v>1</v>
      </c>
      <c r="L527" s="71">
        <f>STOCK[[#This Row],[Entradas]]-STOCK[[#This Row],[Salidas]]</f>
        <v>0</v>
      </c>
      <c r="M527" s="53">
        <f>STOCK[[#This Row],[Precio Final]]*10%</f>
        <v>2</v>
      </c>
      <c r="N527" s="53">
        <v>299</v>
      </c>
      <c r="O527" s="53">
        <v>17</v>
      </c>
      <c r="P527" s="53">
        <v>17.5882352941176</v>
      </c>
      <c r="Q527" s="71">
        <v>255</v>
      </c>
      <c r="R527" s="53">
        <v>17.5</v>
      </c>
      <c r="S527" s="53">
        <f>STOCK[[#This Row],[Peso (g)]]*STOCK[[#This Row],[Precio Envío Kilogramo (USD)]]/1000</f>
        <v>4.4625</v>
      </c>
      <c r="T527" s="53">
        <f>STOCK[[#This Row],[Costo Unitario (USD)]]+STOCK[[#This Row],[Costo Envío (USD)]]+STOCK[[#This Row],[Comisión 10%]]</f>
        <v>24.0507352941176</v>
      </c>
      <c r="U527" s="53">
        <f>STOCK[[#This Row],[Costo total]]*1.5</f>
        <v>36.0761029411764</v>
      </c>
      <c r="V527" s="53">
        <v>20</v>
      </c>
      <c r="W527" s="53">
        <f>STOCK[[#This Row],[Precio Final]]-STOCK[[#This Row],[Costo total]]</f>
        <v>-4.0507352941176</v>
      </c>
      <c r="X527" s="53">
        <f>STOCK[[#This Row],[Ganancia Unitaria]]*STOCK[[#This Row],[Salidas]]</f>
        <v>-4.0507352941176</v>
      </c>
      <c r="Y527" s="53" t="s">
        <v>928</v>
      </c>
      <c r="AA527" s="53">
        <f>STOCK[[#This Row],[Costo total]]*STOCK[[#This Row],[Entradas]]</f>
        <v>24.0507352941176</v>
      </c>
      <c r="AB527" s="53">
        <f>STOCK[[#This Row],[Stock Actual]]*STOCK[[#This Row],[Costo total]]</f>
        <v>0</v>
      </c>
    </row>
    <row r="528" s="54" customFormat="1" ht="50" customHeight="1" spans="1:28">
      <c r="A528" s="54" t="s">
        <v>1080</v>
      </c>
      <c r="B528" s="66"/>
      <c r="C528" s="54" t="s">
        <v>32</v>
      </c>
      <c r="D528" s="54" t="s">
        <v>44</v>
      </c>
      <c r="E528" s="68" t="s">
        <v>1081</v>
      </c>
      <c r="F528" s="54" t="s">
        <v>49</v>
      </c>
      <c r="G528" s="54" t="s">
        <v>36</v>
      </c>
      <c r="H528" s="54">
        <f>STOCK[[#This Row],[Precio Final]]</f>
        <v>35</v>
      </c>
      <c r="I528" s="54">
        <f>STOCK[[#This Row],[Precio Venta Ideal (x1.5)]]</f>
        <v>38.833455882353</v>
      </c>
      <c r="J528" s="72">
        <v>1</v>
      </c>
      <c r="K528" s="72">
        <f>SUMIFS(VENTAS[Cantidad],VENTAS[Código del producto Vendido],STOCK[[#This Row],[Code]])</f>
        <v>1</v>
      </c>
      <c r="L528" s="72">
        <f>STOCK[[#This Row],[Entradas]]-STOCK[[#This Row],[Salidas]]</f>
        <v>0</v>
      </c>
      <c r="M528" s="54">
        <f>STOCK[[#This Row],[Precio Final]]*10%</f>
        <v>3.5</v>
      </c>
      <c r="N528" s="54">
        <v>275</v>
      </c>
      <c r="O528" s="54">
        <v>17</v>
      </c>
      <c r="P528" s="54">
        <v>16.1764705882353</v>
      </c>
      <c r="Q528" s="72">
        <v>355</v>
      </c>
      <c r="R528" s="54">
        <v>17.5</v>
      </c>
      <c r="S528" s="54">
        <f>STOCK[[#This Row],[Peso (g)]]*STOCK[[#This Row],[Precio Envío Kilogramo (USD)]]/1000</f>
        <v>6.2125</v>
      </c>
      <c r="T528" s="53">
        <f>STOCK[[#This Row],[Costo Unitario (USD)]]+STOCK[[#This Row],[Costo Envío (USD)]]+STOCK[[#This Row],[Comisión 10%]]</f>
        <v>25.8889705882353</v>
      </c>
      <c r="U528" s="54">
        <f>STOCK[[#This Row],[Costo total]]*1.5</f>
        <v>38.833455882353</v>
      </c>
      <c r="V528" s="54">
        <v>35</v>
      </c>
      <c r="W528" s="54">
        <f>STOCK[[#This Row],[Precio Final]]-STOCK[[#This Row],[Costo total]]</f>
        <v>9.1110294117647</v>
      </c>
      <c r="X528" s="54">
        <f>STOCK[[#This Row],[Ganancia Unitaria]]*STOCK[[#This Row],[Salidas]]</f>
        <v>9.1110294117647</v>
      </c>
      <c r="Y528" s="54" t="s">
        <v>928</v>
      </c>
      <c r="AA528" s="54">
        <f>STOCK[[#This Row],[Costo total]]*STOCK[[#This Row],[Entradas]]</f>
        <v>25.8889705882353</v>
      </c>
      <c r="AB528" s="54">
        <f>STOCK[[#This Row],[Stock Actual]]*STOCK[[#This Row],[Costo total]]</f>
        <v>0</v>
      </c>
    </row>
    <row r="529" s="53" customFormat="1" ht="50" customHeight="1" spans="1:28">
      <c r="A529" s="53" t="s">
        <v>1082</v>
      </c>
      <c r="B529" s="66"/>
      <c r="C529" s="53" t="s">
        <v>32</v>
      </c>
      <c r="D529" s="53" t="s">
        <v>44</v>
      </c>
      <c r="E529" s="67" t="s">
        <v>1081</v>
      </c>
      <c r="F529" s="53" t="s">
        <v>62</v>
      </c>
      <c r="G529" s="53" t="s">
        <v>36</v>
      </c>
      <c r="H529" s="53">
        <f>STOCK[[#This Row],[Precio Final]]</f>
        <v>35</v>
      </c>
      <c r="I529" s="53">
        <f>STOCK[[#This Row],[Precio Venta Ideal (x1.5)]]</f>
        <v>38.7022058823529</v>
      </c>
      <c r="J529" s="71">
        <v>1</v>
      </c>
      <c r="K529" s="71">
        <f>SUMIFS(VENTAS[Cantidad],VENTAS[Código del producto Vendido],STOCK[[#This Row],[Code]])</f>
        <v>1</v>
      </c>
      <c r="L529" s="71">
        <f>STOCK[[#This Row],[Entradas]]-STOCK[[#This Row],[Salidas]]</f>
        <v>0</v>
      </c>
      <c r="M529" s="53">
        <f>STOCK[[#This Row],[Precio Final]]*10%</f>
        <v>3.5</v>
      </c>
      <c r="N529" s="53">
        <v>275</v>
      </c>
      <c r="O529" s="53">
        <v>17</v>
      </c>
      <c r="P529" s="53">
        <v>16.1764705882353</v>
      </c>
      <c r="Q529" s="71">
        <v>350</v>
      </c>
      <c r="R529" s="53">
        <v>17.5</v>
      </c>
      <c r="S529" s="53">
        <f>STOCK[[#This Row],[Peso (g)]]*STOCK[[#This Row],[Precio Envío Kilogramo (USD)]]/1000</f>
        <v>6.125</v>
      </c>
      <c r="T529" s="53">
        <f>STOCK[[#This Row],[Costo Unitario (USD)]]+STOCK[[#This Row],[Costo Envío (USD)]]+STOCK[[#This Row],[Comisión 10%]]</f>
        <v>25.8014705882353</v>
      </c>
      <c r="U529" s="53">
        <f>STOCK[[#This Row],[Costo total]]*1.5</f>
        <v>38.7022058823529</v>
      </c>
      <c r="V529" s="53">
        <v>35</v>
      </c>
      <c r="W529" s="53">
        <f>STOCK[[#This Row],[Precio Final]]-STOCK[[#This Row],[Costo total]]</f>
        <v>9.1985294117647</v>
      </c>
      <c r="X529" s="53">
        <f>STOCK[[#This Row],[Ganancia Unitaria]]*STOCK[[#This Row],[Salidas]]</f>
        <v>9.1985294117647</v>
      </c>
      <c r="Y529" s="53" t="s">
        <v>928</v>
      </c>
      <c r="AA529" s="53">
        <f>STOCK[[#This Row],[Costo total]]*STOCK[[#This Row],[Entradas]]</f>
        <v>25.8014705882353</v>
      </c>
      <c r="AB529" s="53">
        <f>STOCK[[#This Row],[Stock Actual]]*STOCK[[#This Row],[Costo total]]</f>
        <v>0</v>
      </c>
    </row>
    <row r="530" s="54" customFormat="1" ht="50" customHeight="1" spans="1:28">
      <c r="A530" s="54" t="s">
        <v>1083</v>
      </c>
      <c r="B530" s="66"/>
      <c r="C530" s="54" t="s">
        <v>32</v>
      </c>
      <c r="D530" s="54" t="s">
        <v>44</v>
      </c>
      <c r="E530" s="68" t="s">
        <v>1084</v>
      </c>
      <c r="F530" s="54" t="s">
        <v>49</v>
      </c>
      <c r="G530" s="54" t="s">
        <v>36</v>
      </c>
      <c r="H530" s="54">
        <f>STOCK[[#This Row],[Precio Final]]</f>
        <v>25</v>
      </c>
      <c r="I530" s="54">
        <f>STOCK[[#This Row],[Precio Venta Ideal (x1.5)]]</f>
        <v>27.4599264705882</v>
      </c>
      <c r="J530" s="72">
        <v>1</v>
      </c>
      <c r="K530" s="72">
        <f>SUMIFS(VENTAS[Cantidad],VENTAS[Código del producto Vendido],STOCK[[#This Row],[Code]])</f>
        <v>1</v>
      </c>
      <c r="L530" s="72">
        <f>STOCK[[#This Row],[Entradas]]-STOCK[[#This Row],[Salidas]]</f>
        <v>0</v>
      </c>
      <c r="M530" s="54">
        <f>STOCK[[#This Row],[Precio Final]]*10%</f>
        <v>2.5</v>
      </c>
      <c r="N530" s="54">
        <v>175</v>
      </c>
      <c r="O530" s="54">
        <v>17</v>
      </c>
      <c r="P530" s="54">
        <v>10.2941176470588</v>
      </c>
      <c r="Q530" s="72">
        <v>315</v>
      </c>
      <c r="R530" s="54">
        <v>17.5</v>
      </c>
      <c r="S530" s="54">
        <f>STOCK[[#This Row],[Peso (g)]]*STOCK[[#This Row],[Precio Envío Kilogramo (USD)]]/1000</f>
        <v>5.5125</v>
      </c>
      <c r="T530" s="53">
        <f>STOCK[[#This Row],[Costo Unitario (USD)]]+STOCK[[#This Row],[Costo Envío (USD)]]+STOCK[[#This Row],[Comisión 10%]]</f>
        <v>18.3066176470588</v>
      </c>
      <c r="U530" s="54">
        <f>STOCK[[#This Row],[Costo total]]*1.5</f>
        <v>27.4599264705882</v>
      </c>
      <c r="V530" s="54">
        <v>25</v>
      </c>
      <c r="W530" s="54">
        <f>STOCK[[#This Row],[Precio Final]]-STOCK[[#This Row],[Costo total]]</f>
        <v>6.6933823529412</v>
      </c>
      <c r="X530" s="54">
        <f>STOCK[[#This Row],[Ganancia Unitaria]]*STOCK[[#This Row],[Salidas]]</f>
        <v>6.6933823529412</v>
      </c>
      <c r="Y530" s="54" t="s">
        <v>928</v>
      </c>
      <c r="AA530" s="54">
        <f>STOCK[[#This Row],[Costo total]]*STOCK[[#This Row],[Entradas]]</f>
        <v>18.3066176470588</v>
      </c>
      <c r="AB530" s="54">
        <f>STOCK[[#This Row],[Stock Actual]]*STOCK[[#This Row],[Costo total]]</f>
        <v>0</v>
      </c>
    </row>
    <row r="531" s="53" customFormat="1" ht="50" customHeight="1" spans="1:28">
      <c r="A531" s="53" t="s">
        <v>1085</v>
      </c>
      <c r="B531" s="66"/>
      <c r="C531" s="53" t="s">
        <v>32</v>
      </c>
      <c r="D531" s="53" t="s">
        <v>44</v>
      </c>
      <c r="E531" s="67" t="s">
        <v>1086</v>
      </c>
      <c r="F531" s="53" t="s">
        <v>62</v>
      </c>
      <c r="G531" s="53" t="s">
        <v>36</v>
      </c>
      <c r="H531" s="53">
        <f>STOCK[[#This Row],[Precio Final]]</f>
        <v>25</v>
      </c>
      <c r="I531" s="53">
        <f>STOCK[[#This Row],[Precio Venta Ideal (x1.5)]]</f>
        <v>28.95</v>
      </c>
      <c r="J531" s="71">
        <v>1</v>
      </c>
      <c r="K531" s="71">
        <f>SUMIFS(VENTAS[Cantidad],VENTAS[Código del producto Vendido],STOCK[[#This Row],[Code]])</f>
        <v>1</v>
      </c>
      <c r="L531" s="71">
        <f>STOCK[[#This Row],[Entradas]]-STOCK[[#This Row],[Salidas]]</f>
        <v>0</v>
      </c>
      <c r="M531" s="53">
        <f>STOCK[[#This Row],[Precio Final]]*10%</f>
        <v>2.5</v>
      </c>
      <c r="N531" s="53">
        <v>238</v>
      </c>
      <c r="O531" s="53">
        <v>17</v>
      </c>
      <c r="P531" s="53">
        <v>14</v>
      </c>
      <c r="Q531" s="71">
        <v>160</v>
      </c>
      <c r="R531" s="53">
        <v>17.5</v>
      </c>
      <c r="S531" s="53">
        <f>STOCK[[#This Row],[Peso (g)]]*STOCK[[#This Row],[Precio Envío Kilogramo (USD)]]/1000</f>
        <v>2.8</v>
      </c>
      <c r="T531" s="53">
        <f>STOCK[[#This Row],[Costo Unitario (USD)]]+STOCK[[#This Row],[Costo Envío (USD)]]+STOCK[[#This Row],[Comisión 10%]]</f>
        <v>19.3</v>
      </c>
      <c r="U531" s="53">
        <f>STOCK[[#This Row],[Costo total]]*1.5</f>
        <v>28.95</v>
      </c>
      <c r="V531" s="53">
        <v>25</v>
      </c>
      <c r="W531" s="53">
        <f>STOCK[[#This Row],[Precio Final]]-STOCK[[#This Row],[Costo total]]</f>
        <v>5.7</v>
      </c>
      <c r="X531" s="53">
        <f>STOCK[[#This Row],[Ganancia Unitaria]]*STOCK[[#This Row],[Salidas]]</f>
        <v>5.7</v>
      </c>
      <c r="Y531" s="53" t="s">
        <v>1087</v>
      </c>
      <c r="AA531" s="53">
        <f>STOCK[[#This Row],[Costo total]]*STOCK[[#This Row],[Entradas]]</f>
        <v>19.3</v>
      </c>
      <c r="AB531" s="53">
        <f>STOCK[[#This Row],[Stock Actual]]*STOCK[[#This Row],[Costo total]]</f>
        <v>0</v>
      </c>
    </row>
    <row r="532" s="54" customFormat="1" ht="50" customHeight="1" spans="1:28">
      <c r="A532" s="54" t="s">
        <v>1088</v>
      </c>
      <c r="B532" s="66"/>
      <c r="C532" s="54" t="s">
        <v>32</v>
      </c>
      <c r="D532" s="54" t="s">
        <v>38</v>
      </c>
      <c r="E532" s="68" t="s">
        <v>1089</v>
      </c>
      <c r="F532" s="54" t="s">
        <v>394</v>
      </c>
      <c r="G532" s="54" t="s">
        <v>36</v>
      </c>
      <c r="H532" s="54">
        <f>STOCK[[#This Row],[Precio Final]]</f>
        <v>10</v>
      </c>
      <c r="I532" s="54">
        <f>STOCK[[#This Row],[Precio Venta Ideal (x1.5)]]</f>
        <v>8.28308823529411</v>
      </c>
      <c r="J532" s="72">
        <v>1</v>
      </c>
      <c r="K532" s="72">
        <f>SUMIFS(VENTAS[Cantidad],VENTAS[Código del producto Vendido],STOCK[[#This Row],[Code]])</f>
        <v>1</v>
      </c>
      <c r="L532" s="72">
        <f>STOCK[[#This Row],[Entradas]]-STOCK[[#This Row],[Salidas]]</f>
        <v>0</v>
      </c>
      <c r="M532" s="54">
        <f>STOCK[[#This Row],[Precio Final]]*10%</f>
        <v>1</v>
      </c>
      <c r="N532" s="54">
        <v>62</v>
      </c>
      <c r="O532" s="54">
        <v>17</v>
      </c>
      <c r="P532" s="54">
        <v>3.64705882352941</v>
      </c>
      <c r="Q532" s="72">
        <v>50</v>
      </c>
      <c r="R532" s="54">
        <v>17.5</v>
      </c>
      <c r="S532" s="54">
        <f>STOCK[[#This Row],[Peso (g)]]*STOCK[[#This Row],[Precio Envío Kilogramo (USD)]]/1000</f>
        <v>0.875</v>
      </c>
      <c r="T532" s="53">
        <f>STOCK[[#This Row],[Costo Unitario (USD)]]+STOCK[[#This Row],[Costo Envío (USD)]]+STOCK[[#This Row],[Comisión 10%]]</f>
        <v>5.52205882352941</v>
      </c>
      <c r="U532" s="54">
        <f>STOCK[[#This Row],[Costo total]]*1.5</f>
        <v>8.28308823529411</v>
      </c>
      <c r="V532" s="54">
        <v>10</v>
      </c>
      <c r="W532" s="54">
        <f>STOCK[[#This Row],[Precio Final]]-STOCK[[#This Row],[Costo total]]</f>
        <v>4.47794117647059</v>
      </c>
      <c r="X532" s="54">
        <f>STOCK[[#This Row],[Ganancia Unitaria]]*STOCK[[#This Row],[Salidas]]</f>
        <v>4.47794117647059</v>
      </c>
      <c r="Y532" s="54" t="s">
        <v>928</v>
      </c>
      <c r="AA532" s="54">
        <f>STOCK[[#This Row],[Costo total]]*STOCK[[#This Row],[Entradas]]</f>
        <v>5.52205882352941</v>
      </c>
      <c r="AB532" s="54">
        <f>STOCK[[#This Row],[Stock Actual]]*STOCK[[#This Row],[Costo total]]</f>
        <v>0</v>
      </c>
    </row>
    <row r="533" s="53" customFormat="1" ht="50" customHeight="1" spans="1:28">
      <c r="A533" s="53" t="s">
        <v>1090</v>
      </c>
      <c r="B533" s="66"/>
      <c r="C533" s="53" t="s">
        <v>32</v>
      </c>
      <c r="D533" s="53" t="s">
        <v>38</v>
      </c>
      <c r="E533" s="67" t="s">
        <v>1091</v>
      </c>
      <c r="F533" s="53" t="s">
        <v>62</v>
      </c>
      <c r="G533" s="53" t="s">
        <v>36</v>
      </c>
      <c r="H533" s="53">
        <f>STOCK[[#This Row],[Precio Final]]</f>
        <v>10</v>
      </c>
      <c r="I533" s="53">
        <f>STOCK[[#This Row],[Precio Venta Ideal (x1.5)]]</f>
        <v>11.8852941176471</v>
      </c>
      <c r="J533" s="71">
        <v>1</v>
      </c>
      <c r="K533" s="71">
        <f>SUMIFS(VENTAS[Cantidad],VENTAS[Código del producto Vendido],STOCK[[#This Row],[Code]])</f>
        <v>1</v>
      </c>
      <c r="L533" s="71">
        <f>STOCK[[#This Row],[Entradas]]-STOCK[[#This Row],[Salidas]]</f>
        <v>0</v>
      </c>
      <c r="M533" s="53">
        <f>STOCK[[#This Row],[Precio Final]]*10%</f>
        <v>1</v>
      </c>
      <c r="N533" s="53">
        <v>82</v>
      </c>
      <c r="O533" s="53">
        <v>17</v>
      </c>
      <c r="P533" s="53">
        <v>4.82352941176471</v>
      </c>
      <c r="Q533" s="71">
        <v>120</v>
      </c>
      <c r="R533" s="53">
        <v>17.5</v>
      </c>
      <c r="S533" s="53">
        <f>STOCK[[#This Row],[Peso (g)]]*STOCK[[#This Row],[Precio Envío Kilogramo (USD)]]/1000</f>
        <v>2.1</v>
      </c>
      <c r="T533" s="53">
        <f>STOCK[[#This Row],[Costo Unitario (USD)]]+STOCK[[#This Row],[Costo Envío (USD)]]+STOCK[[#This Row],[Comisión 10%]]</f>
        <v>7.92352941176471</v>
      </c>
      <c r="U533" s="53">
        <f>STOCK[[#This Row],[Costo total]]*1.5</f>
        <v>11.8852941176471</v>
      </c>
      <c r="V533" s="53">
        <v>10</v>
      </c>
      <c r="W533" s="53">
        <f>STOCK[[#This Row],[Precio Final]]-STOCK[[#This Row],[Costo total]]</f>
        <v>2.07647058823529</v>
      </c>
      <c r="X533" s="53">
        <f>STOCK[[#This Row],[Ganancia Unitaria]]*STOCK[[#This Row],[Salidas]]</f>
        <v>2.07647058823529</v>
      </c>
      <c r="Y533" s="53" t="s">
        <v>928</v>
      </c>
      <c r="AA533" s="53">
        <f>STOCK[[#This Row],[Costo total]]*STOCK[[#This Row],[Entradas]]</f>
        <v>7.92352941176471</v>
      </c>
      <c r="AB533" s="53">
        <f>STOCK[[#This Row],[Stock Actual]]*STOCK[[#This Row],[Costo total]]</f>
        <v>0</v>
      </c>
    </row>
    <row r="534" s="54" customFormat="1" ht="50" customHeight="1" spans="1:28">
      <c r="A534" s="54" t="s">
        <v>1092</v>
      </c>
      <c r="B534" s="66"/>
      <c r="C534" s="54" t="s">
        <v>32</v>
      </c>
      <c r="D534" s="54" t="s">
        <v>38</v>
      </c>
      <c r="E534" s="68" t="s">
        <v>1093</v>
      </c>
      <c r="F534" s="54" t="s">
        <v>46</v>
      </c>
      <c r="G534" s="54" t="s">
        <v>36</v>
      </c>
      <c r="H534" s="54">
        <f>STOCK[[#This Row],[Precio Final]]</f>
        <v>28</v>
      </c>
      <c r="I534" s="54">
        <f>STOCK[[#This Row],[Precio Venta Ideal (x1.5)]]</f>
        <v>34.9191176470589</v>
      </c>
      <c r="J534" s="72">
        <v>2</v>
      </c>
      <c r="K534" s="72">
        <f>SUMIFS(VENTAS[Cantidad],VENTAS[Código del producto Vendido],STOCK[[#This Row],[Code]])</f>
        <v>2</v>
      </c>
      <c r="L534" s="72">
        <f>STOCK[[#This Row],[Entradas]]-STOCK[[#This Row],[Salidas]]</f>
        <v>0</v>
      </c>
      <c r="M534" s="54">
        <f>STOCK[[#This Row],[Precio Final]]*10%</f>
        <v>2.8</v>
      </c>
      <c r="N534" s="54">
        <v>247</v>
      </c>
      <c r="O534" s="54">
        <v>17</v>
      </c>
      <c r="P534" s="54">
        <v>14.5294117647059</v>
      </c>
      <c r="Q534" s="72">
        <v>340</v>
      </c>
      <c r="R534" s="54">
        <v>17.5</v>
      </c>
      <c r="S534" s="54">
        <f>STOCK[[#This Row],[Peso (g)]]*STOCK[[#This Row],[Precio Envío Kilogramo (USD)]]/1000</f>
        <v>5.95</v>
      </c>
      <c r="T534" s="53">
        <f>STOCK[[#This Row],[Costo Unitario (USD)]]+STOCK[[#This Row],[Costo Envío (USD)]]+STOCK[[#This Row],[Comisión 10%]]</f>
        <v>23.2794117647059</v>
      </c>
      <c r="U534" s="54">
        <f>STOCK[[#This Row],[Costo total]]*1.5</f>
        <v>34.9191176470589</v>
      </c>
      <c r="V534" s="54">
        <v>28</v>
      </c>
      <c r="W534" s="54">
        <f>STOCK[[#This Row],[Precio Final]]-STOCK[[#This Row],[Costo total]]</f>
        <v>4.7205882352941</v>
      </c>
      <c r="X534" s="54">
        <f>STOCK[[#This Row],[Ganancia Unitaria]]*STOCK[[#This Row],[Salidas]]</f>
        <v>9.4411764705882</v>
      </c>
      <c r="Y534" s="54" t="s">
        <v>928</v>
      </c>
      <c r="AA534" s="54">
        <f>STOCK[[#This Row],[Costo total]]*STOCK[[#This Row],[Entradas]]</f>
        <v>46.5588235294118</v>
      </c>
      <c r="AB534" s="54">
        <f>STOCK[[#This Row],[Stock Actual]]*STOCK[[#This Row],[Costo total]]</f>
        <v>0</v>
      </c>
    </row>
    <row r="535" s="53" customFormat="1" ht="50" customHeight="1" spans="1:28">
      <c r="A535" s="53" t="s">
        <v>1094</v>
      </c>
      <c r="B535" s="66"/>
      <c r="C535" s="53" t="s">
        <v>32</v>
      </c>
      <c r="D535" s="53" t="s">
        <v>38</v>
      </c>
      <c r="E535" s="67" t="s">
        <v>1093</v>
      </c>
      <c r="F535" s="53" t="s">
        <v>42</v>
      </c>
      <c r="G535" s="53" t="s">
        <v>36</v>
      </c>
      <c r="H535" s="53">
        <f>STOCK[[#This Row],[Precio Final]]</f>
        <v>28</v>
      </c>
      <c r="I535" s="53">
        <f>STOCK[[#This Row],[Precio Venta Ideal (x1.5)]]</f>
        <v>34.9191176470589</v>
      </c>
      <c r="J535" s="71">
        <v>2</v>
      </c>
      <c r="K535" s="71">
        <f>SUMIFS(VENTAS[Cantidad],VENTAS[Código del producto Vendido],STOCK[[#This Row],[Code]])</f>
        <v>2</v>
      </c>
      <c r="L535" s="71">
        <f>STOCK[[#This Row],[Entradas]]-STOCK[[#This Row],[Salidas]]</f>
        <v>0</v>
      </c>
      <c r="M535" s="53">
        <f>STOCK[[#This Row],[Precio Final]]*10%</f>
        <v>2.8</v>
      </c>
      <c r="N535" s="53">
        <v>247</v>
      </c>
      <c r="O535" s="53">
        <v>17</v>
      </c>
      <c r="P535" s="53">
        <v>14.5294117647059</v>
      </c>
      <c r="Q535" s="71">
        <v>340</v>
      </c>
      <c r="R535" s="53">
        <v>17.5</v>
      </c>
      <c r="S535" s="53">
        <f>STOCK[[#This Row],[Peso (g)]]*STOCK[[#This Row],[Precio Envío Kilogramo (USD)]]/1000</f>
        <v>5.95</v>
      </c>
      <c r="T535" s="53">
        <f>STOCK[[#This Row],[Costo Unitario (USD)]]+STOCK[[#This Row],[Costo Envío (USD)]]+STOCK[[#This Row],[Comisión 10%]]</f>
        <v>23.2794117647059</v>
      </c>
      <c r="U535" s="53">
        <f>STOCK[[#This Row],[Costo total]]*1.5</f>
        <v>34.9191176470589</v>
      </c>
      <c r="V535" s="53">
        <v>28</v>
      </c>
      <c r="W535" s="53">
        <f>STOCK[[#This Row],[Precio Final]]-STOCK[[#This Row],[Costo total]]</f>
        <v>4.7205882352941</v>
      </c>
      <c r="X535" s="53">
        <f>STOCK[[#This Row],[Ganancia Unitaria]]*STOCK[[#This Row],[Salidas]]</f>
        <v>9.4411764705882</v>
      </c>
      <c r="Y535" s="53" t="s">
        <v>928</v>
      </c>
      <c r="AA535" s="53">
        <f>STOCK[[#This Row],[Costo total]]*STOCK[[#This Row],[Entradas]]</f>
        <v>46.5588235294118</v>
      </c>
      <c r="AB535" s="53">
        <f>STOCK[[#This Row],[Stock Actual]]*STOCK[[#This Row],[Costo total]]</f>
        <v>0</v>
      </c>
    </row>
    <row r="536" s="54" customFormat="1" ht="50" customHeight="1" spans="1:28">
      <c r="A536" s="54" t="s">
        <v>1095</v>
      </c>
      <c r="B536" s="66"/>
      <c r="C536" s="54" t="s">
        <v>32</v>
      </c>
      <c r="D536" s="54" t="s">
        <v>155</v>
      </c>
      <c r="E536" s="68" t="s">
        <v>1096</v>
      </c>
      <c r="F536" s="54" t="s">
        <v>92</v>
      </c>
      <c r="G536" s="54" t="s">
        <v>36</v>
      </c>
      <c r="H536" s="54">
        <f>STOCK[[#This Row],[Precio Final]]</f>
        <v>40</v>
      </c>
      <c r="I536" s="54">
        <f>STOCK[[#This Row],[Precio Venta Ideal (x1.5)]]</f>
        <v>54.3970588235293</v>
      </c>
      <c r="J536" s="72">
        <v>1</v>
      </c>
      <c r="K536" s="72">
        <f>SUMIFS(VENTAS[Cantidad],VENTAS[Código del producto Vendido],STOCK[[#This Row],[Code]])</f>
        <v>1</v>
      </c>
      <c r="L536" s="72">
        <f>STOCK[[#This Row],[Entradas]]-STOCK[[#This Row],[Salidas]]</f>
        <v>0</v>
      </c>
      <c r="M536" s="54">
        <f>STOCK[[#This Row],[Precio Final]]*10%</f>
        <v>4</v>
      </c>
      <c r="N536" s="54">
        <v>370</v>
      </c>
      <c r="O536" s="54">
        <v>17</v>
      </c>
      <c r="P536" s="54">
        <v>21.7647058823529</v>
      </c>
      <c r="Q536" s="72">
        <v>600</v>
      </c>
      <c r="R536" s="54">
        <v>17.5</v>
      </c>
      <c r="S536" s="54">
        <f>STOCK[[#This Row],[Peso (g)]]*STOCK[[#This Row],[Precio Envío Kilogramo (USD)]]/1000</f>
        <v>10.5</v>
      </c>
      <c r="T536" s="53">
        <f>STOCK[[#This Row],[Costo Unitario (USD)]]+STOCK[[#This Row],[Costo Envío (USD)]]+STOCK[[#This Row],[Comisión 10%]]</f>
        <v>36.2647058823529</v>
      </c>
      <c r="U536" s="54">
        <f>STOCK[[#This Row],[Costo total]]*1.5</f>
        <v>54.3970588235293</v>
      </c>
      <c r="V536" s="54">
        <v>40</v>
      </c>
      <c r="W536" s="54">
        <f>STOCK[[#This Row],[Precio Final]]-STOCK[[#This Row],[Costo total]]</f>
        <v>3.7352941176471</v>
      </c>
      <c r="X536" s="54">
        <f>STOCK[[#This Row],[Ganancia Unitaria]]*STOCK[[#This Row],[Salidas]]</f>
        <v>3.7352941176471</v>
      </c>
      <c r="AA536" s="54">
        <f>STOCK[[#This Row],[Costo total]]*STOCK[[#This Row],[Entradas]]</f>
        <v>36.2647058823529</v>
      </c>
      <c r="AB536" s="54">
        <f>STOCK[[#This Row],[Stock Actual]]*STOCK[[#This Row],[Costo total]]</f>
        <v>0</v>
      </c>
    </row>
    <row r="537" s="53" customFormat="1" ht="50" customHeight="1" spans="1:28">
      <c r="A537" s="53" t="s">
        <v>1097</v>
      </c>
      <c r="B537" s="66"/>
      <c r="C537" s="53" t="s">
        <v>32</v>
      </c>
      <c r="D537" s="53" t="s">
        <v>38</v>
      </c>
      <c r="E537" s="67" t="s">
        <v>1098</v>
      </c>
      <c r="F537" s="53" t="s">
        <v>46</v>
      </c>
      <c r="G537" s="53" t="s">
        <v>36</v>
      </c>
      <c r="H537" s="53">
        <f>STOCK[[#This Row],[Precio Final]]</f>
        <v>28</v>
      </c>
      <c r="I537" s="53">
        <f>STOCK[[#This Row],[Precio Venta Ideal (x1.5)]]</f>
        <v>33.208455882353</v>
      </c>
      <c r="J537" s="71">
        <v>1</v>
      </c>
      <c r="K537" s="71">
        <f>SUMIFS(VENTAS[Cantidad],VENTAS[Código del producto Vendido],STOCK[[#This Row],[Code]])</f>
        <v>1</v>
      </c>
      <c r="L537" s="71">
        <f>STOCK[[#This Row],[Entradas]]-STOCK[[#This Row],[Salidas]]</f>
        <v>0</v>
      </c>
      <c r="M537" s="53">
        <f>STOCK[[#This Row],[Precio Final]]*10%</f>
        <v>2.8</v>
      </c>
      <c r="N537" s="53">
        <v>241</v>
      </c>
      <c r="O537" s="53">
        <v>17</v>
      </c>
      <c r="P537" s="53">
        <v>14.1764705882353</v>
      </c>
      <c r="Q537" s="71">
        <v>295</v>
      </c>
      <c r="R537" s="53">
        <v>17.5</v>
      </c>
      <c r="S537" s="53">
        <f>STOCK[[#This Row],[Peso (g)]]*STOCK[[#This Row],[Precio Envío Kilogramo (USD)]]/1000</f>
        <v>5.1625</v>
      </c>
      <c r="T537" s="53">
        <f>STOCK[[#This Row],[Costo Unitario (USD)]]+STOCK[[#This Row],[Costo Envío (USD)]]+STOCK[[#This Row],[Comisión 10%]]</f>
        <v>22.1389705882353</v>
      </c>
      <c r="U537" s="53">
        <f>STOCK[[#This Row],[Costo total]]*1.5</f>
        <v>33.208455882353</v>
      </c>
      <c r="V537" s="53">
        <v>28</v>
      </c>
      <c r="W537" s="53">
        <f>STOCK[[#This Row],[Precio Final]]-STOCK[[#This Row],[Costo total]]</f>
        <v>5.8610294117647</v>
      </c>
      <c r="X537" s="53">
        <f>STOCK[[#This Row],[Ganancia Unitaria]]*STOCK[[#This Row],[Salidas]]</f>
        <v>5.8610294117647</v>
      </c>
      <c r="Y537" s="53" t="s">
        <v>928</v>
      </c>
      <c r="AA537" s="53">
        <f>STOCK[[#This Row],[Costo total]]*STOCK[[#This Row],[Entradas]]</f>
        <v>22.1389705882353</v>
      </c>
      <c r="AB537" s="53">
        <f>STOCK[[#This Row],[Stock Actual]]*STOCK[[#This Row],[Costo total]]</f>
        <v>0</v>
      </c>
    </row>
    <row r="538" s="54" customFormat="1" ht="50" customHeight="1" spans="1:28">
      <c r="A538" s="54" t="s">
        <v>1099</v>
      </c>
      <c r="B538" s="66"/>
      <c r="C538" s="54" t="s">
        <v>32</v>
      </c>
      <c r="D538" s="54" t="s">
        <v>38</v>
      </c>
      <c r="E538" s="68" t="s">
        <v>1098</v>
      </c>
      <c r="F538" s="54" t="s">
        <v>42</v>
      </c>
      <c r="G538" s="54" t="s">
        <v>36</v>
      </c>
      <c r="H538" s="54">
        <f>STOCK[[#This Row],[Precio Final]]</f>
        <v>28</v>
      </c>
      <c r="I538" s="54">
        <f>STOCK[[#This Row],[Precio Venta Ideal (x1.5)]]</f>
        <v>33.208455882353</v>
      </c>
      <c r="J538" s="72">
        <v>2</v>
      </c>
      <c r="K538" s="72">
        <f>SUMIFS(VENTAS[Cantidad],VENTAS[Código del producto Vendido],STOCK[[#This Row],[Code]])</f>
        <v>2</v>
      </c>
      <c r="L538" s="72">
        <f>STOCK[[#This Row],[Entradas]]-STOCK[[#This Row],[Salidas]]</f>
        <v>0</v>
      </c>
      <c r="M538" s="54">
        <f>STOCK[[#This Row],[Precio Final]]*10%</f>
        <v>2.8</v>
      </c>
      <c r="N538" s="54">
        <v>241</v>
      </c>
      <c r="O538" s="54">
        <v>17</v>
      </c>
      <c r="P538" s="54">
        <v>14.1764705882353</v>
      </c>
      <c r="Q538" s="72">
        <v>295</v>
      </c>
      <c r="R538" s="54">
        <v>17.5</v>
      </c>
      <c r="S538" s="54">
        <f>STOCK[[#This Row],[Peso (g)]]*STOCK[[#This Row],[Precio Envío Kilogramo (USD)]]/1000</f>
        <v>5.1625</v>
      </c>
      <c r="T538" s="53">
        <f>STOCK[[#This Row],[Costo Unitario (USD)]]+STOCK[[#This Row],[Costo Envío (USD)]]+STOCK[[#This Row],[Comisión 10%]]</f>
        <v>22.1389705882353</v>
      </c>
      <c r="U538" s="54">
        <f>STOCK[[#This Row],[Costo total]]*1.5</f>
        <v>33.208455882353</v>
      </c>
      <c r="V538" s="54">
        <v>28</v>
      </c>
      <c r="W538" s="54">
        <f>STOCK[[#This Row],[Precio Final]]-STOCK[[#This Row],[Costo total]]</f>
        <v>5.8610294117647</v>
      </c>
      <c r="X538" s="54">
        <f>STOCK[[#This Row],[Ganancia Unitaria]]*STOCK[[#This Row],[Salidas]]</f>
        <v>11.7220588235294</v>
      </c>
      <c r="Y538" s="54" t="s">
        <v>928</v>
      </c>
      <c r="AA538" s="54">
        <f>STOCK[[#This Row],[Costo total]]*STOCK[[#This Row],[Entradas]]</f>
        <v>44.2779411764706</v>
      </c>
      <c r="AB538" s="54">
        <f>STOCK[[#This Row],[Stock Actual]]*STOCK[[#This Row],[Costo total]]</f>
        <v>0</v>
      </c>
    </row>
    <row r="539" s="53" customFormat="1" ht="50" customHeight="1" spans="1:28">
      <c r="A539" s="53" t="s">
        <v>1100</v>
      </c>
      <c r="B539" s="66"/>
      <c r="C539" s="53" t="s">
        <v>32</v>
      </c>
      <c r="D539" s="53" t="s">
        <v>515</v>
      </c>
      <c r="E539" s="67" t="s">
        <v>1101</v>
      </c>
      <c r="F539" s="53" t="s">
        <v>766</v>
      </c>
      <c r="G539" s="53" t="s">
        <v>36</v>
      </c>
      <c r="H539" s="53">
        <f>STOCK[[#This Row],[Precio Final]]</f>
        <v>35</v>
      </c>
      <c r="I539" s="53">
        <f>STOCK[[#This Row],[Precio Venta Ideal (x1.5)]]</f>
        <v>45.5294117647059</v>
      </c>
      <c r="J539" s="71">
        <v>3</v>
      </c>
      <c r="K539" s="71">
        <f>SUMIFS(VENTAS[Cantidad],VENTAS[Código del producto Vendido],STOCK[[#This Row],[Code]])</f>
        <v>3</v>
      </c>
      <c r="L539" s="71">
        <f>STOCK[[#This Row],[Entradas]]-STOCK[[#This Row],[Salidas]]</f>
        <v>0</v>
      </c>
      <c r="M539" s="53">
        <f>STOCK[[#This Row],[Precio Final]]*10%</f>
        <v>3.5</v>
      </c>
      <c r="N539" s="53">
        <v>278</v>
      </c>
      <c r="O539" s="53">
        <v>17</v>
      </c>
      <c r="P539" s="53">
        <v>16.3529411764706</v>
      </c>
      <c r="Q539" s="71">
        <v>600</v>
      </c>
      <c r="R539" s="53">
        <v>17.5</v>
      </c>
      <c r="S539" s="53">
        <f>STOCK[[#This Row],[Peso (g)]]*STOCK[[#This Row],[Precio Envío Kilogramo (USD)]]/1000</f>
        <v>10.5</v>
      </c>
      <c r="T539" s="53">
        <f>STOCK[[#This Row],[Costo Unitario (USD)]]+STOCK[[#This Row],[Costo Envío (USD)]]+STOCK[[#This Row],[Comisión 10%]]</f>
        <v>30.3529411764706</v>
      </c>
      <c r="U539" s="53">
        <f>STOCK[[#This Row],[Costo total]]*1.5</f>
        <v>45.5294117647059</v>
      </c>
      <c r="V539" s="53">
        <v>35</v>
      </c>
      <c r="W539" s="53">
        <f>STOCK[[#This Row],[Precio Final]]-STOCK[[#This Row],[Costo total]]</f>
        <v>4.6470588235294</v>
      </c>
      <c r="X539" s="53">
        <f>STOCK[[#This Row],[Ganancia Unitaria]]*STOCK[[#This Row],[Salidas]]</f>
        <v>13.9411764705882</v>
      </c>
      <c r="AA539" s="53">
        <f>STOCK[[#This Row],[Costo total]]*STOCK[[#This Row],[Entradas]]</f>
        <v>91.0588235294118</v>
      </c>
      <c r="AB539" s="53">
        <f>STOCK[[#This Row],[Stock Actual]]*STOCK[[#This Row],[Costo total]]</f>
        <v>0</v>
      </c>
    </row>
    <row r="540" s="53" customFormat="1" ht="50" customHeight="1" spans="1:28">
      <c r="A540" s="53" t="s">
        <v>1102</v>
      </c>
      <c r="B540" s="66"/>
      <c r="C540" s="53" t="s">
        <v>32</v>
      </c>
      <c r="D540" s="53" t="s">
        <v>515</v>
      </c>
      <c r="E540" s="67" t="s">
        <v>1101</v>
      </c>
      <c r="F540" s="53" t="s">
        <v>764</v>
      </c>
      <c r="G540" s="53" t="s">
        <v>36</v>
      </c>
      <c r="H540" s="53">
        <f>STOCK[[#This Row],[Precio Final]]</f>
        <v>40</v>
      </c>
      <c r="I540" s="53">
        <f>STOCK[[#This Row],[Precio Venta Ideal (x1.5)]]</f>
        <v>46.2794117647059</v>
      </c>
      <c r="J540" s="71">
        <v>2</v>
      </c>
      <c r="K540" s="71">
        <f>SUMIFS(VENTAS[Cantidad],VENTAS[Código del producto Vendido],STOCK[[#This Row],[Code]])</f>
        <v>2</v>
      </c>
      <c r="L540" s="71">
        <f>STOCK[[#This Row],[Entradas]]-STOCK[[#This Row],[Salidas]]</f>
        <v>0</v>
      </c>
      <c r="M540" s="53">
        <f>STOCK[[#This Row],[Precio Final]]*10%</f>
        <v>4</v>
      </c>
      <c r="N540" s="53">
        <v>278</v>
      </c>
      <c r="O540" s="53">
        <v>17</v>
      </c>
      <c r="P540" s="53">
        <v>16.3529411764706</v>
      </c>
      <c r="Q540" s="71">
        <v>600</v>
      </c>
      <c r="R540" s="53">
        <v>17.5</v>
      </c>
      <c r="S540" s="53">
        <f>STOCK[[#This Row],[Peso (g)]]*STOCK[[#This Row],[Precio Envío Kilogramo (USD)]]/1000</f>
        <v>10.5</v>
      </c>
      <c r="T540" s="53">
        <f>STOCK[[#This Row],[Costo Unitario (USD)]]+STOCK[[#This Row],[Costo Envío (USD)]]+STOCK[[#This Row],[Comisión 10%]]</f>
        <v>30.8529411764706</v>
      </c>
      <c r="U540" s="53">
        <f>STOCK[[#This Row],[Costo total]]*1.5</f>
        <v>46.2794117647059</v>
      </c>
      <c r="V540" s="53">
        <v>40</v>
      </c>
      <c r="W540" s="53">
        <f>STOCK[[#This Row],[Precio Final]]-STOCK[[#This Row],[Costo total]]</f>
        <v>9.1470588235294</v>
      </c>
      <c r="X540" s="53">
        <f>STOCK[[#This Row],[Ganancia Unitaria]]*STOCK[[#This Row],[Salidas]]</f>
        <v>18.2941176470588</v>
      </c>
      <c r="AA540" s="53">
        <f>STOCK[[#This Row],[Costo total]]*STOCK[[#This Row],[Entradas]]</f>
        <v>61.7058823529412</v>
      </c>
      <c r="AB540" s="53">
        <f>STOCK[[#This Row],[Stock Actual]]*STOCK[[#This Row],[Costo total]]</f>
        <v>0</v>
      </c>
    </row>
    <row r="541" s="54" customFormat="1" ht="50" customHeight="1" spans="1:28">
      <c r="A541" s="54" t="s">
        <v>1103</v>
      </c>
      <c r="B541" s="66"/>
      <c r="C541" s="54" t="s">
        <v>32</v>
      </c>
      <c r="D541" s="53" t="s">
        <v>515</v>
      </c>
      <c r="E541" s="68" t="s">
        <v>1101</v>
      </c>
      <c r="F541" s="54" t="s">
        <v>540</v>
      </c>
      <c r="G541" s="54" t="s">
        <v>36</v>
      </c>
      <c r="H541" s="54">
        <f>STOCK[[#This Row],[Precio Final]]</f>
        <v>35</v>
      </c>
      <c r="I541" s="54">
        <f>STOCK[[#This Row],[Precio Venta Ideal (x1.5)]]</f>
        <v>45.5294117647059</v>
      </c>
      <c r="J541" s="72">
        <v>2</v>
      </c>
      <c r="K541" s="72">
        <f>SUMIFS(VENTAS[Cantidad],VENTAS[Código del producto Vendido],STOCK[[#This Row],[Code]])</f>
        <v>2</v>
      </c>
      <c r="L541" s="72">
        <f>STOCK[[#This Row],[Entradas]]-STOCK[[#This Row],[Salidas]]</f>
        <v>0</v>
      </c>
      <c r="M541" s="54">
        <f>STOCK[[#This Row],[Precio Final]]*10%</f>
        <v>3.5</v>
      </c>
      <c r="N541" s="54">
        <v>278</v>
      </c>
      <c r="O541" s="54">
        <v>17</v>
      </c>
      <c r="P541" s="54">
        <v>16.3529411764706</v>
      </c>
      <c r="Q541" s="72">
        <v>600</v>
      </c>
      <c r="R541" s="54">
        <v>17.5</v>
      </c>
      <c r="S541" s="54">
        <f>STOCK[[#This Row],[Peso (g)]]*STOCK[[#This Row],[Precio Envío Kilogramo (USD)]]/1000</f>
        <v>10.5</v>
      </c>
      <c r="T541" s="53">
        <f>STOCK[[#This Row],[Costo Unitario (USD)]]+STOCK[[#This Row],[Costo Envío (USD)]]+STOCK[[#This Row],[Comisión 10%]]</f>
        <v>30.3529411764706</v>
      </c>
      <c r="U541" s="54">
        <f>STOCK[[#This Row],[Costo total]]*1.5</f>
        <v>45.5294117647059</v>
      </c>
      <c r="V541" s="54">
        <v>35</v>
      </c>
      <c r="W541" s="54">
        <f>STOCK[[#This Row],[Precio Final]]-STOCK[[#This Row],[Costo total]]</f>
        <v>4.6470588235294</v>
      </c>
      <c r="X541" s="54">
        <f>STOCK[[#This Row],[Ganancia Unitaria]]*STOCK[[#This Row],[Salidas]]</f>
        <v>9.2941176470588</v>
      </c>
      <c r="AA541" s="54">
        <f>STOCK[[#This Row],[Costo total]]*STOCK[[#This Row],[Entradas]]</f>
        <v>60.7058823529412</v>
      </c>
      <c r="AB541" s="54">
        <f>STOCK[[#This Row],[Stock Actual]]*STOCK[[#This Row],[Costo total]]</f>
        <v>0</v>
      </c>
    </row>
    <row r="542" s="53" customFormat="1" ht="50" customHeight="1" spans="1:28">
      <c r="A542" s="53" t="s">
        <v>1104</v>
      </c>
      <c r="B542" s="66"/>
      <c r="C542" s="53" t="s">
        <v>32</v>
      </c>
      <c r="D542" s="53" t="s">
        <v>302</v>
      </c>
      <c r="E542" s="67" t="s">
        <v>1105</v>
      </c>
      <c r="F542" s="53" t="s">
        <v>49</v>
      </c>
      <c r="G542" s="53" t="s">
        <v>36</v>
      </c>
      <c r="H542" s="53">
        <f>STOCK[[#This Row],[Precio Final]]</f>
        <v>22</v>
      </c>
      <c r="I542" s="53">
        <f>STOCK[[#This Row],[Precio Venta Ideal (x1.5)]]</f>
        <v>25.1227941176471</v>
      </c>
      <c r="J542" s="71">
        <v>1</v>
      </c>
      <c r="K542" s="71">
        <f>SUMIFS(VENTAS[Cantidad],VENTAS[Código del producto Vendido],STOCK[[#This Row],[Code]])</f>
        <v>1</v>
      </c>
      <c r="L542" s="71">
        <f>STOCK[[#This Row],[Entradas]]-STOCK[[#This Row],[Salidas]]</f>
        <v>0</v>
      </c>
      <c r="M542" s="53">
        <f>STOCK[[#This Row],[Precio Final]]*10%</f>
        <v>2.2</v>
      </c>
      <c r="N542" s="53">
        <v>167</v>
      </c>
      <c r="O542" s="53">
        <v>17</v>
      </c>
      <c r="P542" s="53">
        <v>9.82352941176471</v>
      </c>
      <c r="Q542" s="71">
        <v>270</v>
      </c>
      <c r="R542" s="53">
        <v>17.5</v>
      </c>
      <c r="S542" s="53">
        <f>STOCK[[#This Row],[Peso (g)]]*STOCK[[#This Row],[Precio Envío Kilogramo (USD)]]/1000</f>
        <v>4.725</v>
      </c>
      <c r="T542" s="53">
        <f>STOCK[[#This Row],[Costo Unitario (USD)]]+STOCK[[#This Row],[Costo Envío (USD)]]+STOCK[[#This Row],[Comisión 10%]]</f>
        <v>16.7485294117647</v>
      </c>
      <c r="U542" s="53">
        <f>STOCK[[#This Row],[Costo total]]*1.5</f>
        <v>25.1227941176471</v>
      </c>
      <c r="V542" s="53">
        <v>22</v>
      </c>
      <c r="W542" s="53">
        <f>STOCK[[#This Row],[Precio Final]]-STOCK[[#This Row],[Costo total]]</f>
        <v>5.25147058823529</v>
      </c>
      <c r="X542" s="53">
        <f>STOCK[[#This Row],[Ganancia Unitaria]]*STOCK[[#This Row],[Salidas]]</f>
        <v>5.25147058823529</v>
      </c>
      <c r="Y542" s="53" t="s">
        <v>928</v>
      </c>
      <c r="AA542" s="53">
        <f>STOCK[[#This Row],[Costo total]]*STOCK[[#This Row],[Entradas]]</f>
        <v>16.7485294117647</v>
      </c>
      <c r="AB542" s="53">
        <f>STOCK[[#This Row],[Stock Actual]]*STOCK[[#This Row],[Costo total]]</f>
        <v>0</v>
      </c>
    </row>
    <row r="543" s="54" customFormat="1" ht="50" customHeight="1" spans="1:28">
      <c r="A543" s="54" t="s">
        <v>1106</v>
      </c>
      <c r="B543" s="66"/>
      <c r="C543" s="54" t="s">
        <v>32</v>
      </c>
      <c r="D543" s="54" t="s">
        <v>302</v>
      </c>
      <c r="E543" s="68" t="s">
        <v>1105</v>
      </c>
      <c r="F543" s="54" t="s">
        <v>46</v>
      </c>
      <c r="G543" s="54" t="s">
        <v>36</v>
      </c>
      <c r="H543" s="54">
        <f>STOCK[[#This Row],[Precio Final]]</f>
        <v>25</v>
      </c>
      <c r="I543" s="54">
        <f>STOCK[[#This Row],[Precio Venta Ideal (x1.5)]]</f>
        <v>25.5727941176471</v>
      </c>
      <c r="J543" s="72">
        <v>2</v>
      </c>
      <c r="K543" s="72">
        <f>SUMIFS(VENTAS[Cantidad],VENTAS[Código del producto Vendido],STOCK[[#This Row],[Code]])</f>
        <v>2</v>
      </c>
      <c r="L543" s="72">
        <f>STOCK[[#This Row],[Entradas]]-STOCK[[#This Row],[Salidas]]</f>
        <v>0</v>
      </c>
      <c r="M543" s="54">
        <f>STOCK[[#This Row],[Precio Final]]*10%</f>
        <v>2.5</v>
      </c>
      <c r="N543" s="54">
        <v>167</v>
      </c>
      <c r="O543" s="54">
        <v>17</v>
      </c>
      <c r="P543" s="54">
        <v>9.82352941176471</v>
      </c>
      <c r="Q543" s="72">
        <v>270</v>
      </c>
      <c r="R543" s="54">
        <v>17.5</v>
      </c>
      <c r="S543" s="54">
        <f>STOCK[[#This Row],[Peso (g)]]*STOCK[[#This Row],[Precio Envío Kilogramo (USD)]]/1000</f>
        <v>4.725</v>
      </c>
      <c r="T543" s="53">
        <f>STOCK[[#This Row],[Costo Unitario (USD)]]+STOCK[[#This Row],[Costo Envío (USD)]]+STOCK[[#This Row],[Comisión 10%]]</f>
        <v>17.0485294117647</v>
      </c>
      <c r="U543" s="54">
        <f>STOCK[[#This Row],[Costo total]]*1.5</f>
        <v>25.5727941176471</v>
      </c>
      <c r="V543" s="54">
        <v>25</v>
      </c>
      <c r="W543" s="54">
        <f>STOCK[[#This Row],[Precio Final]]-STOCK[[#This Row],[Costo total]]</f>
        <v>7.95147058823529</v>
      </c>
      <c r="X543" s="54">
        <f>STOCK[[#This Row],[Ganancia Unitaria]]*STOCK[[#This Row],[Salidas]]</f>
        <v>15.9029411764706</v>
      </c>
      <c r="Y543" s="54" t="s">
        <v>928</v>
      </c>
      <c r="AA543" s="54">
        <f>STOCK[[#This Row],[Costo total]]*STOCK[[#This Row],[Entradas]]</f>
        <v>34.0970588235294</v>
      </c>
      <c r="AB543" s="54">
        <f>STOCK[[#This Row],[Stock Actual]]*STOCK[[#This Row],[Costo total]]</f>
        <v>0</v>
      </c>
    </row>
    <row r="544" s="53" customFormat="1" ht="50" customHeight="1" spans="1:28">
      <c r="A544" s="53" t="s">
        <v>1107</v>
      </c>
      <c r="B544" s="66"/>
      <c r="C544" s="53" t="s">
        <v>32</v>
      </c>
      <c r="D544" s="53" t="s">
        <v>302</v>
      </c>
      <c r="E544" s="67" t="s">
        <v>1108</v>
      </c>
      <c r="F544" s="53" t="s">
        <v>1109</v>
      </c>
      <c r="G544" s="53" t="s">
        <v>36</v>
      </c>
      <c r="H544" s="53">
        <f>STOCK[[#This Row],[Precio Final]]</f>
        <v>28</v>
      </c>
      <c r="I544" s="53">
        <f>STOCK[[#This Row],[Precio Venta Ideal (x1.5)]]</f>
        <v>31.8419117647059</v>
      </c>
      <c r="J544" s="71">
        <v>1</v>
      </c>
      <c r="K544" s="71">
        <f>SUMIFS(VENTAS[Cantidad],VENTAS[Código del producto Vendido],STOCK[[#This Row],[Code]])</f>
        <v>1</v>
      </c>
      <c r="L544" s="71">
        <f>STOCK[[#This Row],[Entradas]]-STOCK[[#This Row],[Salidas]]</f>
        <v>0</v>
      </c>
      <c r="M544" s="53">
        <f>STOCK[[#This Row],[Precio Final]]*10%</f>
        <v>2.8</v>
      </c>
      <c r="N544" s="53">
        <v>227</v>
      </c>
      <c r="O544" s="53">
        <v>17</v>
      </c>
      <c r="P544" s="53">
        <v>13.3529411764706</v>
      </c>
      <c r="Q544" s="71">
        <v>290</v>
      </c>
      <c r="R544" s="53">
        <v>17.5</v>
      </c>
      <c r="S544" s="53">
        <f>STOCK[[#This Row],[Peso (g)]]*STOCK[[#This Row],[Precio Envío Kilogramo (USD)]]/1000</f>
        <v>5.075</v>
      </c>
      <c r="T544" s="53">
        <f>STOCK[[#This Row],[Costo Unitario (USD)]]+STOCK[[#This Row],[Costo Envío (USD)]]+STOCK[[#This Row],[Comisión 10%]]</f>
        <v>21.2279411764706</v>
      </c>
      <c r="U544" s="53">
        <f>STOCK[[#This Row],[Costo total]]*1.5</f>
        <v>31.8419117647059</v>
      </c>
      <c r="V544" s="53">
        <v>28</v>
      </c>
      <c r="W544" s="53">
        <f>STOCK[[#This Row],[Precio Final]]-STOCK[[#This Row],[Costo total]]</f>
        <v>6.7720588235294</v>
      </c>
      <c r="X544" s="53">
        <f>STOCK[[#This Row],[Ganancia Unitaria]]*STOCK[[#This Row],[Salidas]]</f>
        <v>6.7720588235294</v>
      </c>
      <c r="AA544" s="53">
        <f>STOCK[[#This Row],[Costo total]]*STOCK[[#This Row],[Entradas]]</f>
        <v>21.2279411764706</v>
      </c>
      <c r="AB544" s="53">
        <f>STOCK[[#This Row],[Stock Actual]]*STOCK[[#This Row],[Costo total]]</f>
        <v>0</v>
      </c>
    </row>
    <row r="545" s="54" customFormat="1" ht="50" customHeight="1" spans="1:28">
      <c r="A545" s="54" t="s">
        <v>1110</v>
      </c>
      <c r="B545" s="66"/>
      <c r="C545" s="54" t="s">
        <v>32</v>
      </c>
      <c r="D545" s="54" t="s">
        <v>302</v>
      </c>
      <c r="E545" s="68" t="s">
        <v>1111</v>
      </c>
      <c r="F545" s="54" t="s">
        <v>49</v>
      </c>
      <c r="G545" s="54" t="s">
        <v>36</v>
      </c>
      <c r="H545" s="54">
        <f>STOCK[[#This Row],[Precio Final]]</f>
        <v>30</v>
      </c>
      <c r="I545" s="54">
        <f>STOCK[[#This Row],[Precio Venta Ideal (x1.5)]]</f>
        <v>32.1419117647059</v>
      </c>
      <c r="J545" s="72">
        <v>1</v>
      </c>
      <c r="K545" s="72">
        <f>SUMIFS(VENTAS[Cantidad],VENTAS[Código del producto Vendido],STOCK[[#This Row],[Code]])</f>
        <v>1</v>
      </c>
      <c r="L545" s="72">
        <f>STOCK[[#This Row],[Entradas]]-STOCK[[#This Row],[Salidas]]</f>
        <v>0</v>
      </c>
      <c r="M545" s="54">
        <f>STOCK[[#This Row],[Precio Final]]*10%</f>
        <v>3</v>
      </c>
      <c r="N545" s="54">
        <v>227</v>
      </c>
      <c r="O545" s="54">
        <v>17</v>
      </c>
      <c r="P545" s="54">
        <v>13.3529411764706</v>
      </c>
      <c r="Q545" s="72">
        <v>290</v>
      </c>
      <c r="R545" s="54">
        <v>17.5</v>
      </c>
      <c r="S545" s="54">
        <f>STOCK[[#This Row],[Peso (g)]]*STOCK[[#This Row],[Precio Envío Kilogramo (USD)]]/1000</f>
        <v>5.075</v>
      </c>
      <c r="T545" s="53">
        <f>STOCK[[#This Row],[Costo Unitario (USD)]]+STOCK[[#This Row],[Costo Envío (USD)]]+STOCK[[#This Row],[Comisión 10%]]</f>
        <v>21.4279411764706</v>
      </c>
      <c r="U545" s="54">
        <f>STOCK[[#This Row],[Costo total]]*1.5</f>
        <v>32.1419117647059</v>
      </c>
      <c r="V545" s="54">
        <v>30</v>
      </c>
      <c r="W545" s="54">
        <f>STOCK[[#This Row],[Precio Final]]-STOCK[[#This Row],[Costo total]]</f>
        <v>8.5720588235294</v>
      </c>
      <c r="X545" s="54">
        <f>STOCK[[#This Row],[Ganancia Unitaria]]*STOCK[[#This Row],[Salidas]]</f>
        <v>8.5720588235294</v>
      </c>
      <c r="AA545" s="54">
        <f>STOCK[[#This Row],[Costo total]]*STOCK[[#This Row],[Entradas]]</f>
        <v>21.4279411764706</v>
      </c>
      <c r="AB545" s="54">
        <f>STOCK[[#This Row],[Stock Actual]]*STOCK[[#This Row],[Costo total]]</f>
        <v>0</v>
      </c>
    </row>
    <row r="546" s="53" customFormat="1" ht="50" customHeight="1" spans="1:28">
      <c r="A546" s="53" t="s">
        <v>1112</v>
      </c>
      <c r="B546" s="66"/>
      <c r="C546" s="53" t="s">
        <v>32</v>
      </c>
      <c r="D546" s="53" t="s">
        <v>302</v>
      </c>
      <c r="E546" s="67" t="s">
        <v>1111</v>
      </c>
      <c r="F546" s="53" t="s">
        <v>46</v>
      </c>
      <c r="G546" s="53" t="s">
        <v>36</v>
      </c>
      <c r="H546" s="53">
        <f>STOCK[[#This Row],[Precio Final]]</f>
        <v>22</v>
      </c>
      <c r="I546" s="53">
        <f>STOCK[[#This Row],[Precio Venta Ideal (x1.5)]]</f>
        <v>30.9419117647059</v>
      </c>
      <c r="J546" s="71">
        <v>1</v>
      </c>
      <c r="K546" s="71">
        <f>SUMIFS(VENTAS[Cantidad],VENTAS[Código del producto Vendido],STOCK[[#This Row],[Code]])</f>
        <v>1</v>
      </c>
      <c r="L546" s="71">
        <f>STOCK[[#This Row],[Entradas]]-STOCK[[#This Row],[Salidas]]</f>
        <v>0</v>
      </c>
      <c r="M546" s="53">
        <f>STOCK[[#This Row],[Precio Final]]*10%</f>
        <v>2.2</v>
      </c>
      <c r="N546" s="53">
        <v>227</v>
      </c>
      <c r="O546" s="53">
        <v>17</v>
      </c>
      <c r="P546" s="53">
        <v>13.3529411764706</v>
      </c>
      <c r="Q546" s="71">
        <v>290</v>
      </c>
      <c r="R546" s="53">
        <v>17.5</v>
      </c>
      <c r="S546" s="53">
        <f>STOCK[[#This Row],[Peso (g)]]*STOCK[[#This Row],[Precio Envío Kilogramo (USD)]]/1000</f>
        <v>5.075</v>
      </c>
      <c r="T546" s="53">
        <f>STOCK[[#This Row],[Costo Unitario (USD)]]+STOCK[[#This Row],[Costo Envío (USD)]]+STOCK[[#This Row],[Comisión 10%]]</f>
        <v>20.6279411764706</v>
      </c>
      <c r="U546" s="53">
        <f>STOCK[[#This Row],[Costo total]]*1.5</f>
        <v>30.9419117647059</v>
      </c>
      <c r="V546" s="53">
        <v>22</v>
      </c>
      <c r="W546" s="53">
        <f>STOCK[[#This Row],[Precio Final]]-STOCK[[#This Row],[Costo total]]</f>
        <v>1.3720588235294</v>
      </c>
      <c r="X546" s="53">
        <f>STOCK[[#This Row],[Ganancia Unitaria]]*STOCK[[#This Row],[Salidas]]</f>
        <v>1.3720588235294</v>
      </c>
      <c r="AA546" s="53">
        <f>STOCK[[#This Row],[Costo total]]*STOCK[[#This Row],[Entradas]]</f>
        <v>20.6279411764706</v>
      </c>
      <c r="AB546" s="53">
        <f>STOCK[[#This Row],[Stock Actual]]*STOCK[[#This Row],[Costo total]]</f>
        <v>0</v>
      </c>
    </row>
    <row r="547" s="54" customFormat="1" ht="50" customHeight="1" spans="1:28">
      <c r="A547" s="54" t="s">
        <v>1113</v>
      </c>
      <c r="B547" s="66"/>
      <c r="C547" s="54" t="s">
        <v>32</v>
      </c>
      <c r="D547" s="54" t="s">
        <v>351</v>
      </c>
      <c r="E547" s="68" t="s">
        <v>1114</v>
      </c>
      <c r="F547" s="54" t="s">
        <v>394</v>
      </c>
      <c r="G547" s="54" t="s">
        <v>36</v>
      </c>
      <c r="H547" s="54">
        <f>STOCK[[#This Row],[Precio Final]]</f>
        <v>20</v>
      </c>
      <c r="I547" s="54">
        <f>STOCK[[#This Row],[Precio Venta Ideal (x1.5)]]</f>
        <v>20.7430147058824</v>
      </c>
      <c r="J547" s="72">
        <v>2</v>
      </c>
      <c r="K547" s="72">
        <f>SUMIFS(VENTAS[Cantidad],VENTAS[Código del producto Vendido],STOCK[[#This Row],[Code]])</f>
        <v>2</v>
      </c>
      <c r="L547" s="72">
        <f>STOCK[[#This Row],[Entradas]]-STOCK[[#This Row],[Salidas]]</f>
        <v>0</v>
      </c>
      <c r="M547" s="54">
        <f>STOCK[[#This Row],[Precio Final]]*10%</f>
        <v>2</v>
      </c>
      <c r="N547" s="54">
        <v>152</v>
      </c>
      <c r="O547" s="54">
        <v>17</v>
      </c>
      <c r="P547" s="54">
        <v>8.94117647058824</v>
      </c>
      <c r="Q547" s="72">
        <v>165</v>
      </c>
      <c r="R547" s="54">
        <v>17.5</v>
      </c>
      <c r="S547" s="54">
        <f>STOCK[[#This Row],[Peso (g)]]*STOCK[[#This Row],[Precio Envío Kilogramo (USD)]]/1000</f>
        <v>2.8875</v>
      </c>
      <c r="T547" s="53">
        <f>STOCK[[#This Row],[Costo Unitario (USD)]]+STOCK[[#This Row],[Costo Envío (USD)]]+STOCK[[#This Row],[Comisión 10%]]</f>
        <v>13.8286764705882</v>
      </c>
      <c r="U547" s="54">
        <f>STOCK[[#This Row],[Costo total]]*1.5</f>
        <v>20.7430147058824</v>
      </c>
      <c r="V547" s="54">
        <v>20</v>
      </c>
      <c r="W547" s="54">
        <f>STOCK[[#This Row],[Precio Final]]-STOCK[[#This Row],[Costo total]]</f>
        <v>6.17132352941176</v>
      </c>
      <c r="X547" s="54">
        <f>STOCK[[#This Row],[Ganancia Unitaria]]*STOCK[[#This Row],[Salidas]]</f>
        <v>12.3426470588235</v>
      </c>
      <c r="AA547" s="54">
        <f>STOCK[[#This Row],[Costo total]]*STOCK[[#This Row],[Entradas]]</f>
        <v>27.6573529411765</v>
      </c>
      <c r="AB547" s="54">
        <f>STOCK[[#This Row],[Stock Actual]]*STOCK[[#This Row],[Costo total]]</f>
        <v>0</v>
      </c>
    </row>
    <row r="548" s="53" customFormat="1" ht="50" customHeight="1" spans="1:28">
      <c r="A548" s="53" t="s">
        <v>1115</v>
      </c>
      <c r="B548" s="66"/>
      <c r="C548" s="53" t="s">
        <v>32</v>
      </c>
      <c r="D548" s="53" t="s">
        <v>1116</v>
      </c>
      <c r="E548" s="67" t="s">
        <v>1117</v>
      </c>
      <c r="F548" s="53" t="s">
        <v>205</v>
      </c>
      <c r="G548" s="53" t="s">
        <v>36</v>
      </c>
      <c r="H548" s="53">
        <f>STOCK[[#This Row],[Precio Final]]</f>
        <v>12</v>
      </c>
      <c r="I548" s="53">
        <f>STOCK[[#This Row],[Precio Venta Ideal (x1.5)]]</f>
        <v>11.4452205882353</v>
      </c>
      <c r="J548" s="71">
        <v>1</v>
      </c>
      <c r="K548" s="71">
        <f>SUMIFS(VENTAS[Cantidad],VENTAS[Código del producto Vendido],STOCK[[#This Row],[Code]])</f>
        <v>1</v>
      </c>
      <c r="L548" s="71">
        <f>STOCK[[#This Row],[Entradas]]-STOCK[[#This Row],[Salidas]]</f>
        <v>0</v>
      </c>
      <c r="M548" s="53">
        <f>STOCK[[#This Row],[Precio Final]]*10%</f>
        <v>1.2</v>
      </c>
      <c r="N548" s="53">
        <v>87</v>
      </c>
      <c r="O548" s="53">
        <v>17</v>
      </c>
      <c r="P548" s="53">
        <v>5.11764705882353</v>
      </c>
      <c r="Q548" s="71">
        <v>75</v>
      </c>
      <c r="R548" s="53">
        <v>17.5</v>
      </c>
      <c r="S548" s="53">
        <f>STOCK[[#This Row],[Peso (g)]]*STOCK[[#This Row],[Precio Envío Kilogramo (USD)]]/1000</f>
        <v>1.3125</v>
      </c>
      <c r="T548" s="53">
        <f>STOCK[[#This Row],[Costo Unitario (USD)]]+STOCK[[#This Row],[Costo Envío (USD)]]+STOCK[[#This Row],[Comisión 10%]]</f>
        <v>7.63014705882353</v>
      </c>
      <c r="U548" s="53">
        <f>STOCK[[#This Row],[Costo total]]*1.5</f>
        <v>11.4452205882353</v>
      </c>
      <c r="V548" s="53">
        <v>12</v>
      </c>
      <c r="W548" s="53">
        <f>STOCK[[#This Row],[Precio Final]]-STOCK[[#This Row],[Costo total]]</f>
        <v>4.36985294117647</v>
      </c>
      <c r="X548" s="53">
        <f>STOCK[[#This Row],[Ganancia Unitaria]]*STOCK[[#This Row],[Salidas]]</f>
        <v>4.36985294117647</v>
      </c>
      <c r="Y548" s="53" t="s">
        <v>928</v>
      </c>
      <c r="AA548" s="53">
        <f>STOCK[[#This Row],[Costo total]]*STOCK[[#This Row],[Entradas]]</f>
        <v>7.63014705882353</v>
      </c>
      <c r="AB548" s="53">
        <f>STOCK[[#This Row],[Stock Actual]]*STOCK[[#This Row],[Costo total]]</f>
        <v>0</v>
      </c>
    </row>
    <row r="549" s="54" customFormat="1" ht="50" customHeight="1" spans="1:28">
      <c r="A549" s="54" t="s">
        <v>1118</v>
      </c>
      <c r="B549" s="66"/>
      <c r="C549" s="54" t="s">
        <v>32</v>
      </c>
      <c r="D549" s="54" t="s">
        <v>546</v>
      </c>
      <c r="E549" s="68" t="s">
        <v>1119</v>
      </c>
      <c r="F549" s="54" t="s">
        <v>716</v>
      </c>
      <c r="G549" s="54" t="s">
        <v>36</v>
      </c>
      <c r="H549" s="54">
        <f>STOCK[[#This Row],[Precio Final]]</f>
        <v>12</v>
      </c>
      <c r="I549" s="54">
        <f>STOCK[[#This Row],[Precio Venta Ideal (x1.5)]]</f>
        <v>11.4452205882353</v>
      </c>
      <c r="J549" s="72">
        <v>1</v>
      </c>
      <c r="K549" s="72">
        <f>SUMIFS(VENTAS[Cantidad],VENTAS[Código del producto Vendido],STOCK[[#This Row],[Code]])</f>
        <v>0</v>
      </c>
      <c r="L549" s="72">
        <f>STOCK[[#This Row],[Entradas]]-STOCK[[#This Row],[Salidas]]</f>
        <v>1</v>
      </c>
      <c r="M549" s="54">
        <f>STOCK[[#This Row],[Precio Final]]*10%</f>
        <v>1.2</v>
      </c>
      <c r="N549" s="54">
        <v>87</v>
      </c>
      <c r="O549" s="54">
        <v>17</v>
      </c>
      <c r="P549" s="54">
        <v>5.11764705882353</v>
      </c>
      <c r="Q549" s="72">
        <v>75</v>
      </c>
      <c r="R549" s="54">
        <v>17.5</v>
      </c>
      <c r="S549" s="54">
        <f>STOCK[[#This Row],[Peso (g)]]*STOCK[[#This Row],[Precio Envío Kilogramo (USD)]]/1000</f>
        <v>1.3125</v>
      </c>
      <c r="T549" s="53">
        <f>STOCK[[#This Row],[Costo Unitario (USD)]]+STOCK[[#This Row],[Costo Envío (USD)]]+STOCK[[#This Row],[Comisión 10%]]</f>
        <v>7.63014705882353</v>
      </c>
      <c r="U549" s="54">
        <f>STOCK[[#This Row],[Costo total]]*1.5</f>
        <v>11.4452205882353</v>
      </c>
      <c r="V549" s="54">
        <v>12</v>
      </c>
      <c r="W549" s="54">
        <f>STOCK[[#This Row],[Precio Final]]-STOCK[[#This Row],[Costo total]]</f>
        <v>4.36985294117647</v>
      </c>
      <c r="X549" s="54">
        <f>STOCK[[#This Row],[Ganancia Unitaria]]*STOCK[[#This Row],[Salidas]]</f>
        <v>0</v>
      </c>
      <c r="Y549" s="54" t="s">
        <v>928</v>
      </c>
      <c r="AA549" s="54">
        <f>STOCK[[#This Row],[Costo total]]*STOCK[[#This Row],[Entradas]]</f>
        <v>7.63014705882353</v>
      </c>
      <c r="AB549" s="54">
        <f>STOCK[[#This Row],[Stock Actual]]*STOCK[[#This Row],[Costo total]]</f>
        <v>7.63014705882353</v>
      </c>
    </row>
    <row r="550" s="53" customFormat="1" ht="50" customHeight="1" spans="1:28">
      <c r="A550" s="53" t="s">
        <v>1120</v>
      </c>
      <c r="B550" s="66"/>
      <c r="C550" s="53" t="s">
        <v>32</v>
      </c>
      <c r="D550" s="53" t="s">
        <v>546</v>
      </c>
      <c r="E550" s="68" t="s">
        <v>1119</v>
      </c>
      <c r="F550" s="53" t="s">
        <v>62</v>
      </c>
      <c r="G550" s="53" t="s">
        <v>36</v>
      </c>
      <c r="H550" s="53">
        <f>STOCK[[#This Row],[Precio Final]]</f>
        <v>12</v>
      </c>
      <c r="I550" s="53">
        <f>STOCK[[#This Row],[Precio Venta Ideal (x1.5)]]</f>
        <v>11.4452205882353</v>
      </c>
      <c r="J550" s="71">
        <v>1</v>
      </c>
      <c r="K550" s="71">
        <f>SUMIFS(VENTAS[Cantidad],VENTAS[Código del producto Vendido],STOCK[[#This Row],[Code]])</f>
        <v>0</v>
      </c>
      <c r="L550" s="71">
        <f>STOCK[[#This Row],[Entradas]]-STOCK[[#This Row],[Salidas]]</f>
        <v>1</v>
      </c>
      <c r="M550" s="53">
        <f>STOCK[[#This Row],[Precio Final]]*10%</f>
        <v>1.2</v>
      </c>
      <c r="N550" s="53">
        <v>87</v>
      </c>
      <c r="O550" s="53">
        <v>17</v>
      </c>
      <c r="P550" s="53">
        <v>5.11764705882353</v>
      </c>
      <c r="Q550" s="71">
        <v>75</v>
      </c>
      <c r="R550" s="53">
        <v>17.5</v>
      </c>
      <c r="S550" s="53">
        <f>STOCK[[#This Row],[Peso (g)]]*STOCK[[#This Row],[Precio Envío Kilogramo (USD)]]/1000</f>
        <v>1.3125</v>
      </c>
      <c r="T550" s="53">
        <f>STOCK[[#This Row],[Costo Unitario (USD)]]+STOCK[[#This Row],[Costo Envío (USD)]]+STOCK[[#This Row],[Comisión 10%]]</f>
        <v>7.63014705882353</v>
      </c>
      <c r="U550" s="53">
        <f>STOCK[[#This Row],[Costo total]]*1.5</f>
        <v>11.4452205882353</v>
      </c>
      <c r="V550" s="53">
        <v>12</v>
      </c>
      <c r="W550" s="53">
        <f>STOCK[[#This Row],[Precio Final]]-STOCK[[#This Row],[Costo total]]</f>
        <v>4.36985294117647</v>
      </c>
      <c r="X550" s="53">
        <f>STOCK[[#This Row],[Ganancia Unitaria]]*STOCK[[#This Row],[Salidas]]</f>
        <v>0</v>
      </c>
      <c r="Y550" s="53" t="s">
        <v>928</v>
      </c>
      <c r="AA550" s="53">
        <f>STOCK[[#This Row],[Costo total]]*STOCK[[#This Row],[Entradas]]</f>
        <v>7.63014705882353</v>
      </c>
      <c r="AB550" s="53">
        <f>STOCK[[#This Row],[Stock Actual]]*STOCK[[#This Row],[Costo total]]</f>
        <v>7.63014705882353</v>
      </c>
    </row>
    <row r="551" s="54" customFormat="1" ht="50" customHeight="1" spans="1:28">
      <c r="A551" s="54" t="s">
        <v>1121</v>
      </c>
      <c r="B551" s="66"/>
      <c r="C551" s="54" t="s">
        <v>32</v>
      </c>
      <c r="D551" s="54" t="s">
        <v>546</v>
      </c>
      <c r="E551" s="68" t="s">
        <v>1122</v>
      </c>
      <c r="F551" s="54" t="s">
        <v>62</v>
      </c>
      <c r="G551" s="54" t="s">
        <v>36</v>
      </c>
      <c r="H551" s="54">
        <f>STOCK[[#This Row],[Precio Final]]</f>
        <v>15</v>
      </c>
      <c r="I551" s="54">
        <f>STOCK[[#This Row],[Precio Venta Ideal (x1.5)]]</f>
        <v>12.9132352941176</v>
      </c>
      <c r="J551" s="72">
        <v>2</v>
      </c>
      <c r="K551" s="72">
        <f>SUMIFS(VENTAS[Cantidad],VENTAS[Código del producto Vendido],STOCK[[#This Row],[Code]])</f>
        <v>2</v>
      </c>
      <c r="L551" s="72">
        <f>STOCK[[#This Row],[Entradas]]-STOCK[[#This Row],[Salidas]]</f>
        <v>0</v>
      </c>
      <c r="M551" s="54">
        <f>STOCK[[#This Row],[Precio Final]]*10%</f>
        <v>1.5</v>
      </c>
      <c r="N551" s="54">
        <v>103</v>
      </c>
      <c r="O551" s="54">
        <v>17</v>
      </c>
      <c r="P551" s="54">
        <v>6.05882352941176</v>
      </c>
      <c r="Q551" s="72">
        <v>60</v>
      </c>
      <c r="R551" s="54">
        <v>17.5</v>
      </c>
      <c r="S551" s="54">
        <f>STOCK[[#This Row],[Peso (g)]]*STOCK[[#This Row],[Precio Envío Kilogramo (USD)]]/1000</f>
        <v>1.05</v>
      </c>
      <c r="T551" s="53">
        <f>STOCK[[#This Row],[Costo Unitario (USD)]]+STOCK[[#This Row],[Costo Envío (USD)]]+STOCK[[#This Row],[Comisión 10%]]</f>
        <v>8.60882352941176</v>
      </c>
      <c r="U551" s="54">
        <f>STOCK[[#This Row],[Costo total]]*1.5</f>
        <v>12.9132352941176</v>
      </c>
      <c r="V551" s="54">
        <v>15</v>
      </c>
      <c r="W551" s="54">
        <f>STOCK[[#This Row],[Precio Final]]-STOCK[[#This Row],[Costo total]]</f>
        <v>6.39117647058824</v>
      </c>
      <c r="X551" s="54">
        <f>STOCK[[#This Row],[Ganancia Unitaria]]*STOCK[[#This Row],[Salidas]]</f>
        <v>12.7823529411765</v>
      </c>
      <c r="Y551" s="54" t="s">
        <v>928</v>
      </c>
      <c r="AA551" s="54">
        <f>STOCK[[#This Row],[Costo total]]*STOCK[[#This Row],[Entradas]]</f>
        <v>17.2176470588235</v>
      </c>
      <c r="AB551" s="54">
        <f>STOCK[[#This Row],[Stock Actual]]*STOCK[[#This Row],[Costo total]]</f>
        <v>0</v>
      </c>
    </row>
    <row r="552" s="53" customFormat="1" ht="50" customHeight="1" spans="1:28">
      <c r="A552" s="53" t="s">
        <v>1123</v>
      </c>
      <c r="B552" s="66"/>
      <c r="C552" s="53" t="s">
        <v>32</v>
      </c>
      <c r="D552" s="53" t="s">
        <v>546</v>
      </c>
      <c r="E552" s="67" t="s">
        <v>1122</v>
      </c>
      <c r="F552" s="53" t="s">
        <v>49</v>
      </c>
      <c r="G552" s="53" t="s">
        <v>36</v>
      </c>
      <c r="H552" s="53">
        <f>STOCK[[#This Row],[Precio Final]]</f>
        <v>12</v>
      </c>
      <c r="I552" s="53">
        <f>STOCK[[#This Row],[Precio Venta Ideal (x1.5)]]</f>
        <v>12.4632352941176</v>
      </c>
      <c r="J552" s="71">
        <v>2</v>
      </c>
      <c r="K552" s="71">
        <f>SUMIFS(VENTAS[Cantidad],VENTAS[Código del producto Vendido],STOCK[[#This Row],[Code]])</f>
        <v>2</v>
      </c>
      <c r="L552" s="71">
        <f>STOCK[[#This Row],[Entradas]]-STOCK[[#This Row],[Salidas]]</f>
        <v>0</v>
      </c>
      <c r="M552" s="53">
        <f>STOCK[[#This Row],[Precio Final]]*10%</f>
        <v>1.2</v>
      </c>
      <c r="N552" s="53">
        <v>103</v>
      </c>
      <c r="O552" s="53">
        <v>17</v>
      </c>
      <c r="P552" s="53">
        <v>6.05882352941176</v>
      </c>
      <c r="Q552" s="71">
        <v>60</v>
      </c>
      <c r="R552" s="53">
        <v>17.5</v>
      </c>
      <c r="S552" s="53">
        <f>STOCK[[#This Row],[Peso (g)]]*STOCK[[#This Row],[Precio Envío Kilogramo (USD)]]/1000</f>
        <v>1.05</v>
      </c>
      <c r="T552" s="53">
        <f>STOCK[[#This Row],[Costo Unitario (USD)]]+STOCK[[#This Row],[Costo Envío (USD)]]+STOCK[[#This Row],[Comisión 10%]]</f>
        <v>8.30882352941176</v>
      </c>
      <c r="U552" s="53">
        <f>STOCK[[#This Row],[Costo total]]*1.5</f>
        <v>12.4632352941176</v>
      </c>
      <c r="V552" s="53">
        <v>12</v>
      </c>
      <c r="W552" s="53">
        <f>STOCK[[#This Row],[Precio Final]]-STOCK[[#This Row],[Costo total]]</f>
        <v>3.69117647058824</v>
      </c>
      <c r="X552" s="53">
        <f>STOCK[[#This Row],[Ganancia Unitaria]]*STOCK[[#This Row],[Salidas]]</f>
        <v>7.38235294117648</v>
      </c>
      <c r="Y552" s="53" t="s">
        <v>928</v>
      </c>
      <c r="AA552" s="53">
        <f>STOCK[[#This Row],[Costo total]]*STOCK[[#This Row],[Entradas]]</f>
        <v>16.6176470588235</v>
      </c>
      <c r="AB552" s="53">
        <f>STOCK[[#This Row],[Stock Actual]]*STOCK[[#This Row],[Costo total]]</f>
        <v>0</v>
      </c>
    </row>
    <row r="553" s="54" customFormat="1" ht="50" customHeight="1" spans="1:28">
      <c r="A553" s="54" t="s">
        <v>1124</v>
      </c>
      <c r="B553" s="66"/>
      <c r="C553" s="54" t="s">
        <v>32</v>
      </c>
      <c r="D553" s="53" t="s">
        <v>515</v>
      </c>
      <c r="E553" s="68" t="s">
        <v>1125</v>
      </c>
      <c r="F553" s="54" t="s">
        <v>540</v>
      </c>
      <c r="G553" s="54" t="s">
        <v>36</v>
      </c>
      <c r="H553" s="54">
        <f>STOCK[[#This Row],[Precio Final]]</f>
        <v>40</v>
      </c>
      <c r="I553" s="54">
        <f>STOCK[[#This Row],[Precio Venta Ideal (x1.5)]]</f>
        <v>46.7294117647059</v>
      </c>
      <c r="J553" s="72">
        <v>2</v>
      </c>
      <c r="K553" s="72">
        <f>SUMIFS(VENTAS[Cantidad],VENTAS[Código del producto Vendido],STOCK[[#This Row],[Code]])</f>
        <v>2</v>
      </c>
      <c r="L553" s="72">
        <f>STOCK[[#This Row],[Entradas]]-STOCK[[#This Row],[Salidas]]</f>
        <v>0</v>
      </c>
      <c r="M553" s="54">
        <f>STOCK[[#This Row],[Precio Final]]*10%</f>
        <v>4</v>
      </c>
      <c r="N553" s="54">
        <v>295</v>
      </c>
      <c r="O553" s="54">
        <v>17</v>
      </c>
      <c r="P553" s="54">
        <v>17.3529411764706</v>
      </c>
      <c r="Q553" s="72">
        <v>560</v>
      </c>
      <c r="R553" s="54">
        <v>17.5</v>
      </c>
      <c r="S553" s="54">
        <f>STOCK[[#This Row],[Peso (g)]]*STOCK[[#This Row],[Precio Envío Kilogramo (USD)]]/1000</f>
        <v>9.8</v>
      </c>
      <c r="T553" s="53">
        <f>STOCK[[#This Row],[Costo Unitario (USD)]]+STOCK[[#This Row],[Costo Envío (USD)]]+STOCK[[#This Row],[Comisión 10%]]</f>
        <v>31.1529411764706</v>
      </c>
      <c r="U553" s="54">
        <f>STOCK[[#This Row],[Costo total]]*1.5</f>
        <v>46.7294117647059</v>
      </c>
      <c r="V553" s="54">
        <v>40</v>
      </c>
      <c r="W553" s="54">
        <f>STOCK[[#This Row],[Precio Final]]-STOCK[[#This Row],[Costo total]]</f>
        <v>8.8470588235294</v>
      </c>
      <c r="X553" s="54">
        <f>STOCK[[#This Row],[Ganancia Unitaria]]*STOCK[[#This Row],[Salidas]]</f>
        <v>17.6941176470588</v>
      </c>
      <c r="Y553" s="54" t="s">
        <v>928</v>
      </c>
      <c r="AA553" s="54">
        <f>STOCK[[#This Row],[Costo total]]*STOCK[[#This Row],[Entradas]]</f>
        <v>62.3058823529412</v>
      </c>
      <c r="AB553" s="54">
        <f>STOCK[[#This Row],[Stock Actual]]*STOCK[[#This Row],[Costo total]]</f>
        <v>0</v>
      </c>
    </row>
    <row r="554" s="53" customFormat="1" ht="50" customHeight="1" spans="1:28">
      <c r="A554" s="53" t="s">
        <v>1126</v>
      </c>
      <c r="B554" s="66"/>
      <c r="C554" s="53" t="s">
        <v>32</v>
      </c>
      <c r="D554" s="53" t="s">
        <v>174</v>
      </c>
      <c r="E554" s="67" t="s">
        <v>1127</v>
      </c>
      <c r="F554" s="53" t="s">
        <v>88</v>
      </c>
      <c r="G554" s="53" t="s">
        <v>36</v>
      </c>
      <c r="H554" s="53">
        <f>STOCK[[#This Row],[Precio Final]]</f>
        <v>15</v>
      </c>
      <c r="I554" s="53">
        <f>STOCK[[#This Row],[Precio Venta Ideal (x1.5)]]</f>
        <v>20.3911764705882</v>
      </c>
      <c r="J554" s="71">
        <v>1</v>
      </c>
      <c r="K554" s="71">
        <f>SUMIFS(VENTAS[Cantidad],VENTAS[Código del producto Vendido],STOCK[[#This Row],[Code]])</f>
        <v>1</v>
      </c>
      <c r="L554" s="71">
        <f>STOCK[[#This Row],[Entradas]]-STOCK[[#This Row],[Salidas]]</f>
        <v>0</v>
      </c>
      <c r="M554" s="53">
        <f>STOCK[[#This Row],[Precio Final]]*10%</f>
        <v>1.5</v>
      </c>
      <c r="N554" s="53">
        <v>158</v>
      </c>
      <c r="O554" s="53">
        <v>17</v>
      </c>
      <c r="P554" s="53">
        <v>9.29411764705882</v>
      </c>
      <c r="Q554" s="71">
        <v>160</v>
      </c>
      <c r="R554" s="53">
        <v>17.5</v>
      </c>
      <c r="S554" s="53">
        <f>STOCK[[#This Row],[Peso (g)]]*STOCK[[#This Row],[Precio Envío Kilogramo (USD)]]/1000</f>
        <v>2.8</v>
      </c>
      <c r="T554" s="53">
        <f>STOCK[[#This Row],[Costo Unitario (USD)]]+STOCK[[#This Row],[Costo Envío (USD)]]+STOCK[[#This Row],[Comisión 10%]]</f>
        <v>13.5941176470588</v>
      </c>
      <c r="U554" s="53">
        <f>STOCK[[#This Row],[Costo total]]*1.5</f>
        <v>20.3911764705882</v>
      </c>
      <c r="V554" s="53">
        <v>15</v>
      </c>
      <c r="W554" s="53">
        <f>STOCK[[#This Row],[Precio Final]]-STOCK[[#This Row],[Costo total]]</f>
        <v>1.40588235294118</v>
      </c>
      <c r="X554" s="53">
        <f>STOCK[[#This Row],[Ganancia Unitaria]]*STOCK[[#This Row],[Salidas]]</f>
        <v>1.40588235294118</v>
      </c>
      <c r="Y554" s="53" t="s">
        <v>928</v>
      </c>
      <c r="AA554" s="53">
        <f>STOCK[[#This Row],[Costo total]]*STOCK[[#This Row],[Entradas]]</f>
        <v>13.5941176470588</v>
      </c>
      <c r="AB554" s="53">
        <f>STOCK[[#This Row],[Stock Actual]]*STOCK[[#This Row],[Costo total]]</f>
        <v>0</v>
      </c>
    </row>
    <row r="555" s="54" customFormat="1" ht="50" customHeight="1" spans="1:28">
      <c r="A555" s="54" t="s">
        <v>1128</v>
      </c>
      <c r="B555" s="66"/>
      <c r="C555" s="54" t="s">
        <v>32</v>
      </c>
      <c r="D555" s="54" t="s">
        <v>174</v>
      </c>
      <c r="E555" s="68" t="s">
        <v>1129</v>
      </c>
      <c r="F555" s="54" t="s">
        <v>62</v>
      </c>
      <c r="G555" s="54" t="s">
        <v>36</v>
      </c>
      <c r="H555" s="54">
        <f>STOCK[[#This Row],[Precio Final]]</f>
        <v>18</v>
      </c>
      <c r="I555" s="54">
        <f>STOCK[[#This Row],[Precio Venta Ideal (x1.5)]]</f>
        <v>20.6647058823529</v>
      </c>
      <c r="J555" s="72">
        <v>1</v>
      </c>
      <c r="K555" s="72">
        <f>SUMIFS(VENTAS[Cantidad],VENTAS[Código del producto Vendido],STOCK[[#This Row],[Code]])</f>
        <v>1</v>
      </c>
      <c r="L555" s="72">
        <f>STOCK[[#This Row],[Entradas]]-STOCK[[#This Row],[Salidas]]</f>
        <v>0</v>
      </c>
      <c r="M555" s="54">
        <f>STOCK[[#This Row],[Precio Final]]*10%</f>
        <v>1.8</v>
      </c>
      <c r="N555" s="54">
        <v>156</v>
      </c>
      <c r="O555" s="54">
        <v>17</v>
      </c>
      <c r="P555" s="54">
        <v>9.17647058823529</v>
      </c>
      <c r="Q555" s="72">
        <v>160</v>
      </c>
      <c r="R555" s="54">
        <v>17.5</v>
      </c>
      <c r="S555" s="54">
        <f>STOCK[[#This Row],[Peso (g)]]*STOCK[[#This Row],[Precio Envío Kilogramo (USD)]]/1000</f>
        <v>2.8</v>
      </c>
      <c r="T555" s="53">
        <f>STOCK[[#This Row],[Costo Unitario (USD)]]+STOCK[[#This Row],[Costo Envío (USD)]]+STOCK[[#This Row],[Comisión 10%]]</f>
        <v>13.7764705882353</v>
      </c>
      <c r="U555" s="54">
        <f>STOCK[[#This Row],[Costo total]]*1.5</f>
        <v>20.6647058823529</v>
      </c>
      <c r="V555" s="54">
        <v>18</v>
      </c>
      <c r="W555" s="54">
        <f>STOCK[[#This Row],[Precio Final]]-STOCK[[#This Row],[Costo total]]</f>
        <v>4.22352941176471</v>
      </c>
      <c r="X555" s="54">
        <f>STOCK[[#This Row],[Ganancia Unitaria]]*STOCK[[#This Row],[Salidas]]</f>
        <v>4.22352941176471</v>
      </c>
      <c r="Y555" s="54" t="s">
        <v>928</v>
      </c>
      <c r="AA555" s="54">
        <f>STOCK[[#This Row],[Costo total]]*STOCK[[#This Row],[Entradas]]</f>
        <v>13.7764705882353</v>
      </c>
      <c r="AB555" s="54">
        <f>STOCK[[#This Row],[Stock Actual]]*STOCK[[#This Row],[Costo total]]</f>
        <v>0</v>
      </c>
    </row>
    <row r="556" s="53" customFormat="1" ht="50" customHeight="1" spans="1:28">
      <c r="A556" s="53" t="s">
        <v>1130</v>
      </c>
      <c r="B556" s="66"/>
      <c r="C556" s="53" t="s">
        <v>32</v>
      </c>
      <c r="D556" s="53" t="s">
        <v>44</v>
      </c>
      <c r="E556" s="67" t="s">
        <v>1131</v>
      </c>
      <c r="F556" s="53" t="s">
        <v>88</v>
      </c>
      <c r="G556" s="53" t="s">
        <v>36</v>
      </c>
      <c r="H556" s="53">
        <f>STOCK[[#This Row],[Precio Final]]</f>
        <v>35</v>
      </c>
      <c r="I556" s="53">
        <f>STOCK[[#This Row],[Precio Venta Ideal (x1.5)]]</f>
        <v>40.7316176470588</v>
      </c>
      <c r="J556" s="71">
        <v>2</v>
      </c>
      <c r="K556" s="71">
        <f>SUMIFS(VENTAS[Cantidad],VENTAS[Código del producto Vendido],STOCK[[#This Row],[Code]])</f>
        <v>2</v>
      </c>
      <c r="L556" s="71">
        <f>STOCK[[#This Row],[Entradas]]-STOCK[[#This Row],[Salidas]]</f>
        <v>0</v>
      </c>
      <c r="M556" s="53">
        <f>STOCK[[#This Row],[Precio Final]]*10%</f>
        <v>3.5</v>
      </c>
      <c r="N556" s="53">
        <v>298</v>
      </c>
      <c r="O556" s="53">
        <v>17</v>
      </c>
      <c r="P556" s="53">
        <v>17.5294117647059</v>
      </c>
      <c r="Q556" s="71">
        <v>350</v>
      </c>
      <c r="R556" s="53">
        <v>17.5</v>
      </c>
      <c r="S556" s="53">
        <f>STOCK[[#This Row],[Peso (g)]]*STOCK[[#This Row],[Precio Envío Kilogramo (USD)]]/1000</f>
        <v>6.125</v>
      </c>
      <c r="T556" s="53">
        <f>STOCK[[#This Row],[Costo Unitario (USD)]]+STOCK[[#This Row],[Costo Envío (USD)]]+STOCK[[#This Row],[Comisión 10%]]</f>
        <v>27.1544117647059</v>
      </c>
      <c r="U556" s="53">
        <f>STOCK[[#This Row],[Costo total]]*1.5</f>
        <v>40.7316176470588</v>
      </c>
      <c r="V556" s="53">
        <v>35</v>
      </c>
      <c r="W556" s="53">
        <f>STOCK[[#This Row],[Precio Final]]-STOCK[[#This Row],[Costo total]]</f>
        <v>7.8455882352941</v>
      </c>
      <c r="X556" s="53">
        <f>STOCK[[#This Row],[Ganancia Unitaria]]*STOCK[[#This Row],[Salidas]]</f>
        <v>15.6911764705882</v>
      </c>
      <c r="AA556" s="53">
        <f>STOCK[[#This Row],[Costo total]]*STOCK[[#This Row],[Entradas]]</f>
        <v>54.3088235294118</v>
      </c>
      <c r="AB556" s="53">
        <f>STOCK[[#This Row],[Stock Actual]]*STOCK[[#This Row],[Costo total]]</f>
        <v>0</v>
      </c>
    </row>
    <row r="557" s="54" customFormat="1" ht="50" customHeight="1" spans="1:28">
      <c r="A557" s="54" t="s">
        <v>1132</v>
      </c>
      <c r="B557" s="66"/>
      <c r="C557" s="54" t="s">
        <v>32</v>
      </c>
      <c r="D557" s="54" t="s">
        <v>44</v>
      </c>
      <c r="E557" s="68" t="s">
        <v>1133</v>
      </c>
      <c r="F557" s="54" t="s">
        <v>49</v>
      </c>
      <c r="G557" s="54" t="s">
        <v>36</v>
      </c>
      <c r="H557" s="54">
        <f>STOCK[[#This Row],[Precio Final]]</f>
        <v>35</v>
      </c>
      <c r="I557" s="54">
        <f>STOCK[[#This Row],[Precio Venta Ideal (x1.5)]]</f>
        <v>40.7316176470588</v>
      </c>
      <c r="J557" s="72">
        <v>1</v>
      </c>
      <c r="K557" s="72">
        <f>SUMIFS(VENTAS[Cantidad],VENTAS[Código del producto Vendido],STOCK[[#This Row],[Code]])</f>
        <v>1</v>
      </c>
      <c r="L557" s="72">
        <f>STOCK[[#This Row],[Entradas]]-STOCK[[#This Row],[Salidas]]</f>
        <v>0</v>
      </c>
      <c r="M557" s="54">
        <f>STOCK[[#This Row],[Precio Final]]*10%</f>
        <v>3.5</v>
      </c>
      <c r="N557" s="54">
        <v>298</v>
      </c>
      <c r="O557" s="54">
        <v>17</v>
      </c>
      <c r="P557" s="54">
        <v>17.5294117647059</v>
      </c>
      <c r="Q557" s="72">
        <v>350</v>
      </c>
      <c r="R557" s="54">
        <v>17.5</v>
      </c>
      <c r="S557" s="54">
        <f>STOCK[[#This Row],[Peso (g)]]*STOCK[[#This Row],[Precio Envío Kilogramo (USD)]]/1000</f>
        <v>6.125</v>
      </c>
      <c r="T557" s="53">
        <f>STOCK[[#This Row],[Costo Unitario (USD)]]+STOCK[[#This Row],[Costo Envío (USD)]]+STOCK[[#This Row],[Comisión 10%]]</f>
        <v>27.1544117647059</v>
      </c>
      <c r="U557" s="54">
        <f>STOCK[[#This Row],[Costo total]]*1.5</f>
        <v>40.7316176470588</v>
      </c>
      <c r="V557" s="54">
        <v>35</v>
      </c>
      <c r="W557" s="54">
        <f>STOCK[[#This Row],[Precio Final]]-STOCK[[#This Row],[Costo total]]</f>
        <v>7.8455882352941</v>
      </c>
      <c r="X557" s="54">
        <f>STOCK[[#This Row],[Ganancia Unitaria]]*STOCK[[#This Row],[Salidas]]</f>
        <v>7.8455882352941</v>
      </c>
      <c r="AA557" s="54">
        <f>STOCK[[#This Row],[Costo total]]*STOCK[[#This Row],[Entradas]]</f>
        <v>27.1544117647059</v>
      </c>
      <c r="AB557" s="54">
        <f>STOCK[[#This Row],[Stock Actual]]*STOCK[[#This Row],[Costo total]]</f>
        <v>0</v>
      </c>
    </row>
    <row r="558" s="53" customFormat="1" ht="50" customHeight="1" spans="1:28">
      <c r="A558" s="53" t="s">
        <v>1134</v>
      </c>
      <c r="B558" s="66"/>
      <c r="C558" s="53" t="s">
        <v>32</v>
      </c>
      <c r="D558" s="53" t="s">
        <v>726</v>
      </c>
      <c r="E558" s="67" t="s">
        <v>1135</v>
      </c>
      <c r="F558" s="53" t="s">
        <v>819</v>
      </c>
      <c r="G558" s="53" t="s">
        <v>704</v>
      </c>
      <c r="H558" s="53">
        <f>STOCK[[#This Row],[Precio Final]]</f>
        <v>35</v>
      </c>
      <c r="I558" s="53">
        <f>STOCK[[#This Row],[Precio Venta Ideal (x1.5)]]</f>
        <v>43.1691176470588</v>
      </c>
      <c r="J558" s="71">
        <v>1</v>
      </c>
      <c r="K558" s="71">
        <f>SUMIFS(VENTAS[Cantidad],VENTAS[Código del producto Vendido],STOCK[[#This Row],[Code]])</f>
        <v>0</v>
      </c>
      <c r="L558" s="71">
        <f>STOCK[[#This Row],[Entradas]]-STOCK[[#This Row],[Salidas]]</f>
        <v>1</v>
      </c>
      <c r="M558" s="53">
        <f>STOCK[[#This Row],[Precio Final]]*10%</f>
        <v>3.5</v>
      </c>
      <c r="N558" s="53">
        <v>400</v>
      </c>
      <c r="O558" s="53">
        <v>17</v>
      </c>
      <c r="P558" s="53">
        <v>23.5294117647059</v>
      </c>
      <c r="Q558" s="71">
        <v>100</v>
      </c>
      <c r="R558" s="53">
        <v>17.5</v>
      </c>
      <c r="S558" s="53">
        <f>STOCK[[#This Row],[Peso (g)]]*STOCK[[#This Row],[Precio Envío Kilogramo (USD)]]/1000</f>
        <v>1.75</v>
      </c>
      <c r="T558" s="53">
        <f>STOCK[[#This Row],[Costo Unitario (USD)]]+STOCK[[#This Row],[Costo Envío (USD)]]+STOCK[[#This Row],[Comisión 10%]]</f>
        <v>28.7794117647059</v>
      </c>
      <c r="U558" s="53">
        <f>STOCK[[#This Row],[Costo total]]*1.5</f>
        <v>43.1691176470588</v>
      </c>
      <c r="V558" s="53">
        <v>35</v>
      </c>
      <c r="W558" s="53">
        <f>STOCK[[#This Row],[Precio Final]]-STOCK[[#This Row],[Costo total]]</f>
        <v>6.2205882352941</v>
      </c>
      <c r="X558" s="53">
        <f>STOCK[[#This Row],[Ganancia Unitaria]]*STOCK[[#This Row],[Salidas]]</f>
        <v>0</v>
      </c>
      <c r="AA558" s="53">
        <f>STOCK[[#This Row],[Costo total]]*STOCK[[#This Row],[Entradas]]</f>
        <v>28.7794117647059</v>
      </c>
      <c r="AB558" s="53">
        <f>STOCK[[#This Row],[Stock Actual]]*STOCK[[#This Row],[Costo total]]</f>
        <v>28.7794117647059</v>
      </c>
    </row>
    <row r="559" s="54" customFormat="1" ht="50" customHeight="1" spans="1:28">
      <c r="A559" s="54" t="s">
        <v>1136</v>
      </c>
      <c r="B559" s="66"/>
      <c r="C559" s="54" t="s">
        <v>32</v>
      </c>
      <c r="D559" s="54" t="s">
        <v>44</v>
      </c>
      <c r="E559" s="68" t="s">
        <v>1137</v>
      </c>
      <c r="F559" s="54" t="s">
        <v>40</v>
      </c>
      <c r="G559" s="54" t="s">
        <v>36</v>
      </c>
      <c r="H559" s="54">
        <f>STOCK[[#This Row],[Precio Final]]</f>
        <v>30</v>
      </c>
      <c r="I559" s="54">
        <f>STOCK[[#This Row],[Precio Venta Ideal (x1.5)]]</f>
        <v>37.5220588235293</v>
      </c>
      <c r="J559" s="72">
        <v>1</v>
      </c>
      <c r="K559" s="72">
        <f>SUMIFS(VENTAS[Cantidad],VENTAS[Código del producto Vendido],STOCK[[#This Row],[Code]])</f>
        <v>1</v>
      </c>
      <c r="L559" s="72">
        <f>STOCK[[#This Row],[Entradas]]-STOCK[[#This Row],[Salidas]]</f>
        <v>0</v>
      </c>
      <c r="M559" s="54">
        <f>STOCK[[#This Row],[Precio Final]]*10%</f>
        <v>3</v>
      </c>
      <c r="N559" s="54">
        <v>285</v>
      </c>
      <c r="O559" s="54">
        <v>17</v>
      </c>
      <c r="P559" s="54">
        <v>16.7647058823529</v>
      </c>
      <c r="Q559" s="72">
        <v>300</v>
      </c>
      <c r="R559" s="54">
        <v>17.5</v>
      </c>
      <c r="S559" s="54">
        <f>STOCK[[#This Row],[Peso (g)]]*STOCK[[#This Row],[Precio Envío Kilogramo (USD)]]/1000</f>
        <v>5.25</v>
      </c>
      <c r="T559" s="53">
        <f>STOCK[[#This Row],[Costo Unitario (USD)]]+STOCK[[#This Row],[Costo Envío (USD)]]+STOCK[[#This Row],[Comisión 10%]]</f>
        <v>25.0147058823529</v>
      </c>
      <c r="U559" s="54">
        <f>STOCK[[#This Row],[Costo total]]*1.5</f>
        <v>37.5220588235293</v>
      </c>
      <c r="V559" s="54">
        <v>30</v>
      </c>
      <c r="W559" s="54">
        <f>STOCK[[#This Row],[Precio Final]]-STOCK[[#This Row],[Costo total]]</f>
        <v>4.9852941176471</v>
      </c>
      <c r="X559" s="54">
        <f>STOCK[[#This Row],[Ganancia Unitaria]]*STOCK[[#This Row],[Salidas]]</f>
        <v>4.9852941176471</v>
      </c>
      <c r="AA559" s="54">
        <f>STOCK[[#This Row],[Costo total]]*STOCK[[#This Row],[Entradas]]</f>
        <v>25.0147058823529</v>
      </c>
      <c r="AB559" s="54">
        <f>STOCK[[#This Row],[Stock Actual]]*STOCK[[#This Row],[Costo total]]</f>
        <v>0</v>
      </c>
    </row>
    <row r="560" s="53" customFormat="1" ht="50" customHeight="1" spans="1:28">
      <c r="A560" s="53" t="s">
        <v>1138</v>
      </c>
      <c r="B560" s="66"/>
      <c r="C560" s="53" t="s">
        <v>32</v>
      </c>
      <c r="D560" s="53" t="s">
        <v>735</v>
      </c>
      <c r="E560" s="67" t="s">
        <v>1139</v>
      </c>
      <c r="F560" s="53" t="s">
        <v>62</v>
      </c>
      <c r="G560" s="53" t="s">
        <v>704</v>
      </c>
      <c r="H560" s="53">
        <f>STOCK[[#This Row],[Precio Final]]</f>
        <v>25</v>
      </c>
      <c r="I560" s="53">
        <f>STOCK[[#This Row],[Precio Venta Ideal (x1.5)]]</f>
        <v>30.9264705882353</v>
      </c>
      <c r="J560" s="71">
        <v>3</v>
      </c>
      <c r="K560" s="71">
        <f>SUMIFS(VENTAS[Cantidad],VENTAS[Código del producto Vendido],STOCK[[#This Row],[Code]])</f>
        <v>2</v>
      </c>
      <c r="L560" s="71">
        <f>STOCK[[#This Row],[Entradas]]-STOCK[[#This Row],[Salidas]]</f>
        <v>1</v>
      </c>
      <c r="M560" s="53">
        <f>STOCK[[#This Row],[Precio Final]]*10%</f>
        <v>2.5</v>
      </c>
      <c r="N560" s="53">
        <v>240</v>
      </c>
      <c r="O560" s="53">
        <v>17</v>
      </c>
      <c r="P560" s="53">
        <v>14.1176470588235</v>
      </c>
      <c r="Q560" s="71">
        <v>350</v>
      </c>
      <c r="R560" s="53">
        <v>0</v>
      </c>
      <c r="S560" s="53">
        <v>4</v>
      </c>
      <c r="T560" s="53">
        <f>STOCK[[#This Row],[Costo Unitario (USD)]]+STOCK[[#This Row],[Costo Envío (USD)]]+STOCK[[#This Row],[Comisión 10%]]</f>
        <v>20.6176470588235</v>
      </c>
      <c r="U560" s="53">
        <f>STOCK[[#This Row],[Costo total]]*1.5</f>
        <v>30.9264705882353</v>
      </c>
      <c r="V560" s="53">
        <v>25</v>
      </c>
      <c r="W560" s="53">
        <f>STOCK[[#This Row],[Precio Final]]-STOCK[[#This Row],[Costo total]]</f>
        <v>4.3823529411765</v>
      </c>
      <c r="X560" s="53">
        <f>STOCK[[#This Row],[Ganancia Unitaria]]*STOCK[[#This Row],[Salidas]]</f>
        <v>8.764705882353</v>
      </c>
      <c r="AA560" s="53">
        <f>STOCK[[#This Row],[Costo total]]*STOCK[[#This Row],[Entradas]]</f>
        <v>61.8529411764705</v>
      </c>
      <c r="AB560" s="53">
        <f>STOCK[[#This Row],[Stock Actual]]*STOCK[[#This Row],[Costo total]]</f>
        <v>20.6176470588235</v>
      </c>
    </row>
    <row r="561" s="54" customFormat="1" ht="50" customHeight="1" spans="1:28">
      <c r="A561" s="54" t="s">
        <v>1140</v>
      </c>
      <c r="B561" s="66"/>
      <c r="C561" s="54" t="s">
        <v>32</v>
      </c>
      <c r="D561" s="54" t="s">
        <v>546</v>
      </c>
      <c r="E561" s="68" t="s">
        <v>1141</v>
      </c>
      <c r="F561" s="54" t="s">
        <v>62</v>
      </c>
      <c r="G561" s="54" t="s">
        <v>36</v>
      </c>
      <c r="H561" s="54">
        <f>STOCK[[#This Row],[Precio Final]]</f>
        <v>15</v>
      </c>
      <c r="I561" s="54">
        <f>STOCK[[#This Row],[Precio Venta Ideal (x1.5)]]</f>
        <v>16.6191176470588</v>
      </c>
      <c r="J561" s="72">
        <v>1</v>
      </c>
      <c r="K561" s="72">
        <f>SUMIFS(VENTAS[Cantidad],VENTAS[Código del producto Vendido],STOCK[[#This Row],[Code]])</f>
        <v>1</v>
      </c>
      <c r="L561" s="72">
        <f>STOCK[[#This Row],[Entradas]]-STOCK[[#This Row],[Salidas]]</f>
        <v>0</v>
      </c>
      <c r="M561" s="54">
        <f>STOCK[[#This Row],[Precio Final]]*10%</f>
        <v>1.5</v>
      </c>
      <c r="N561" s="54">
        <v>145</v>
      </c>
      <c r="O561" s="54">
        <v>17</v>
      </c>
      <c r="P561" s="54">
        <v>8.52941176470588</v>
      </c>
      <c r="Q561" s="72">
        <v>60</v>
      </c>
      <c r="R561" s="54">
        <v>17.5</v>
      </c>
      <c r="S561" s="54">
        <f>STOCK[[#This Row],[Peso (g)]]*STOCK[[#This Row],[Precio Envío Kilogramo (USD)]]/1000</f>
        <v>1.05</v>
      </c>
      <c r="T561" s="53">
        <f>STOCK[[#This Row],[Costo Unitario (USD)]]+STOCK[[#This Row],[Costo Envío (USD)]]+STOCK[[#This Row],[Comisión 10%]]</f>
        <v>11.0794117647059</v>
      </c>
      <c r="U561" s="54">
        <f>STOCK[[#This Row],[Costo total]]*1.5</f>
        <v>16.6191176470588</v>
      </c>
      <c r="V561" s="54">
        <v>15</v>
      </c>
      <c r="W561" s="54">
        <f>STOCK[[#This Row],[Precio Final]]-STOCK[[#This Row],[Costo total]]</f>
        <v>3.92058823529412</v>
      </c>
      <c r="X561" s="54">
        <f>STOCK[[#This Row],[Ganancia Unitaria]]*STOCK[[#This Row],[Salidas]]</f>
        <v>3.92058823529412</v>
      </c>
      <c r="AA561" s="54">
        <f>STOCK[[#This Row],[Costo total]]*STOCK[[#This Row],[Entradas]]</f>
        <v>11.0794117647059</v>
      </c>
      <c r="AB561" s="54">
        <f>STOCK[[#This Row],[Stock Actual]]*STOCK[[#This Row],[Costo total]]</f>
        <v>0</v>
      </c>
    </row>
    <row r="562" s="53" customFormat="1" ht="50" customHeight="1" spans="1:28">
      <c r="A562" s="53" t="s">
        <v>1142</v>
      </c>
      <c r="B562" s="66"/>
      <c r="C562" s="53" t="s">
        <v>32</v>
      </c>
      <c r="D562" s="53" t="s">
        <v>38</v>
      </c>
      <c r="E562" s="67" t="s">
        <v>1143</v>
      </c>
      <c r="F562" s="53" t="s">
        <v>88</v>
      </c>
      <c r="G562" s="53" t="s">
        <v>36</v>
      </c>
      <c r="H562" s="53">
        <f>STOCK[[#This Row],[Precio Final]]</f>
        <v>12</v>
      </c>
      <c r="I562" s="53">
        <f>STOCK[[#This Row],[Precio Venta Ideal (x1.5)]]</f>
        <v>13.9632352941176</v>
      </c>
      <c r="J562" s="71">
        <v>0</v>
      </c>
      <c r="K562" s="71">
        <f>SUMIFS(VENTAS[Cantidad],VENTAS[Código del producto Vendido],STOCK[[#This Row],[Code]])</f>
        <v>0</v>
      </c>
      <c r="L562" s="71">
        <f>STOCK[[#This Row],[Entradas]]-STOCK[[#This Row],[Salidas]]</f>
        <v>0</v>
      </c>
      <c r="M562" s="53">
        <f>STOCK[[#This Row],[Precio Final]]*10%</f>
        <v>1.2</v>
      </c>
      <c r="N562" s="53">
        <v>120</v>
      </c>
      <c r="O562" s="53">
        <v>17</v>
      </c>
      <c r="P562" s="53">
        <v>7.05882352941176</v>
      </c>
      <c r="Q562" s="71">
        <v>60</v>
      </c>
      <c r="R562" s="53">
        <v>17.5</v>
      </c>
      <c r="S562" s="53">
        <f>STOCK[[#This Row],[Peso (g)]]*STOCK[[#This Row],[Precio Envío Kilogramo (USD)]]/1000</f>
        <v>1.05</v>
      </c>
      <c r="T562" s="53">
        <f>STOCK[[#This Row],[Costo Unitario (USD)]]+STOCK[[#This Row],[Costo Envío (USD)]]+STOCK[[#This Row],[Comisión 10%]]</f>
        <v>9.30882352941176</v>
      </c>
      <c r="U562" s="53">
        <f>STOCK[[#This Row],[Costo total]]*1.5</f>
        <v>13.9632352941176</v>
      </c>
      <c r="V562" s="53">
        <v>12</v>
      </c>
      <c r="W562" s="53">
        <f>STOCK[[#This Row],[Precio Final]]-STOCK[[#This Row],[Costo total]]</f>
        <v>2.69117647058824</v>
      </c>
      <c r="X562" s="53">
        <f>STOCK[[#This Row],[Ganancia Unitaria]]*STOCK[[#This Row],[Salidas]]</f>
        <v>0</v>
      </c>
      <c r="AA562" s="53">
        <f>STOCK[[#This Row],[Costo total]]*STOCK[[#This Row],[Entradas]]</f>
        <v>0</v>
      </c>
      <c r="AB562" s="53">
        <f>STOCK[[#This Row],[Stock Actual]]*STOCK[[#This Row],[Costo total]]</f>
        <v>0</v>
      </c>
    </row>
    <row r="563" s="54" customFormat="1" ht="50" customHeight="1" spans="1:28">
      <c r="A563" s="54" t="s">
        <v>1144</v>
      </c>
      <c r="B563" s="66"/>
      <c r="C563" s="54" t="s">
        <v>32</v>
      </c>
      <c r="D563" s="54" t="s">
        <v>743</v>
      </c>
      <c r="E563" s="68" t="s">
        <v>1145</v>
      </c>
      <c r="F563" s="54" t="s">
        <v>49</v>
      </c>
      <c r="G563" s="54" t="s">
        <v>704</v>
      </c>
      <c r="H563" s="54">
        <f>STOCK[[#This Row],[Precio Final]]</f>
        <v>25</v>
      </c>
      <c r="I563" s="54">
        <f>STOCK[[#This Row],[Precio Venta Ideal (x1.5)]]</f>
        <v>28.1558823529411</v>
      </c>
      <c r="J563" s="72">
        <v>1</v>
      </c>
      <c r="K563" s="72">
        <f>SUMIFS(VENTAS[Cantidad],VENTAS[Código del producto Vendido],STOCK[[#This Row],[Code]])</f>
        <v>1</v>
      </c>
      <c r="L563" s="72">
        <f>STOCK[[#This Row],[Entradas]]-STOCK[[#This Row],[Salidas]]</f>
        <v>0</v>
      </c>
      <c r="M563" s="54">
        <f>STOCK[[#This Row],[Precio Final]]*10%</f>
        <v>2.5</v>
      </c>
      <c r="N563" s="54">
        <v>229</v>
      </c>
      <c r="O563" s="54">
        <v>17</v>
      </c>
      <c r="P563" s="54">
        <v>13.4705882352941</v>
      </c>
      <c r="Q563" s="72">
        <v>160</v>
      </c>
      <c r="R563" s="54">
        <v>17.5</v>
      </c>
      <c r="S563" s="54">
        <f>STOCK[[#This Row],[Peso (g)]]*STOCK[[#This Row],[Precio Envío Kilogramo (USD)]]/1000</f>
        <v>2.8</v>
      </c>
      <c r="T563" s="53">
        <f>STOCK[[#This Row],[Costo Unitario (USD)]]+STOCK[[#This Row],[Costo Envío (USD)]]+STOCK[[#This Row],[Comisión 10%]]</f>
        <v>18.7705882352941</v>
      </c>
      <c r="U563" s="54">
        <f>STOCK[[#This Row],[Costo total]]*1.5</f>
        <v>28.1558823529411</v>
      </c>
      <c r="V563" s="54">
        <v>25</v>
      </c>
      <c r="W563" s="54">
        <f>STOCK[[#This Row],[Precio Final]]-STOCK[[#This Row],[Costo total]]</f>
        <v>6.2294117647059</v>
      </c>
      <c r="X563" s="54">
        <f>STOCK[[#This Row],[Ganancia Unitaria]]*STOCK[[#This Row],[Salidas]]</f>
        <v>6.2294117647059</v>
      </c>
      <c r="AA563" s="54">
        <f>STOCK[[#This Row],[Costo total]]*STOCK[[#This Row],[Entradas]]</f>
        <v>18.7705882352941</v>
      </c>
      <c r="AB563" s="54">
        <f>STOCK[[#This Row],[Stock Actual]]*STOCK[[#This Row],[Costo total]]</f>
        <v>0</v>
      </c>
    </row>
    <row r="564" s="53" customFormat="1" ht="50" customHeight="1" spans="1:28">
      <c r="A564" s="53" t="s">
        <v>1146</v>
      </c>
      <c r="B564" s="66"/>
      <c r="C564" s="53" t="s">
        <v>32</v>
      </c>
      <c r="D564" s="53" t="s">
        <v>749</v>
      </c>
      <c r="E564" s="67" t="s">
        <v>1147</v>
      </c>
      <c r="F564" s="53" t="s">
        <v>49</v>
      </c>
      <c r="G564" s="53" t="s">
        <v>704</v>
      </c>
      <c r="H564" s="53">
        <f>STOCK[[#This Row],[Precio Final]]</f>
        <v>25</v>
      </c>
      <c r="I564" s="53">
        <f>STOCK[[#This Row],[Precio Venta Ideal (x1.5)]]</f>
        <v>33.7125</v>
      </c>
      <c r="J564" s="71">
        <v>1</v>
      </c>
      <c r="K564" s="71">
        <f>SUMIFS(VENTAS[Cantidad],VENTAS[Código del producto Vendido],STOCK[[#This Row],[Code]])</f>
        <v>0</v>
      </c>
      <c r="L564" s="71">
        <f>STOCK[[#This Row],[Entradas]]-STOCK[[#This Row],[Salidas]]</f>
        <v>1</v>
      </c>
      <c r="M564" s="53">
        <f>STOCK[[#This Row],[Precio Final]]*10%</f>
        <v>2.5</v>
      </c>
      <c r="N564" s="53">
        <v>289</v>
      </c>
      <c r="O564" s="53">
        <v>17</v>
      </c>
      <c r="P564" s="53">
        <v>17</v>
      </c>
      <c r="Q564" s="71">
        <v>170</v>
      </c>
      <c r="R564" s="53">
        <v>17.5</v>
      </c>
      <c r="S564" s="53">
        <f>STOCK[[#This Row],[Peso (g)]]*STOCK[[#This Row],[Precio Envío Kilogramo (USD)]]/1000</f>
        <v>2.975</v>
      </c>
      <c r="T564" s="53">
        <f>STOCK[[#This Row],[Costo Unitario (USD)]]+STOCK[[#This Row],[Costo Envío (USD)]]+STOCK[[#This Row],[Comisión 10%]]</f>
        <v>22.475</v>
      </c>
      <c r="U564" s="53">
        <f>STOCK[[#This Row],[Costo total]]*1.5</f>
        <v>33.7125</v>
      </c>
      <c r="V564" s="53">
        <v>25</v>
      </c>
      <c r="W564" s="53">
        <f>STOCK[[#This Row],[Precio Final]]-STOCK[[#This Row],[Costo total]]</f>
        <v>2.525</v>
      </c>
      <c r="X564" s="53">
        <f>STOCK[[#This Row],[Ganancia Unitaria]]*STOCK[[#This Row],[Salidas]]</f>
        <v>0</v>
      </c>
      <c r="AA564" s="53">
        <f>STOCK[[#This Row],[Costo total]]*STOCK[[#This Row],[Entradas]]</f>
        <v>22.475</v>
      </c>
      <c r="AB564" s="53">
        <f>STOCK[[#This Row],[Stock Actual]]*STOCK[[#This Row],[Costo total]]</f>
        <v>22.475</v>
      </c>
    </row>
    <row r="565" s="54" customFormat="1" ht="50" customHeight="1" spans="1:28">
      <c r="A565" s="54" t="s">
        <v>1148</v>
      </c>
      <c r="B565" s="66"/>
      <c r="C565" s="54" t="s">
        <v>32</v>
      </c>
      <c r="D565" s="54" t="s">
        <v>749</v>
      </c>
      <c r="E565" s="68" t="s">
        <v>1149</v>
      </c>
      <c r="F565" s="54" t="s">
        <v>46</v>
      </c>
      <c r="G565" s="54" t="s">
        <v>704</v>
      </c>
      <c r="H565" s="54">
        <f>STOCK[[#This Row],[Precio Final]]</f>
        <v>35</v>
      </c>
      <c r="I565" s="54">
        <f>STOCK[[#This Row],[Precio Venta Ideal (x1.5)]]</f>
        <v>43.1536764705882</v>
      </c>
      <c r="J565" s="72">
        <v>1</v>
      </c>
      <c r="K565" s="72">
        <f>SUMIFS(VENTAS[Cantidad],VENTAS[Código del producto Vendido],STOCK[[#This Row],[Code]])</f>
        <v>0</v>
      </c>
      <c r="L565" s="72">
        <f>STOCK[[#This Row],[Entradas]]-STOCK[[#This Row],[Salidas]]</f>
        <v>1</v>
      </c>
      <c r="M565" s="54">
        <f>STOCK[[#This Row],[Precio Final]]*10%</f>
        <v>3.5</v>
      </c>
      <c r="N565" s="54">
        <v>379</v>
      </c>
      <c r="O565" s="54">
        <v>17</v>
      </c>
      <c r="P565" s="54">
        <v>22.2941176470588</v>
      </c>
      <c r="Q565" s="72">
        <v>170</v>
      </c>
      <c r="R565" s="54">
        <v>17.5</v>
      </c>
      <c r="S565" s="54">
        <f>STOCK[[#This Row],[Peso (g)]]*STOCK[[#This Row],[Precio Envío Kilogramo (USD)]]/1000</f>
        <v>2.975</v>
      </c>
      <c r="T565" s="53">
        <f>STOCK[[#This Row],[Costo Unitario (USD)]]+STOCK[[#This Row],[Costo Envío (USD)]]+STOCK[[#This Row],[Comisión 10%]]</f>
        <v>28.7691176470588</v>
      </c>
      <c r="U565" s="54">
        <f>STOCK[[#This Row],[Costo total]]*1.5</f>
        <v>43.1536764705882</v>
      </c>
      <c r="V565" s="54">
        <v>35</v>
      </c>
      <c r="W565" s="54">
        <f>STOCK[[#This Row],[Precio Final]]-STOCK[[#This Row],[Costo total]]</f>
        <v>6.2308823529412</v>
      </c>
      <c r="X565" s="54">
        <f>STOCK[[#This Row],[Ganancia Unitaria]]*STOCK[[#This Row],[Salidas]]</f>
        <v>0</v>
      </c>
      <c r="AA565" s="54">
        <f>STOCK[[#This Row],[Costo total]]*STOCK[[#This Row],[Entradas]]</f>
        <v>28.7691176470588</v>
      </c>
      <c r="AB565" s="54">
        <f>STOCK[[#This Row],[Stock Actual]]*STOCK[[#This Row],[Costo total]]</f>
        <v>28.7691176470588</v>
      </c>
    </row>
    <row r="566" s="53" customFormat="1" ht="50" customHeight="1" spans="1:28">
      <c r="A566" s="53" t="s">
        <v>1150</v>
      </c>
      <c r="B566" s="66"/>
      <c r="C566" s="53" t="s">
        <v>32</v>
      </c>
      <c r="D566" s="53" t="s">
        <v>515</v>
      </c>
      <c r="E566" s="67" t="s">
        <v>1151</v>
      </c>
      <c r="F566" s="53" t="s">
        <v>540</v>
      </c>
      <c r="G566" s="53" t="s">
        <v>36</v>
      </c>
      <c r="H566" s="53">
        <f>STOCK[[#This Row],[Precio Final]]</f>
        <v>40</v>
      </c>
      <c r="I566" s="53">
        <f>STOCK[[#This Row],[Precio Venta Ideal (x1.5)]]</f>
        <v>54.4191176470588</v>
      </c>
      <c r="J566" s="71">
        <v>1</v>
      </c>
      <c r="K566" s="71">
        <f>SUMIFS(VENTAS[Cantidad],VENTAS[Código del producto Vendido],STOCK[[#This Row],[Code]])</f>
        <v>1</v>
      </c>
      <c r="L566" s="71">
        <f>STOCK[[#This Row],[Entradas]]-STOCK[[#This Row],[Salidas]]</f>
        <v>0</v>
      </c>
      <c r="M566" s="53">
        <f>STOCK[[#This Row],[Precio Final]]*10%</f>
        <v>4</v>
      </c>
      <c r="N566" s="53">
        <v>400</v>
      </c>
      <c r="O566" s="53">
        <v>17</v>
      </c>
      <c r="P566" s="53">
        <v>23.5294117647059</v>
      </c>
      <c r="Q566" s="71">
        <v>500</v>
      </c>
      <c r="R566" s="53">
        <v>17.5</v>
      </c>
      <c r="S566" s="53">
        <f>STOCK[[#This Row],[Peso (g)]]*STOCK[[#This Row],[Precio Envío Kilogramo (USD)]]/1000</f>
        <v>8.75</v>
      </c>
      <c r="T566" s="53">
        <f>STOCK[[#This Row],[Costo Unitario (USD)]]+STOCK[[#This Row],[Costo Envío (USD)]]+STOCK[[#This Row],[Comisión 10%]]</f>
        <v>36.2794117647059</v>
      </c>
      <c r="U566" s="53">
        <f>STOCK[[#This Row],[Costo total]]*1.5</f>
        <v>54.4191176470588</v>
      </c>
      <c r="V566" s="53">
        <v>40</v>
      </c>
      <c r="W566" s="53">
        <f>STOCK[[#This Row],[Precio Final]]-STOCK[[#This Row],[Costo total]]</f>
        <v>3.7205882352941</v>
      </c>
      <c r="X566" s="53">
        <f>STOCK[[#This Row],[Ganancia Unitaria]]*STOCK[[#This Row],[Salidas]]</f>
        <v>3.7205882352941</v>
      </c>
      <c r="AA566" s="53">
        <f>STOCK[[#This Row],[Costo total]]*STOCK[[#This Row],[Entradas]]</f>
        <v>36.2794117647059</v>
      </c>
      <c r="AB566" s="53">
        <f>STOCK[[#This Row],[Stock Actual]]*STOCK[[#This Row],[Costo total]]</f>
        <v>0</v>
      </c>
    </row>
    <row r="567" s="54" customFormat="1" ht="50" customHeight="1" spans="1:28">
      <c r="A567" s="54" t="s">
        <v>1152</v>
      </c>
      <c r="B567" s="66"/>
      <c r="C567" s="54" t="s">
        <v>32</v>
      </c>
      <c r="D567" s="54" t="s">
        <v>515</v>
      </c>
      <c r="E567" s="68" t="s">
        <v>1153</v>
      </c>
      <c r="F567" s="54" t="s">
        <v>540</v>
      </c>
      <c r="G567" s="54" t="s">
        <v>704</v>
      </c>
      <c r="H567" s="54">
        <f>STOCK[[#This Row],[Precio Final]]</f>
        <v>45</v>
      </c>
      <c r="I567" s="54">
        <f>STOCK[[#This Row],[Precio Venta Ideal (x1.5)]]</f>
        <v>59.7926470588236</v>
      </c>
      <c r="J567" s="72">
        <v>1</v>
      </c>
      <c r="K567" s="72">
        <f>SUMIFS(VENTAS[Cantidad],VENTAS[Código del producto Vendido],STOCK[[#This Row],[Code]])</f>
        <v>1</v>
      </c>
      <c r="L567" s="72">
        <f>STOCK[[#This Row],[Entradas]]-STOCK[[#This Row],[Salidas]]</f>
        <v>0</v>
      </c>
      <c r="M567" s="54">
        <f>STOCK[[#This Row],[Precio Final]]*10%</f>
        <v>4.5</v>
      </c>
      <c r="N567" s="54">
        <v>500</v>
      </c>
      <c r="O567" s="54">
        <v>17</v>
      </c>
      <c r="P567" s="54">
        <v>29.4117647058824</v>
      </c>
      <c r="Q567" s="72">
        <v>350</v>
      </c>
      <c r="R567" s="54">
        <v>17</v>
      </c>
      <c r="S567" s="54">
        <f>STOCK[[#This Row],[Peso (g)]]*STOCK[[#This Row],[Precio Envío Kilogramo (USD)]]/1000</f>
        <v>5.95</v>
      </c>
      <c r="T567" s="53">
        <f>STOCK[[#This Row],[Costo Unitario (USD)]]+STOCK[[#This Row],[Costo Envío (USD)]]+STOCK[[#This Row],[Comisión 10%]]</f>
        <v>39.8617647058824</v>
      </c>
      <c r="U567" s="54">
        <f>STOCK[[#This Row],[Costo total]]*1.5</f>
        <v>59.7926470588236</v>
      </c>
      <c r="V567" s="54">
        <v>45</v>
      </c>
      <c r="W567" s="54">
        <f>STOCK[[#This Row],[Precio Final]]-STOCK[[#This Row],[Costo total]]</f>
        <v>5.1382352941176</v>
      </c>
      <c r="X567" s="54">
        <f>STOCK[[#This Row],[Ganancia Unitaria]]*STOCK[[#This Row],[Salidas]]</f>
        <v>5.1382352941176</v>
      </c>
      <c r="AA567" s="54">
        <f>STOCK[[#This Row],[Costo total]]*STOCK[[#This Row],[Entradas]]</f>
        <v>39.8617647058824</v>
      </c>
      <c r="AB567" s="54">
        <f>STOCK[[#This Row],[Stock Actual]]*STOCK[[#This Row],[Costo total]]</f>
        <v>0</v>
      </c>
    </row>
    <row r="568" s="53" customFormat="1" ht="50" customHeight="1" spans="1:28">
      <c r="A568" s="53" t="s">
        <v>1154</v>
      </c>
      <c r="B568" s="66"/>
      <c r="C568" s="53" t="s">
        <v>32</v>
      </c>
      <c r="D568" s="53" t="s">
        <v>174</v>
      </c>
      <c r="E568" s="67" t="s">
        <v>1155</v>
      </c>
      <c r="F568" s="53" t="s">
        <v>1156</v>
      </c>
      <c r="G568" s="53" t="s">
        <v>704</v>
      </c>
      <c r="H568" s="53">
        <f>STOCK[[#This Row],[Precio Final]]</f>
        <v>10</v>
      </c>
      <c r="I568" s="53">
        <f>STOCK[[#This Row],[Precio Venta Ideal (x1.5)]]</f>
        <v>12</v>
      </c>
      <c r="J568" s="71">
        <v>1</v>
      </c>
      <c r="K568" s="71">
        <f>SUMIFS(VENTAS[Cantidad],VENTAS[Código del producto Vendido],STOCK[[#This Row],[Code]])</f>
        <v>1</v>
      </c>
      <c r="L568" s="71">
        <f>STOCK[[#This Row],[Entradas]]-STOCK[[#This Row],[Salidas]]</f>
        <v>0</v>
      </c>
      <c r="M568" s="53">
        <f>STOCK[[#This Row],[Precio Final]]*10%</f>
        <v>1</v>
      </c>
      <c r="N568" s="53">
        <v>2.68</v>
      </c>
      <c r="O568" s="53">
        <v>0</v>
      </c>
      <c r="P568" s="53">
        <v>6</v>
      </c>
      <c r="Q568" s="71">
        <v>0</v>
      </c>
      <c r="R568" s="53">
        <v>0</v>
      </c>
      <c r="S568" s="53">
        <v>1</v>
      </c>
      <c r="T568" s="53">
        <f>STOCK[[#This Row],[Costo Unitario (USD)]]+STOCK[[#This Row],[Costo Envío (USD)]]+STOCK[[#This Row],[Comisión 10%]]</f>
        <v>8</v>
      </c>
      <c r="U568" s="53">
        <f>STOCK[[#This Row],[Costo total]]*1.5</f>
        <v>12</v>
      </c>
      <c r="V568" s="53">
        <v>10</v>
      </c>
      <c r="W568" s="53">
        <f>STOCK[[#This Row],[Precio Final]]-STOCK[[#This Row],[Costo total]]</f>
        <v>2</v>
      </c>
      <c r="X568" s="53">
        <f>STOCK[[#This Row],[Ganancia Unitaria]]*STOCK[[#This Row],[Salidas]]</f>
        <v>2</v>
      </c>
      <c r="AA568" s="53">
        <f>STOCK[[#This Row],[Costo total]]*STOCK[[#This Row],[Entradas]]</f>
        <v>8</v>
      </c>
      <c r="AB568" s="53">
        <f>STOCK[[#This Row],[Stock Actual]]*STOCK[[#This Row],[Costo total]]</f>
        <v>0</v>
      </c>
    </row>
    <row r="569" s="54" customFormat="1" ht="50" customHeight="1" spans="1:28">
      <c r="A569" s="54" t="s">
        <v>1157</v>
      </c>
      <c r="B569" s="66"/>
      <c r="C569" s="54" t="s">
        <v>32</v>
      </c>
      <c r="D569" s="54" t="s">
        <v>174</v>
      </c>
      <c r="E569" s="68" t="s">
        <v>1158</v>
      </c>
      <c r="F569" s="54" t="s">
        <v>49</v>
      </c>
      <c r="G569" s="54" t="s">
        <v>36</v>
      </c>
      <c r="H569" s="54">
        <f>STOCK[[#This Row],[Precio Final]]</f>
        <v>13</v>
      </c>
      <c r="I569" s="54">
        <f>STOCK[[#This Row],[Precio Venta Ideal (x1.5)]]</f>
        <v>14.745</v>
      </c>
      <c r="J569" s="72">
        <v>1</v>
      </c>
      <c r="K569" s="72">
        <f>SUMIFS(VENTAS[Cantidad],VENTAS[Código del producto Vendido],STOCK[[#This Row],[Code]])</f>
        <v>1</v>
      </c>
      <c r="L569" s="72">
        <f>STOCK[[#This Row],[Entradas]]-STOCK[[#This Row],[Salidas]]</f>
        <v>0</v>
      </c>
      <c r="M569" s="54">
        <f>STOCK[[#This Row],[Precio Final]]*10%</f>
        <v>1.3</v>
      </c>
      <c r="N569" s="54">
        <v>0</v>
      </c>
      <c r="O569" s="54">
        <v>8.25</v>
      </c>
      <c r="P569" s="54">
        <v>6.53</v>
      </c>
      <c r="Q569" s="72">
        <v>0</v>
      </c>
      <c r="R569" s="54">
        <v>0</v>
      </c>
      <c r="S569" s="54">
        <v>2</v>
      </c>
      <c r="T569" s="53">
        <f>STOCK[[#This Row],[Costo Unitario (USD)]]+STOCK[[#This Row],[Costo Envío (USD)]]+STOCK[[#This Row],[Comisión 10%]]</f>
        <v>9.83</v>
      </c>
      <c r="U569" s="54">
        <f>STOCK[[#This Row],[Costo total]]*1.5</f>
        <v>14.745</v>
      </c>
      <c r="V569" s="54">
        <v>13</v>
      </c>
      <c r="W569" s="54">
        <f>STOCK[[#This Row],[Precio Final]]-STOCK[[#This Row],[Costo total]]</f>
        <v>3.17</v>
      </c>
      <c r="X569" s="54">
        <f>STOCK[[#This Row],[Ganancia Unitaria]]*STOCK[[#This Row],[Salidas]]</f>
        <v>3.17</v>
      </c>
      <c r="Y569" s="54" t="s">
        <v>1159</v>
      </c>
      <c r="AA569" s="54">
        <f>STOCK[[#This Row],[Costo total]]*STOCK[[#This Row],[Entradas]]</f>
        <v>9.83</v>
      </c>
      <c r="AB569" s="54">
        <f>STOCK[[#This Row],[Stock Actual]]*STOCK[[#This Row],[Costo total]]</f>
        <v>0</v>
      </c>
    </row>
    <row r="570" s="53" customFormat="1" ht="50" customHeight="1" spans="1:28">
      <c r="A570" s="53" t="s">
        <v>1160</v>
      </c>
      <c r="B570" s="66"/>
      <c r="C570" s="53" t="s">
        <v>32</v>
      </c>
      <c r="D570" s="53" t="s">
        <v>174</v>
      </c>
      <c r="E570" s="67" t="s">
        <v>1158</v>
      </c>
      <c r="F570" s="53" t="s">
        <v>62</v>
      </c>
      <c r="G570" s="53" t="s">
        <v>36</v>
      </c>
      <c r="H570" s="53">
        <f>STOCK[[#This Row],[Precio Final]]</f>
        <v>13</v>
      </c>
      <c r="I570" s="53">
        <f>STOCK[[#This Row],[Precio Venta Ideal (x1.5)]]</f>
        <v>14.745</v>
      </c>
      <c r="J570" s="71">
        <v>1</v>
      </c>
      <c r="K570" s="71">
        <f>SUMIFS(VENTAS[Cantidad],VENTAS[Código del producto Vendido],STOCK[[#This Row],[Code]])</f>
        <v>1</v>
      </c>
      <c r="L570" s="71">
        <f>STOCK[[#This Row],[Entradas]]-STOCK[[#This Row],[Salidas]]</f>
        <v>0</v>
      </c>
      <c r="M570" s="53">
        <f>STOCK[[#This Row],[Precio Final]]*10%</f>
        <v>1.3</v>
      </c>
      <c r="N570" s="53">
        <v>3.75</v>
      </c>
      <c r="O570" s="53">
        <v>0</v>
      </c>
      <c r="P570" s="53">
        <v>6.53</v>
      </c>
      <c r="Q570" s="71">
        <v>0</v>
      </c>
      <c r="R570" s="53">
        <v>0</v>
      </c>
      <c r="S570" s="53">
        <v>2</v>
      </c>
      <c r="T570" s="53">
        <f>STOCK[[#This Row],[Costo Unitario (USD)]]+STOCK[[#This Row],[Costo Envío (USD)]]+STOCK[[#This Row],[Comisión 10%]]</f>
        <v>9.83</v>
      </c>
      <c r="U570" s="53">
        <f>STOCK[[#This Row],[Costo total]]*1.5</f>
        <v>14.745</v>
      </c>
      <c r="V570" s="53">
        <v>13</v>
      </c>
      <c r="W570" s="53">
        <f>STOCK[[#This Row],[Precio Final]]-STOCK[[#This Row],[Costo total]]</f>
        <v>3.17</v>
      </c>
      <c r="X570" s="53">
        <f>STOCK[[#This Row],[Ganancia Unitaria]]*STOCK[[#This Row],[Salidas]]</f>
        <v>3.17</v>
      </c>
      <c r="Y570" s="53" t="s">
        <v>1159</v>
      </c>
      <c r="AA570" s="53">
        <f>STOCK[[#This Row],[Costo total]]*STOCK[[#This Row],[Entradas]]</f>
        <v>9.83</v>
      </c>
      <c r="AB570" s="53">
        <f>STOCK[[#This Row],[Stock Actual]]*STOCK[[#This Row],[Costo total]]</f>
        <v>0</v>
      </c>
    </row>
    <row r="571" s="54" customFormat="1" ht="50" customHeight="1" spans="1:28">
      <c r="A571" s="54" t="s">
        <v>1161</v>
      </c>
      <c r="B571" s="66"/>
      <c r="C571" s="54" t="s">
        <v>32</v>
      </c>
      <c r="D571" s="54" t="s">
        <v>546</v>
      </c>
      <c r="E571" s="68" t="s">
        <v>1162</v>
      </c>
      <c r="F571" s="54" t="s">
        <v>525</v>
      </c>
      <c r="G571" s="54" t="s">
        <v>36</v>
      </c>
      <c r="H571" s="54">
        <f>STOCK[[#This Row],[Precio Final]]</f>
        <v>5</v>
      </c>
      <c r="I571" s="54">
        <f>STOCK[[#This Row],[Precio Venta Ideal (x1.5)]]</f>
        <v>3.795</v>
      </c>
      <c r="J571" s="72">
        <v>11</v>
      </c>
      <c r="K571" s="72">
        <f>SUMIFS(VENTAS[Cantidad],VENTAS[Código del producto Vendido],STOCK[[#This Row],[Code]])</f>
        <v>9</v>
      </c>
      <c r="L571" s="72">
        <f>STOCK[[#This Row],[Entradas]]-STOCK[[#This Row],[Salidas]]</f>
        <v>2</v>
      </c>
      <c r="M571" s="54">
        <f>STOCK[[#This Row],[Precio Final]]*10%</f>
        <v>0.5</v>
      </c>
      <c r="N571" s="54">
        <v>21.29</v>
      </c>
      <c r="O571" s="54">
        <v>12.26</v>
      </c>
      <c r="P571" s="54">
        <v>1.03</v>
      </c>
      <c r="Q571" s="72">
        <v>0</v>
      </c>
      <c r="R571" s="54">
        <v>0</v>
      </c>
      <c r="S571" s="54">
        <v>1</v>
      </c>
      <c r="T571" s="53">
        <f>STOCK[[#This Row],[Costo Unitario (USD)]]+STOCK[[#This Row],[Costo Envío (USD)]]+STOCK[[#This Row],[Comisión 10%]]</f>
        <v>2.53</v>
      </c>
      <c r="U571" s="54">
        <f>STOCK[[#This Row],[Costo total]]*1.5</f>
        <v>3.795</v>
      </c>
      <c r="V571" s="54">
        <v>5</v>
      </c>
      <c r="W571" s="54">
        <f>STOCK[[#This Row],[Precio Final]]-STOCK[[#This Row],[Costo total]]</f>
        <v>2.47</v>
      </c>
      <c r="X571" s="54">
        <f>STOCK[[#This Row],[Ganancia Unitaria]]*STOCK[[#This Row],[Salidas]]</f>
        <v>22.23</v>
      </c>
      <c r="Y571" s="54" t="s">
        <v>1159</v>
      </c>
      <c r="AA571" s="54">
        <f>STOCK[[#This Row],[Costo total]]*STOCK[[#This Row],[Entradas]]</f>
        <v>27.83</v>
      </c>
      <c r="AB571" s="54">
        <f>STOCK[[#This Row],[Stock Actual]]*STOCK[[#This Row],[Costo total]]</f>
        <v>5.06</v>
      </c>
    </row>
    <row r="572" s="53" customFormat="1" ht="50" customHeight="1" spans="1:28">
      <c r="A572" s="53" t="s">
        <v>1163</v>
      </c>
      <c r="B572" s="66"/>
      <c r="C572" s="53" t="s">
        <v>32</v>
      </c>
      <c r="D572" s="53" t="s">
        <v>152</v>
      </c>
      <c r="E572" s="67" t="s">
        <v>1164</v>
      </c>
      <c r="F572" s="53" t="s">
        <v>46</v>
      </c>
      <c r="G572" s="53" t="s">
        <v>36</v>
      </c>
      <c r="H572" s="53">
        <f>STOCK[[#This Row],[Precio Final]]</f>
        <v>22</v>
      </c>
      <c r="I572" s="53">
        <f>STOCK[[#This Row],[Precio Venta Ideal (x1.5)]]</f>
        <v>24.735</v>
      </c>
      <c r="J572" s="71">
        <v>2</v>
      </c>
      <c r="K572" s="71">
        <f>SUMIFS(VENTAS[Cantidad],VENTAS[Código del producto Vendido],STOCK[[#This Row],[Code]])</f>
        <v>2</v>
      </c>
      <c r="L572" s="71">
        <f>STOCK[[#This Row],[Entradas]]-STOCK[[#This Row],[Salidas]]</f>
        <v>0</v>
      </c>
      <c r="M572" s="53">
        <f>STOCK[[#This Row],[Precio Final]]*10%</f>
        <v>2.2</v>
      </c>
      <c r="N572" s="53">
        <v>9.02</v>
      </c>
      <c r="O572" s="53">
        <v>0</v>
      </c>
      <c r="P572" s="53">
        <v>12.29</v>
      </c>
      <c r="Q572" s="71">
        <v>0</v>
      </c>
      <c r="R572" s="53">
        <v>0</v>
      </c>
      <c r="S572" s="53">
        <v>2</v>
      </c>
      <c r="T572" s="53">
        <f>STOCK[[#This Row],[Costo Unitario (USD)]]+STOCK[[#This Row],[Costo Envío (USD)]]+STOCK[[#This Row],[Comisión 10%]]</f>
        <v>16.49</v>
      </c>
      <c r="U572" s="53">
        <f>STOCK[[#This Row],[Costo total]]*1.5</f>
        <v>24.735</v>
      </c>
      <c r="V572" s="53">
        <v>22</v>
      </c>
      <c r="W572" s="53">
        <f>STOCK[[#This Row],[Precio Final]]-STOCK[[#This Row],[Costo total]]</f>
        <v>5.51</v>
      </c>
      <c r="X572" s="53">
        <f>STOCK[[#This Row],[Ganancia Unitaria]]*STOCK[[#This Row],[Salidas]]</f>
        <v>11.02</v>
      </c>
      <c r="Y572" s="53" t="s">
        <v>1159</v>
      </c>
      <c r="AA572" s="53">
        <f>STOCK[[#This Row],[Costo total]]*STOCK[[#This Row],[Entradas]]</f>
        <v>32.98</v>
      </c>
      <c r="AB572" s="53">
        <f>STOCK[[#This Row],[Stock Actual]]*STOCK[[#This Row],[Costo total]]</f>
        <v>0</v>
      </c>
    </row>
    <row r="573" s="54" customFormat="1" ht="50" customHeight="1" spans="1:28">
      <c r="A573" s="54" t="s">
        <v>1165</v>
      </c>
      <c r="B573" s="66"/>
      <c r="C573" s="54" t="s">
        <v>32</v>
      </c>
      <c r="D573" s="54" t="s">
        <v>152</v>
      </c>
      <c r="E573" s="68" t="s">
        <v>1166</v>
      </c>
      <c r="F573" s="54" t="s">
        <v>49</v>
      </c>
      <c r="G573" s="54" t="s">
        <v>36</v>
      </c>
      <c r="H573" s="54">
        <f>STOCK[[#This Row],[Precio Final]]</f>
        <v>20</v>
      </c>
      <c r="I573" s="54">
        <f>STOCK[[#This Row],[Precio Venta Ideal (x1.5)]]</f>
        <v>24.435</v>
      </c>
      <c r="J573" s="72">
        <v>3</v>
      </c>
      <c r="K573" s="72">
        <f>SUMIFS(VENTAS[Cantidad],VENTAS[Código del producto Vendido],STOCK[[#This Row],[Code]])</f>
        <v>2</v>
      </c>
      <c r="L573" s="72">
        <f>STOCK[[#This Row],[Entradas]]-STOCK[[#This Row],[Salidas]]</f>
        <v>1</v>
      </c>
      <c r="M573" s="54">
        <f>STOCK[[#This Row],[Precio Final]]*10%</f>
        <v>2</v>
      </c>
      <c r="N573" s="54">
        <v>0</v>
      </c>
      <c r="O573" s="54">
        <v>17.49</v>
      </c>
      <c r="P573" s="54">
        <v>12.29</v>
      </c>
      <c r="Q573" s="72">
        <v>0</v>
      </c>
      <c r="R573" s="54">
        <v>0</v>
      </c>
      <c r="S573" s="54">
        <v>2</v>
      </c>
      <c r="T573" s="53">
        <f>STOCK[[#This Row],[Costo Unitario (USD)]]+STOCK[[#This Row],[Costo Envío (USD)]]+STOCK[[#This Row],[Comisión 10%]]</f>
        <v>16.29</v>
      </c>
      <c r="U573" s="54">
        <f>STOCK[[#This Row],[Costo total]]*1.5</f>
        <v>24.435</v>
      </c>
      <c r="V573" s="54">
        <v>20</v>
      </c>
      <c r="W573" s="54">
        <f>STOCK[[#This Row],[Precio Final]]-STOCK[[#This Row],[Costo total]]</f>
        <v>3.71</v>
      </c>
      <c r="X573" s="54">
        <f>STOCK[[#This Row],[Ganancia Unitaria]]*STOCK[[#This Row],[Salidas]]</f>
        <v>7.42</v>
      </c>
      <c r="Y573" s="54" t="s">
        <v>1159</v>
      </c>
      <c r="AA573" s="54">
        <f>STOCK[[#This Row],[Costo total]]*STOCK[[#This Row],[Entradas]]</f>
        <v>48.87</v>
      </c>
      <c r="AB573" s="54">
        <f>STOCK[[#This Row],[Stock Actual]]*STOCK[[#This Row],[Costo total]]</f>
        <v>16.29</v>
      </c>
    </row>
    <row r="574" s="53" customFormat="1" ht="50" customHeight="1" spans="1:28">
      <c r="A574" s="53" t="s">
        <v>1167</v>
      </c>
      <c r="B574" s="66"/>
      <c r="C574" s="53" t="s">
        <v>32</v>
      </c>
      <c r="D574" s="53" t="s">
        <v>152</v>
      </c>
      <c r="E574" s="67" t="s">
        <v>1168</v>
      </c>
      <c r="F574" s="53" t="s">
        <v>1169</v>
      </c>
      <c r="G574" s="53" t="s">
        <v>36</v>
      </c>
      <c r="H574" s="53">
        <f>STOCK[[#This Row],[Precio Final]]</f>
        <v>20</v>
      </c>
      <c r="I574" s="53">
        <f>STOCK[[#This Row],[Precio Venta Ideal (x1.5)]]</f>
        <v>24.435</v>
      </c>
      <c r="J574" s="71">
        <v>2</v>
      </c>
      <c r="K574" s="71">
        <f>SUMIFS(VENTAS[Cantidad],VENTAS[Código del producto Vendido],STOCK[[#This Row],[Code]])</f>
        <v>2</v>
      </c>
      <c r="L574" s="71">
        <f>STOCK[[#This Row],[Entradas]]-STOCK[[#This Row],[Salidas]]</f>
        <v>0</v>
      </c>
      <c r="M574" s="53">
        <f>STOCK[[#This Row],[Precio Final]]*10%</f>
        <v>2</v>
      </c>
      <c r="N574" s="53">
        <v>0</v>
      </c>
      <c r="O574" s="53">
        <v>17.49</v>
      </c>
      <c r="P574" s="53">
        <v>12.29</v>
      </c>
      <c r="Q574" s="71">
        <v>0</v>
      </c>
      <c r="R574" s="53">
        <v>0</v>
      </c>
      <c r="S574" s="53">
        <v>2</v>
      </c>
      <c r="T574" s="53">
        <f>STOCK[[#This Row],[Costo Unitario (USD)]]+STOCK[[#This Row],[Costo Envío (USD)]]+STOCK[[#This Row],[Comisión 10%]]</f>
        <v>16.29</v>
      </c>
      <c r="U574" s="53">
        <f>STOCK[[#This Row],[Costo total]]*1.5</f>
        <v>24.435</v>
      </c>
      <c r="V574" s="53">
        <v>20</v>
      </c>
      <c r="W574" s="53">
        <f>STOCK[[#This Row],[Precio Final]]-STOCK[[#This Row],[Costo total]]</f>
        <v>3.71</v>
      </c>
      <c r="X574" s="53">
        <f>STOCK[[#This Row],[Ganancia Unitaria]]*STOCK[[#This Row],[Salidas]]</f>
        <v>7.42</v>
      </c>
      <c r="Y574" s="53" t="s">
        <v>1159</v>
      </c>
      <c r="AA574" s="53">
        <f>STOCK[[#This Row],[Costo total]]*STOCK[[#This Row],[Entradas]]</f>
        <v>32.58</v>
      </c>
      <c r="AB574" s="53">
        <f>STOCK[[#This Row],[Stock Actual]]*STOCK[[#This Row],[Costo total]]</f>
        <v>0</v>
      </c>
    </row>
    <row r="575" s="54" customFormat="1" ht="50" customHeight="1" spans="1:28">
      <c r="A575" s="54" t="s">
        <v>1170</v>
      </c>
      <c r="B575" s="66"/>
      <c r="C575" s="54" t="s">
        <v>32</v>
      </c>
      <c r="D575" s="54" t="s">
        <v>174</v>
      </c>
      <c r="E575" s="68" t="s">
        <v>1171</v>
      </c>
      <c r="F575" s="54" t="s">
        <v>88</v>
      </c>
      <c r="G575" s="54" t="s">
        <v>36</v>
      </c>
      <c r="H575" s="54">
        <f>STOCK[[#This Row],[Precio Final]]</f>
        <v>13</v>
      </c>
      <c r="I575" s="54">
        <f>STOCK[[#This Row],[Precio Venta Ideal (x1.5)]]</f>
        <v>14.865</v>
      </c>
      <c r="J575" s="72">
        <v>3</v>
      </c>
      <c r="K575" s="72">
        <f>SUMIFS(VENTAS[Cantidad],VENTAS[Código del producto Vendido],STOCK[[#This Row],[Code]])</f>
        <v>3</v>
      </c>
      <c r="L575" s="72">
        <f>STOCK[[#This Row],[Entradas]]-STOCK[[#This Row],[Salidas]]</f>
        <v>0</v>
      </c>
      <c r="M575" s="54">
        <f>STOCK[[#This Row],[Precio Final]]*10%</f>
        <v>1.3</v>
      </c>
      <c r="N575" s="54">
        <v>0</v>
      </c>
      <c r="O575" s="54">
        <v>0</v>
      </c>
      <c r="P575" s="54">
        <v>7.61</v>
      </c>
      <c r="Q575" s="72">
        <v>0</v>
      </c>
      <c r="R575" s="54">
        <v>0</v>
      </c>
      <c r="S575" s="54">
        <v>1</v>
      </c>
      <c r="T575" s="53">
        <f>STOCK[[#This Row],[Costo Unitario (USD)]]+STOCK[[#This Row],[Costo Envío (USD)]]+STOCK[[#This Row],[Comisión 10%]]</f>
        <v>9.91</v>
      </c>
      <c r="U575" s="54">
        <f>STOCK[[#This Row],[Costo total]]*1.5</f>
        <v>14.865</v>
      </c>
      <c r="V575" s="54">
        <v>13</v>
      </c>
      <c r="W575" s="54">
        <f>STOCK[[#This Row],[Precio Final]]-STOCK[[#This Row],[Costo total]]</f>
        <v>3.09</v>
      </c>
      <c r="X575" s="54">
        <f>STOCK[[#This Row],[Ganancia Unitaria]]*STOCK[[#This Row],[Salidas]]</f>
        <v>9.27</v>
      </c>
      <c r="Y575" s="54" t="s">
        <v>1159</v>
      </c>
      <c r="AA575" s="54">
        <f>STOCK[[#This Row],[Costo total]]*STOCK[[#This Row],[Entradas]]</f>
        <v>29.73</v>
      </c>
      <c r="AB575" s="54">
        <f>STOCK[[#This Row],[Stock Actual]]*STOCK[[#This Row],[Costo total]]</f>
        <v>0</v>
      </c>
    </row>
    <row r="576" s="53" customFormat="1" ht="50" customHeight="1" spans="1:28">
      <c r="A576" s="53" t="s">
        <v>1172</v>
      </c>
      <c r="B576" s="66"/>
      <c r="C576" s="53" t="s">
        <v>32</v>
      </c>
      <c r="D576" s="53" t="s">
        <v>174</v>
      </c>
      <c r="E576" s="67" t="s">
        <v>1171</v>
      </c>
      <c r="F576" s="53" t="s">
        <v>83</v>
      </c>
      <c r="G576" s="53" t="s">
        <v>36</v>
      </c>
      <c r="H576" s="53">
        <f>STOCK[[#This Row],[Precio Final]]</f>
        <v>13</v>
      </c>
      <c r="I576" s="53">
        <f>STOCK[[#This Row],[Precio Venta Ideal (x1.5)]]</f>
        <v>14.865</v>
      </c>
      <c r="J576" s="71">
        <v>2</v>
      </c>
      <c r="K576" s="71">
        <f>SUMIFS(VENTAS[Cantidad],VENTAS[Código del producto Vendido],STOCK[[#This Row],[Code]])</f>
        <v>2</v>
      </c>
      <c r="L576" s="71">
        <f>STOCK[[#This Row],[Entradas]]-STOCK[[#This Row],[Salidas]]</f>
        <v>0</v>
      </c>
      <c r="M576" s="53">
        <f>STOCK[[#This Row],[Precio Final]]*10%</f>
        <v>1.3</v>
      </c>
      <c r="N576" s="53">
        <v>4.72</v>
      </c>
      <c r="O576" s="53">
        <v>0</v>
      </c>
      <c r="P576" s="53">
        <v>7.61</v>
      </c>
      <c r="Q576" s="71">
        <v>0</v>
      </c>
      <c r="R576" s="53">
        <v>0</v>
      </c>
      <c r="S576" s="53">
        <v>1</v>
      </c>
      <c r="T576" s="53">
        <f>STOCK[[#This Row],[Costo Unitario (USD)]]+STOCK[[#This Row],[Costo Envío (USD)]]+STOCK[[#This Row],[Comisión 10%]]</f>
        <v>9.91</v>
      </c>
      <c r="U576" s="53">
        <f>STOCK[[#This Row],[Costo total]]*1.5</f>
        <v>14.865</v>
      </c>
      <c r="V576" s="53">
        <v>13</v>
      </c>
      <c r="W576" s="53">
        <f>STOCK[[#This Row],[Precio Final]]-STOCK[[#This Row],[Costo total]]</f>
        <v>3.09</v>
      </c>
      <c r="X576" s="53">
        <f>STOCK[[#This Row],[Ganancia Unitaria]]*STOCK[[#This Row],[Salidas]]</f>
        <v>6.18</v>
      </c>
      <c r="Y576" s="53" t="s">
        <v>1159</v>
      </c>
      <c r="AA576" s="53">
        <f>STOCK[[#This Row],[Costo total]]*STOCK[[#This Row],[Entradas]]</f>
        <v>19.82</v>
      </c>
      <c r="AB576" s="53">
        <f>STOCK[[#This Row],[Stock Actual]]*STOCK[[#This Row],[Costo total]]</f>
        <v>0</v>
      </c>
    </row>
    <row r="577" s="54" customFormat="1" ht="50" customHeight="1" spans="1:28">
      <c r="A577" s="54" t="s">
        <v>1173</v>
      </c>
      <c r="B577" s="66"/>
      <c r="C577" s="54" t="s">
        <v>32</v>
      </c>
      <c r="D577" s="54" t="s">
        <v>44</v>
      </c>
      <c r="E577" s="68" t="s">
        <v>1174</v>
      </c>
      <c r="F577" s="54" t="s">
        <v>62</v>
      </c>
      <c r="G577" s="54" t="s">
        <v>36</v>
      </c>
      <c r="H577" s="54">
        <f>STOCK[[#This Row],[Precio Final]]</f>
        <v>28</v>
      </c>
      <c r="I577" s="54">
        <f>STOCK[[#This Row],[Precio Venta Ideal (x1.5)]]</f>
        <v>30.675</v>
      </c>
      <c r="J577" s="72">
        <v>1</v>
      </c>
      <c r="K577" s="72">
        <f>SUMIFS(VENTAS[Cantidad],VENTAS[Código del producto Vendido],STOCK[[#This Row],[Code]])</f>
        <v>1</v>
      </c>
      <c r="L577" s="72">
        <f>STOCK[[#This Row],[Entradas]]-STOCK[[#This Row],[Salidas]]</f>
        <v>0</v>
      </c>
      <c r="M577" s="54">
        <f>STOCK[[#This Row],[Precio Final]]*10%</f>
        <v>2.8</v>
      </c>
      <c r="N577" s="54">
        <v>0</v>
      </c>
      <c r="O577" s="54">
        <v>0</v>
      </c>
      <c r="P577" s="54">
        <v>17.65</v>
      </c>
      <c r="Q577" s="72">
        <v>0</v>
      </c>
      <c r="R577" s="54">
        <v>0</v>
      </c>
      <c r="S577" s="54">
        <v>0</v>
      </c>
      <c r="T577" s="53">
        <f>STOCK[[#This Row],[Costo Unitario (USD)]]+STOCK[[#This Row],[Costo Envío (USD)]]+STOCK[[#This Row],[Comisión 10%]]</f>
        <v>20.45</v>
      </c>
      <c r="U577" s="54">
        <f>STOCK[[#This Row],[Costo total]]*1.5</f>
        <v>30.675</v>
      </c>
      <c r="V577" s="54">
        <v>28</v>
      </c>
      <c r="W577" s="54">
        <f>STOCK[[#This Row],[Precio Final]]-STOCK[[#This Row],[Costo total]]</f>
        <v>7.55</v>
      </c>
      <c r="X577" s="54">
        <f>STOCK[[#This Row],[Ganancia Unitaria]]*STOCK[[#This Row],[Salidas]]</f>
        <v>7.55</v>
      </c>
      <c r="Y577" s="54" t="s">
        <v>1159</v>
      </c>
      <c r="AA577" s="54">
        <f>STOCK[[#This Row],[Costo total]]*STOCK[[#This Row],[Entradas]]</f>
        <v>20.45</v>
      </c>
      <c r="AB577" s="54">
        <f>STOCK[[#This Row],[Stock Actual]]*STOCK[[#This Row],[Costo total]]</f>
        <v>0</v>
      </c>
    </row>
    <row r="578" s="53" customFormat="1" ht="50" customHeight="1" spans="1:28">
      <c r="A578" s="53" t="s">
        <v>1175</v>
      </c>
      <c r="B578" s="66"/>
      <c r="C578" s="53" t="s">
        <v>32</v>
      </c>
      <c r="D578" s="53" t="s">
        <v>44</v>
      </c>
      <c r="E578" s="67" t="s">
        <v>1174</v>
      </c>
      <c r="F578" s="53" t="s">
        <v>49</v>
      </c>
      <c r="G578" s="53" t="s">
        <v>36</v>
      </c>
      <c r="H578" s="53">
        <f>STOCK[[#This Row],[Precio Final]]</f>
        <v>28</v>
      </c>
      <c r="I578" s="53">
        <f>STOCK[[#This Row],[Precio Venta Ideal (x1.5)]]</f>
        <v>30.675</v>
      </c>
      <c r="J578" s="71">
        <v>1</v>
      </c>
      <c r="K578" s="71">
        <f>SUMIFS(VENTAS[Cantidad],VENTAS[Código del producto Vendido],STOCK[[#This Row],[Code]])</f>
        <v>1</v>
      </c>
      <c r="L578" s="71">
        <f>STOCK[[#This Row],[Entradas]]-STOCK[[#This Row],[Salidas]]</f>
        <v>0</v>
      </c>
      <c r="M578" s="53">
        <f>STOCK[[#This Row],[Precio Final]]*10%</f>
        <v>2.8</v>
      </c>
      <c r="N578" s="53">
        <v>0</v>
      </c>
      <c r="O578" s="53">
        <v>0</v>
      </c>
      <c r="P578" s="53">
        <v>17.65</v>
      </c>
      <c r="Q578" s="71">
        <v>0</v>
      </c>
      <c r="R578" s="53">
        <v>0</v>
      </c>
      <c r="S578" s="53">
        <v>0</v>
      </c>
      <c r="T578" s="53">
        <f>STOCK[[#This Row],[Costo Unitario (USD)]]+STOCK[[#This Row],[Costo Envío (USD)]]+STOCK[[#This Row],[Comisión 10%]]</f>
        <v>20.45</v>
      </c>
      <c r="U578" s="53">
        <f>STOCK[[#This Row],[Costo total]]*1.5</f>
        <v>30.675</v>
      </c>
      <c r="V578" s="53">
        <v>28</v>
      </c>
      <c r="W578" s="53">
        <f>STOCK[[#This Row],[Precio Final]]-STOCK[[#This Row],[Costo total]]</f>
        <v>7.55</v>
      </c>
      <c r="X578" s="53">
        <f>STOCK[[#This Row],[Ganancia Unitaria]]*STOCK[[#This Row],[Salidas]]</f>
        <v>7.55</v>
      </c>
      <c r="Y578" s="53" t="s">
        <v>1159</v>
      </c>
      <c r="AA578" s="53">
        <f>STOCK[[#This Row],[Costo total]]*STOCK[[#This Row],[Entradas]]</f>
        <v>20.45</v>
      </c>
      <c r="AB578" s="53">
        <f>STOCK[[#This Row],[Stock Actual]]*STOCK[[#This Row],[Costo total]]</f>
        <v>0</v>
      </c>
    </row>
    <row r="579" s="54" customFormat="1" ht="50" customHeight="1" spans="1:28">
      <c r="A579" s="54" t="s">
        <v>1176</v>
      </c>
      <c r="B579" s="66"/>
      <c r="C579" s="54" t="s">
        <v>32</v>
      </c>
      <c r="D579" s="54" t="s">
        <v>44</v>
      </c>
      <c r="E579" s="68" t="s">
        <v>1174</v>
      </c>
      <c r="F579" s="54" t="s">
        <v>46</v>
      </c>
      <c r="G579" s="54" t="s">
        <v>36</v>
      </c>
      <c r="H579" s="54">
        <f>STOCK[[#This Row],[Precio Final]]</f>
        <v>28</v>
      </c>
      <c r="I579" s="54">
        <f>STOCK[[#This Row],[Precio Venta Ideal (x1.5)]]</f>
        <v>30.675</v>
      </c>
      <c r="J579" s="72">
        <v>1</v>
      </c>
      <c r="K579" s="72">
        <f>SUMIFS(VENTAS[Cantidad],VENTAS[Código del producto Vendido],STOCK[[#This Row],[Code]])</f>
        <v>1</v>
      </c>
      <c r="L579" s="72">
        <f>STOCK[[#This Row],[Entradas]]-STOCK[[#This Row],[Salidas]]</f>
        <v>0</v>
      </c>
      <c r="M579" s="54">
        <f>STOCK[[#This Row],[Precio Final]]*10%</f>
        <v>2.8</v>
      </c>
      <c r="N579" s="54">
        <v>0</v>
      </c>
      <c r="O579" s="54">
        <v>0</v>
      </c>
      <c r="P579" s="54">
        <v>17.65</v>
      </c>
      <c r="Q579" s="72">
        <v>0</v>
      </c>
      <c r="R579" s="54">
        <v>0</v>
      </c>
      <c r="S579" s="54">
        <v>0</v>
      </c>
      <c r="T579" s="53">
        <f>STOCK[[#This Row],[Costo Unitario (USD)]]+STOCK[[#This Row],[Costo Envío (USD)]]+STOCK[[#This Row],[Comisión 10%]]</f>
        <v>20.45</v>
      </c>
      <c r="U579" s="54">
        <f>STOCK[[#This Row],[Costo total]]*1.5</f>
        <v>30.675</v>
      </c>
      <c r="V579" s="54">
        <v>28</v>
      </c>
      <c r="W579" s="54">
        <f>STOCK[[#This Row],[Precio Final]]-STOCK[[#This Row],[Costo total]]</f>
        <v>7.55</v>
      </c>
      <c r="X579" s="54">
        <f>STOCK[[#This Row],[Ganancia Unitaria]]*STOCK[[#This Row],[Salidas]]</f>
        <v>7.55</v>
      </c>
      <c r="Y579" s="54" t="s">
        <v>1159</v>
      </c>
      <c r="AA579" s="54">
        <f>STOCK[[#This Row],[Costo total]]*STOCK[[#This Row],[Entradas]]</f>
        <v>20.45</v>
      </c>
      <c r="AB579" s="54">
        <f>STOCK[[#This Row],[Stock Actual]]*STOCK[[#This Row],[Costo total]]</f>
        <v>0</v>
      </c>
    </row>
    <row r="580" s="53" customFormat="1" ht="50" customHeight="1" spans="1:28">
      <c r="A580" s="53" t="s">
        <v>1177</v>
      </c>
      <c r="B580" s="66"/>
      <c r="C580" s="53" t="s">
        <v>32</v>
      </c>
      <c r="D580" s="53" t="s">
        <v>44</v>
      </c>
      <c r="E580" s="67" t="s">
        <v>1178</v>
      </c>
      <c r="G580" s="53" t="s">
        <v>36</v>
      </c>
      <c r="H580" s="53">
        <f>STOCK[[#This Row],[Precio Final]]</f>
        <v>0</v>
      </c>
      <c r="I580" s="53">
        <f>STOCK[[#This Row],[Precio Venta Ideal (x1.5)]]</f>
        <v>13.785</v>
      </c>
      <c r="J580" s="71">
        <v>0</v>
      </c>
      <c r="K580" s="71">
        <f>SUMIFS(VENTAS[Cantidad],VENTAS[Código del producto Vendido],STOCK[[#This Row],[Code]])</f>
        <v>0</v>
      </c>
      <c r="L580" s="71">
        <f>STOCK[[#This Row],[Entradas]]-STOCK[[#This Row],[Salidas]]</f>
        <v>0</v>
      </c>
      <c r="M580" s="53">
        <f>STOCK[[#This Row],[Precio Final]]*10%</f>
        <v>0</v>
      </c>
      <c r="N580" s="53">
        <v>0</v>
      </c>
      <c r="O580" s="53">
        <v>0</v>
      </c>
      <c r="P580" s="53">
        <v>9.19</v>
      </c>
      <c r="Q580" s="71">
        <v>0</v>
      </c>
      <c r="R580" s="53">
        <v>0</v>
      </c>
      <c r="S580" s="53">
        <v>0</v>
      </c>
      <c r="T580" s="53">
        <f>STOCK[[#This Row],[Costo Unitario (USD)]]+STOCK[[#This Row],[Costo Envío (USD)]]+STOCK[[#This Row],[Comisión 10%]]</f>
        <v>9.19</v>
      </c>
      <c r="U580" s="53">
        <f>STOCK[[#This Row],[Costo total]]*1.5</f>
        <v>13.785</v>
      </c>
      <c r="V580" s="53">
        <v>0</v>
      </c>
      <c r="W580" s="53">
        <f>STOCK[[#This Row],[Precio Final]]-STOCK[[#This Row],[Costo total]]</f>
        <v>-9.19</v>
      </c>
      <c r="X580" s="53">
        <f>STOCK[[#This Row],[Ganancia Unitaria]]*STOCK[[#This Row],[Salidas]]</f>
        <v>0</v>
      </c>
      <c r="Y580" s="53" t="s">
        <v>1159</v>
      </c>
      <c r="AA580" s="53">
        <f>STOCK[[#This Row],[Costo total]]*STOCK[[#This Row],[Entradas]]</f>
        <v>0</v>
      </c>
      <c r="AB580" s="53">
        <f>STOCK[[#This Row],[Stock Actual]]*STOCK[[#This Row],[Costo total]]</f>
        <v>0</v>
      </c>
    </row>
    <row r="581" s="54" customFormat="1" ht="50" customHeight="1" spans="1:28">
      <c r="A581" s="54" t="s">
        <v>1179</v>
      </c>
      <c r="B581" s="66"/>
      <c r="C581" s="54" t="s">
        <v>32</v>
      </c>
      <c r="D581" s="54" t="s">
        <v>44</v>
      </c>
      <c r="E581" s="68" t="s">
        <v>1178</v>
      </c>
      <c r="G581" s="54" t="s">
        <v>36</v>
      </c>
      <c r="H581" s="54">
        <f>STOCK[[#This Row],[Precio Final]]</f>
        <v>0</v>
      </c>
      <c r="I581" s="54">
        <f>STOCK[[#This Row],[Precio Venta Ideal (x1.5)]]</f>
        <v>11.295</v>
      </c>
      <c r="J581" s="72">
        <v>0</v>
      </c>
      <c r="K581" s="72">
        <f>SUMIFS(VENTAS[Cantidad],VENTAS[Código del producto Vendido],STOCK[[#This Row],[Code]])</f>
        <v>0</v>
      </c>
      <c r="L581" s="72">
        <f>STOCK[[#This Row],[Entradas]]-STOCK[[#This Row],[Salidas]]</f>
        <v>0</v>
      </c>
      <c r="M581" s="54">
        <f>STOCK[[#This Row],[Precio Final]]*10%</f>
        <v>0</v>
      </c>
      <c r="N581" s="54">
        <v>0</v>
      </c>
      <c r="O581" s="54">
        <v>0</v>
      </c>
      <c r="P581" s="54">
        <v>7.53</v>
      </c>
      <c r="Q581" s="72">
        <v>0</v>
      </c>
      <c r="R581" s="54">
        <v>0</v>
      </c>
      <c r="S581" s="54">
        <v>0</v>
      </c>
      <c r="T581" s="53">
        <f>STOCK[[#This Row],[Costo Unitario (USD)]]+STOCK[[#This Row],[Costo Envío (USD)]]+STOCK[[#This Row],[Comisión 10%]]</f>
        <v>7.53</v>
      </c>
      <c r="U581" s="54">
        <f>STOCK[[#This Row],[Costo total]]*1.5</f>
        <v>11.295</v>
      </c>
      <c r="W581" s="54">
        <f>STOCK[[#This Row],[Precio Final]]-STOCK[[#This Row],[Costo total]]</f>
        <v>-7.53</v>
      </c>
      <c r="X581" s="54">
        <f>STOCK[[#This Row],[Ganancia Unitaria]]*STOCK[[#This Row],[Salidas]]</f>
        <v>0</v>
      </c>
      <c r="Y581" s="54" t="s">
        <v>1159</v>
      </c>
      <c r="AA581" s="54">
        <f>STOCK[[#This Row],[Costo total]]*STOCK[[#This Row],[Entradas]]</f>
        <v>0</v>
      </c>
      <c r="AB581" s="54">
        <f>STOCK[[#This Row],[Stock Actual]]*STOCK[[#This Row],[Costo total]]</f>
        <v>0</v>
      </c>
    </row>
    <row r="582" s="53" customFormat="1" ht="50" customHeight="1" spans="1:28">
      <c r="A582" s="53" t="s">
        <v>1180</v>
      </c>
      <c r="B582" s="66"/>
      <c r="C582" s="53" t="s">
        <v>32</v>
      </c>
      <c r="D582" s="53" t="s">
        <v>44</v>
      </c>
      <c r="E582" s="67" t="s">
        <v>1181</v>
      </c>
      <c r="G582" s="53" t="s">
        <v>36</v>
      </c>
      <c r="H582" s="53">
        <f>STOCK[[#This Row],[Precio Final]]</f>
        <v>12</v>
      </c>
      <c r="I582" s="53">
        <f>STOCK[[#This Row],[Precio Venta Ideal (x1.5)]]</f>
        <v>15.885</v>
      </c>
      <c r="J582" s="71">
        <v>0</v>
      </c>
      <c r="K582" s="71">
        <f>SUMIFS(VENTAS[Cantidad],VENTAS[Código del producto Vendido],STOCK[[#This Row],[Code]])</f>
        <v>0</v>
      </c>
      <c r="L582" s="71">
        <f>STOCK[[#This Row],[Entradas]]-STOCK[[#This Row],[Salidas]]</f>
        <v>0</v>
      </c>
      <c r="M582" s="53">
        <f>STOCK[[#This Row],[Precio Final]]*10%</f>
        <v>1.2</v>
      </c>
      <c r="N582" s="53">
        <v>0</v>
      </c>
      <c r="O582" s="53">
        <v>0</v>
      </c>
      <c r="P582" s="53">
        <v>9.39</v>
      </c>
      <c r="Q582" s="71">
        <v>0</v>
      </c>
      <c r="R582" s="53">
        <v>0</v>
      </c>
      <c r="S582" s="53">
        <v>0</v>
      </c>
      <c r="T582" s="53">
        <f>STOCK[[#This Row],[Costo Unitario (USD)]]+STOCK[[#This Row],[Costo Envío (USD)]]+STOCK[[#This Row],[Comisión 10%]]</f>
        <v>10.59</v>
      </c>
      <c r="U582" s="53">
        <f>STOCK[[#This Row],[Costo total]]*1.5</f>
        <v>15.885</v>
      </c>
      <c r="V582" s="53">
        <v>12</v>
      </c>
      <c r="W582" s="53">
        <f>STOCK[[#This Row],[Precio Final]]-STOCK[[#This Row],[Costo total]]</f>
        <v>1.41</v>
      </c>
      <c r="X582" s="53">
        <f>STOCK[[#This Row],[Ganancia Unitaria]]*STOCK[[#This Row],[Salidas]]</f>
        <v>0</v>
      </c>
      <c r="Y582" s="53" t="s">
        <v>1159</v>
      </c>
      <c r="AA582" s="53">
        <f>STOCK[[#This Row],[Costo total]]*STOCK[[#This Row],[Entradas]]</f>
        <v>0</v>
      </c>
      <c r="AB582" s="53">
        <f>STOCK[[#This Row],[Stock Actual]]*STOCK[[#This Row],[Costo total]]</f>
        <v>0</v>
      </c>
    </row>
    <row r="583" s="54" customFormat="1" ht="50" customHeight="1" spans="1:28">
      <c r="A583" s="54" t="s">
        <v>1182</v>
      </c>
      <c r="B583" s="66"/>
      <c r="C583" s="54" t="s">
        <v>32</v>
      </c>
      <c r="D583" s="54" t="s">
        <v>152</v>
      </c>
      <c r="E583" s="68" t="s">
        <v>1183</v>
      </c>
      <c r="F583" s="54" t="s">
        <v>211</v>
      </c>
      <c r="G583" s="54" t="s">
        <v>36</v>
      </c>
      <c r="H583" s="54">
        <f>STOCK[[#This Row],[Precio Final]]</f>
        <v>20</v>
      </c>
      <c r="I583" s="54">
        <f>STOCK[[#This Row],[Precio Venta Ideal (x1.5)]]</f>
        <v>24.435</v>
      </c>
      <c r="J583" s="72">
        <v>1</v>
      </c>
      <c r="K583" s="72">
        <f>SUMIFS(VENTAS[Cantidad],VENTAS[Código del producto Vendido],STOCK[[#This Row],[Code]])</f>
        <v>1</v>
      </c>
      <c r="L583" s="72">
        <f>STOCK[[#This Row],[Entradas]]-STOCK[[#This Row],[Salidas]]</f>
        <v>0</v>
      </c>
      <c r="M583" s="54">
        <f>STOCK[[#This Row],[Precio Final]]*10%</f>
        <v>2</v>
      </c>
      <c r="N583" s="54">
        <v>-17.37</v>
      </c>
      <c r="O583" s="54">
        <v>0</v>
      </c>
      <c r="P583" s="54">
        <v>12.29</v>
      </c>
      <c r="Q583" s="72">
        <v>0</v>
      </c>
      <c r="R583" s="54">
        <v>0</v>
      </c>
      <c r="S583" s="54">
        <v>2</v>
      </c>
      <c r="T583" s="53">
        <f>STOCK[[#This Row],[Costo Unitario (USD)]]+STOCK[[#This Row],[Costo Envío (USD)]]+STOCK[[#This Row],[Comisión 10%]]</f>
        <v>16.29</v>
      </c>
      <c r="U583" s="54">
        <f>STOCK[[#This Row],[Costo total]]*1.5</f>
        <v>24.435</v>
      </c>
      <c r="V583" s="54">
        <v>20</v>
      </c>
      <c r="W583" s="54">
        <f>STOCK[[#This Row],[Precio Final]]-STOCK[[#This Row],[Costo total]]</f>
        <v>3.71</v>
      </c>
      <c r="X583" s="54">
        <f>STOCK[[#This Row],[Ganancia Unitaria]]*STOCK[[#This Row],[Salidas]]</f>
        <v>3.71</v>
      </c>
      <c r="Y583" s="54" t="s">
        <v>1159</v>
      </c>
      <c r="AA583" s="54">
        <f>STOCK[[#This Row],[Costo total]]*STOCK[[#This Row],[Entradas]]</f>
        <v>16.29</v>
      </c>
      <c r="AB583" s="54">
        <f>STOCK[[#This Row],[Stock Actual]]*STOCK[[#This Row],[Costo total]]</f>
        <v>0</v>
      </c>
    </row>
    <row r="584" s="53" customFormat="1" ht="50" customHeight="1" spans="1:28">
      <c r="A584" s="53" t="s">
        <v>1184</v>
      </c>
      <c r="B584" s="66"/>
      <c r="C584" s="53" t="s">
        <v>32</v>
      </c>
      <c r="D584" s="53" t="s">
        <v>152</v>
      </c>
      <c r="E584" s="67" t="s">
        <v>1183</v>
      </c>
      <c r="F584" s="53" t="s">
        <v>62</v>
      </c>
      <c r="G584" s="53" t="s">
        <v>36</v>
      </c>
      <c r="H584" s="53">
        <f>STOCK[[#This Row],[Precio Final]]</f>
        <v>0</v>
      </c>
      <c r="I584" s="53">
        <f>STOCK[[#This Row],[Precio Venta Ideal (x1.5)]]</f>
        <v>21.435</v>
      </c>
      <c r="J584" s="71">
        <v>1</v>
      </c>
      <c r="K584" s="71">
        <f>SUMIFS(VENTAS[Cantidad],VENTAS[Código del producto Vendido],STOCK[[#This Row],[Code]])</f>
        <v>1</v>
      </c>
      <c r="L584" s="71">
        <f>STOCK[[#This Row],[Entradas]]-STOCK[[#This Row],[Salidas]]</f>
        <v>0</v>
      </c>
      <c r="M584" s="53">
        <f>STOCK[[#This Row],[Precio Final]]*10%</f>
        <v>0</v>
      </c>
      <c r="N584" s="53">
        <v>-17.37</v>
      </c>
      <c r="O584" s="53">
        <v>0</v>
      </c>
      <c r="P584" s="53">
        <v>12.29</v>
      </c>
      <c r="Q584" s="71">
        <v>0</v>
      </c>
      <c r="R584" s="53">
        <v>0</v>
      </c>
      <c r="S584" s="53">
        <v>2</v>
      </c>
      <c r="T584" s="53">
        <f>STOCK[[#This Row],[Costo Unitario (USD)]]+STOCK[[#This Row],[Costo Envío (USD)]]+STOCK[[#This Row],[Comisión 10%]]</f>
        <v>14.29</v>
      </c>
      <c r="U584" s="53">
        <f>STOCK[[#This Row],[Costo total]]*1.5</f>
        <v>21.435</v>
      </c>
      <c r="V584" s="53">
        <v>0</v>
      </c>
      <c r="W584" s="53">
        <f>STOCK[[#This Row],[Precio Final]]-STOCK[[#This Row],[Costo total]]</f>
        <v>-14.29</v>
      </c>
      <c r="X584" s="53">
        <f>STOCK[[#This Row],[Ganancia Unitaria]]*STOCK[[#This Row],[Salidas]]</f>
        <v>-14.29</v>
      </c>
      <c r="Y584" s="53" t="s">
        <v>1159</v>
      </c>
      <c r="AA584" s="53">
        <f>STOCK[[#This Row],[Costo total]]*STOCK[[#This Row],[Entradas]]</f>
        <v>14.29</v>
      </c>
      <c r="AB584" s="53">
        <f>STOCK[[#This Row],[Stock Actual]]*STOCK[[#This Row],[Costo total]]</f>
        <v>0</v>
      </c>
    </row>
    <row r="585" s="54" customFormat="1" ht="50" customHeight="1" spans="1:28">
      <c r="A585" s="54" t="s">
        <v>1185</v>
      </c>
      <c r="B585" s="66"/>
      <c r="C585" s="54" t="s">
        <v>32</v>
      </c>
      <c r="D585" s="54" t="s">
        <v>1075</v>
      </c>
      <c r="E585" s="68" t="s">
        <v>1186</v>
      </c>
      <c r="G585" s="54" t="s">
        <v>36</v>
      </c>
      <c r="H585" s="54">
        <f>STOCK[[#This Row],[Precio Final]]</f>
        <v>12</v>
      </c>
      <c r="I585" s="54">
        <f>STOCK[[#This Row],[Precio Venta Ideal (x1.5)]]</f>
        <v>11.445</v>
      </c>
      <c r="J585" s="72">
        <v>0</v>
      </c>
      <c r="K585" s="72">
        <f>SUMIFS(VENTAS[Cantidad],VENTAS[Código del producto Vendido],STOCK[[#This Row],[Code]])</f>
        <v>0</v>
      </c>
      <c r="L585" s="72">
        <f>STOCK[[#This Row],[Entradas]]-STOCK[[#This Row],[Salidas]]</f>
        <v>0</v>
      </c>
      <c r="M585" s="54">
        <f>STOCK[[#This Row],[Precio Final]]*10%</f>
        <v>1.2</v>
      </c>
      <c r="N585" s="54">
        <v>0</v>
      </c>
      <c r="O585" s="54">
        <v>0</v>
      </c>
      <c r="P585" s="54">
        <v>6.43</v>
      </c>
      <c r="Q585" s="72">
        <v>0</v>
      </c>
      <c r="R585" s="54">
        <v>0</v>
      </c>
      <c r="S585" s="54">
        <v>0</v>
      </c>
      <c r="T585" s="53">
        <f>STOCK[[#This Row],[Costo Unitario (USD)]]+STOCK[[#This Row],[Costo Envío (USD)]]+STOCK[[#This Row],[Comisión 10%]]</f>
        <v>7.63</v>
      </c>
      <c r="U585" s="54">
        <f>STOCK[[#This Row],[Costo total]]*1.5</f>
        <v>11.445</v>
      </c>
      <c r="V585" s="54">
        <v>12</v>
      </c>
      <c r="W585" s="54">
        <f>STOCK[[#This Row],[Precio Final]]-STOCK[[#This Row],[Costo total]]</f>
        <v>4.37</v>
      </c>
      <c r="X585" s="54">
        <f>STOCK[[#This Row],[Ganancia Unitaria]]*STOCK[[#This Row],[Salidas]]</f>
        <v>0</v>
      </c>
      <c r="Y585" s="54" t="s">
        <v>1159</v>
      </c>
      <c r="AA585" s="54">
        <f>STOCK[[#This Row],[Costo total]]*STOCK[[#This Row],[Entradas]]</f>
        <v>0</v>
      </c>
      <c r="AB585" s="54">
        <f>STOCK[[#This Row],[Stock Actual]]*STOCK[[#This Row],[Costo total]]</f>
        <v>0</v>
      </c>
    </row>
    <row r="586" s="53" customFormat="1" ht="50" customHeight="1" spans="1:28">
      <c r="A586" s="53" t="s">
        <v>1187</v>
      </c>
      <c r="B586" s="66"/>
      <c r="C586" s="53" t="s">
        <v>32</v>
      </c>
      <c r="D586" s="53" t="s">
        <v>174</v>
      </c>
      <c r="E586" s="67" t="s">
        <v>1188</v>
      </c>
      <c r="F586" s="53" t="s">
        <v>49</v>
      </c>
      <c r="G586" s="53" t="s">
        <v>36</v>
      </c>
      <c r="H586" s="53">
        <f>STOCK[[#This Row],[Precio Final]]</f>
        <v>18</v>
      </c>
      <c r="I586" s="53">
        <f>STOCK[[#This Row],[Precio Venta Ideal (x1.5)]]</f>
        <v>21.825</v>
      </c>
      <c r="J586" s="71">
        <v>1</v>
      </c>
      <c r="K586" s="71">
        <f>SUMIFS(VENTAS[Cantidad],VENTAS[Código del producto Vendido],STOCK[[#This Row],[Code]])</f>
        <v>1</v>
      </c>
      <c r="L586" s="71">
        <f>STOCK[[#This Row],[Entradas]]-STOCK[[#This Row],[Salidas]]</f>
        <v>0</v>
      </c>
      <c r="M586" s="53">
        <f>STOCK[[#This Row],[Precio Final]]*10%</f>
        <v>1.8</v>
      </c>
      <c r="N586" s="53">
        <v>3.61</v>
      </c>
      <c r="O586" s="53">
        <v>0</v>
      </c>
      <c r="P586" s="53">
        <v>11.75</v>
      </c>
      <c r="Q586" s="71">
        <v>0</v>
      </c>
      <c r="R586" s="53">
        <v>0</v>
      </c>
      <c r="S586" s="53">
        <v>1</v>
      </c>
      <c r="T586" s="53">
        <f>STOCK[[#This Row],[Costo Unitario (USD)]]+STOCK[[#This Row],[Costo Envío (USD)]]+STOCK[[#This Row],[Comisión 10%]]</f>
        <v>14.55</v>
      </c>
      <c r="U586" s="53">
        <f>STOCK[[#This Row],[Costo total]]*1.5</f>
        <v>21.825</v>
      </c>
      <c r="V586" s="53">
        <v>18</v>
      </c>
      <c r="W586" s="53">
        <f>STOCK[[#This Row],[Precio Final]]-STOCK[[#This Row],[Costo total]]</f>
        <v>3.45</v>
      </c>
      <c r="X586" s="53">
        <f>STOCK[[#This Row],[Ganancia Unitaria]]*STOCK[[#This Row],[Salidas]]</f>
        <v>3.45</v>
      </c>
      <c r="Y586" s="53" t="s">
        <v>1159</v>
      </c>
      <c r="AA586" s="53">
        <f>STOCK[[#This Row],[Costo total]]*STOCK[[#This Row],[Entradas]]</f>
        <v>14.55</v>
      </c>
      <c r="AB586" s="53">
        <f>STOCK[[#This Row],[Stock Actual]]*STOCK[[#This Row],[Costo total]]</f>
        <v>0</v>
      </c>
    </row>
    <row r="587" s="54" customFormat="1" ht="50" customHeight="1" spans="1:28">
      <c r="A587" s="54" t="s">
        <v>1189</v>
      </c>
      <c r="B587" s="66"/>
      <c r="C587" s="54" t="s">
        <v>32</v>
      </c>
      <c r="D587" s="54" t="s">
        <v>1190</v>
      </c>
      <c r="E587" s="68" t="s">
        <v>1191</v>
      </c>
      <c r="F587" s="54" t="s">
        <v>62</v>
      </c>
      <c r="G587" s="54" t="s">
        <v>36</v>
      </c>
      <c r="H587" s="54">
        <f>STOCK[[#This Row],[Precio Final]]</f>
        <v>20</v>
      </c>
      <c r="I587" s="54">
        <f>STOCK[[#This Row],[Precio Venta Ideal (x1.5)]]</f>
        <v>22.575</v>
      </c>
      <c r="J587" s="72">
        <v>1</v>
      </c>
      <c r="K587" s="72">
        <f>SUMIFS(VENTAS[Cantidad],VENTAS[Código del producto Vendido],STOCK[[#This Row],[Code]])</f>
        <v>0</v>
      </c>
      <c r="L587" s="72">
        <f>STOCK[[#This Row],[Entradas]]-STOCK[[#This Row],[Salidas]]</f>
        <v>1</v>
      </c>
      <c r="M587" s="54">
        <f>STOCK[[#This Row],[Precio Final]]*10%</f>
        <v>2</v>
      </c>
      <c r="N587" s="54">
        <v>0</v>
      </c>
      <c r="O587" s="54">
        <v>0</v>
      </c>
      <c r="P587" s="54">
        <v>12.05</v>
      </c>
      <c r="Q587" s="72">
        <v>0</v>
      </c>
      <c r="R587" s="54">
        <v>0</v>
      </c>
      <c r="S587" s="54">
        <v>1</v>
      </c>
      <c r="T587" s="53">
        <f>STOCK[[#This Row],[Costo Unitario (USD)]]+STOCK[[#This Row],[Costo Envío (USD)]]+STOCK[[#This Row],[Comisión 10%]]</f>
        <v>15.05</v>
      </c>
      <c r="U587" s="54">
        <f>STOCK[[#This Row],[Costo total]]*1.5</f>
        <v>22.575</v>
      </c>
      <c r="V587" s="54">
        <v>20</v>
      </c>
      <c r="W587" s="54">
        <f>STOCK[[#This Row],[Precio Final]]-STOCK[[#This Row],[Costo total]]</f>
        <v>4.95</v>
      </c>
      <c r="X587" s="54">
        <f>STOCK[[#This Row],[Ganancia Unitaria]]*STOCK[[#This Row],[Salidas]]</f>
        <v>0</v>
      </c>
      <c r="Y587" s="54" t="s">
        <v>1159</v>
      </c>
      <c r="AA587" s="54">
        <f>STOCK[[#This Row],[Costo total]]*STOCK[[#This Row],[Entradas]]</f>
        <v>15.05</v>
      </c>
      <c r="AB587" s="54">
        <f>STOCK[[#This Row],[Stock Actual]]*STOCK[[#This Row],[Costo total]]</f>
        <v>15.05</v>
      </c>
    </row>
    <row r="588" s="53" customFormat="1" ht="50" customHeight="1" spans="1:28">
      <c r="A588" s="53" t="s">
        <v>1192</v>
      </c>
      <c r="B588" s="66"/>
      <c r="C588" s="53" t="s">
        <v>32</v>
      </c>
      <c r="D588" s="53" t="s">
        <v>44</v>
      </c>
      <c r="E588" s="67" t="s">
        <v>1193</v>
      </c>
      <c r="F588" s="53" t="s">
        <v>88</v>
      </c>
      <c r="G588" s="53" t="s">
        <v>36</v>
      </c>
      <c r="H588" s="53">
        <f>STOCK[[#This Row],[Precio Final]]</f>
        <v>35</v>
      </c>
      <c r="I588" s="53">
        <f>STOCK[[#This Row],[Precio Venta Ideal (x1.5)]]</f>
        <v>27.615</v>
      </c>
      <c r="J588" s="71">
        <v>1</v>
      </c>
      <c r="K588" s="71">
        <f>SUMIFS(VENTAS[Cantidad],VENTAS[Código del producto Vendido],STOCK[[#This Row],[Code]])</f>
        <v>1</v>
      </c>
      <c r="L588" s="71">
        <f>STOCK[[#This Row],[Entradas]]-STOCK[[#This Row],[Salidas]]</f>
        <v>0</v>
      </c>
      <c r="M588" s="53">
        <f>STOCK[[#This Row],[Precio Final]]*10%</f>
        <v>3.5</v>
      </c>
      <c r="N588" s="53">
        <v>0</v>
      </c>
      <c r="O588" s="53">
        <v>0</v>
      </c>
      <c r="P588" s="53">
        <v>13.91</v>
      </c>
      <c r="Q588" s="71">
        <v>0</v>
      </c>
      <c r="R588" s="53">
        <v>0</v>
      </c>
      <c r="S588" s="53">
        <v>1</v>
      </c>
      <c r="T588" s="53">
        <f>STOCK[[#This Row],[Costo Unitario (USD)]]+STOCK[[#This Row],[Costo Envío (USD)]]+STOCK[[#This Row],[Comisión 10%]]</f>
        <v>18.41</v>
      </c>
      <c r="U588" s="53">
        <f>STOCK[[#This Row],[Costo total]]*1.5</f>
        <v>27.615</v>
      </c>
      <c r="V588" s="53">
        <v>35</v>
      </c>
      <c r="W588" s="53">
        <f>STOCK[[#This Row],[Precio Final]]-STOCK[[#This Row],[Costo total]]</f>
        <v>16.59</v>
      </c>
      <c r="X588" s="53">
        <f>STOCK[[#This Row],[Ganancia Unitaria]]*STOCK[[#This Row],[Salidas]]</f>
        <v>16.59</v>
      </c>
      <c r="Y588" s="53" t="s">
        <v>1159</v>
      </c>
      <c r="AA588" s="53">
        <f>STOCK[[#This Row],[Costo total]]*STOCK[[#This Row],[Entradas]]</f>
        <v>18.41</v>
      </c>
      <c r="AB588" s="53">
        <f>STOCK[[#This Row],[Stock Actual]]*STOCK[[#This Row],[Costo total]]</f>
        <v>0</v>
      </c>
    </row>
    <row r="589" s="54" customFormat="1" ht="50" customHeight="1" spans="1:28">
      <c r="A589" s="54" t="s">
        <v>1194</v>
      </c>
      <c r="B589" s="66"/>
      <c r="C589" s="54" t="s">
        <v>32</v>
      </c>
      <c r="D589" s="54" t="s">
        <v>1075</v>
      </c>
      <c r="E589" s="68" t="s">
        <v>1178</v>
      </c>
      <c r="G589" s="54" t="s">
        <v>36</v>
      </c>
      <c r="H589" s="54">
        <f>STOCK[[#This Row],[Precio Final]]</f>
        <v>12</v>
      </c>
      <c r="I589" s="54">
        <f>STOCK[[#This Row],[Precio Venta Ideal (x1.5)]]</f>
        <v>17.385</v>
      </c>
      <c r="J589" s="72">
        <v>0</v>
      </c>
      <c r="K589" s="72">
        <f>SUMIFS(VENTAS[Cantidad],VENTAS[Código del producto Vendido],STOCK[[#This Row],[Code]])</f>
        <v>0</v>
      </c>
      <c r="L589" s="72">
        <f>STOCK[[#This Row],[Entradas]]-STOCK[[#This Row],[Salidas]]</f>
        <v>0</v>
      </c>
      <c r="M589" s="54">
        <f>STOCK[[#This Row],[Precio Final]]*10%</f>
        <v>1.2</v>
      </c>
      <c r="N589" s="54">
        <v>0</v>
      </c>
      <c r="O589" s="54">
        <v>0</v>
      </c>
      <c r="P589" s="54">
        <v>9.39</v>
      </c>
      <c r="Q589" s="72">
        <v>0</v>
      </c>
      <c r="R589" s="54">
        <v>0</v>
      </c>
      <c r="S589" s="54">
        <v>1</v>
      </c>
      <c r="T589" s="53">
        <f>STOCK[[#This Row],[Costo Unitario (USD)]]+STOCK[[#This Row],[Costo Envío (USD)]]+STOCK[[#This Row],[Comisión 10%]]</f>
        <v>11.59</v>
      </c>
      <c r="U589" s="54">
        <f>STOCK[[#This Row],[Costo total]]*1.5</f>
        <v>17.385</v>
      </c>
      <c r="V589" s="54">
        <v>12</v>
      </c>
      <c r="W589" s="54">
        <f>STOCK[[#This Row],[Precio Final]]-STOCK[[#This Row],[Costo total]]</f>
        <v>0.41</v>
      </c>
      <c r="X589" s="54">
        <f>STOCK[[#This Row],[Ganancia Unitaria]]*STOCK[[#This Row],[Salidas]]</f>
        <v>0</v>
      </c>
      <c r="Y589" s="54" t="s">
        <v>1159</v>
      </c>
      <c r="AA589" s="54">
        <f>STOCK[[#This Row],[Costo total]]*STOCK[[#This Row],[Entradas]]</f>
        <v>0</v>
      </c>
      <c r="AB589" s="54">
        <f>STOCK[[#This Row],[Stock Actual]]*STOCK[[#This Row],[Costo total]]</f>
        <v>0</v>
      </c>
    </row>
    <row r="590" s="53" customFormat="1" ht="50" customHeight="1" spans="1:28">
      <c r="A590" s="53" t="s">
        <v>1195</v>
      </c>
      <c r="B590" s="66"/>
      <c r="C590" s="53" t="s">
        <v>32</v>
      </c>
      <c r="D590" s="53" t="s">
        <v>1075</v>
      </c>
      <c r="E590" s="67" t="s">
        <v>1178</v>
      </c>
      <c r="G590" s="53" t="s">
        <v>36</v>
      </c>
      <c r="H590" s="53">
        <f>STOCK[[#This Row],[Precio Final]]</f>
        <v>12</v>
      </c>
      <c r="I590" s="53">
        <f>STOCK[[#This Row],[Precio Venta Ideal (x1.5)]]</f>
        <v>13.095</v>
      </c>
      <c r="J590" s="71">
        <v>0</v>
      </c>
      <c r="K590" s="71">
        <f>SUMIFS(VENTAS[Cantidad],VENTAS[Código del producto Vendido],STOCK[[#This Row],[Code]])</f>
        <v>0</v>
      </c>
      <c r="L590" s="71">
        <f>STOCK[[#This Row],[Entradas]]-STOCK[[#This Row],[Salidas]]</f>
        <v>0</v>
      </c>
      <c r="M590" s="53">
        <f>STOCK[[#This Row],[Precio Final]]*10%</f>
        <v>1.2</v>
      </c>
      <c r="N590" s="53">
        <v>0</v>
      </c>
      <c r="O590" s="53">
        <v>0</v>
      </c>
      <c r="P590" s="53">
        <v>6.53</v>
      </c>
      <c r="Q590" s="71">
        <v>0</v>
      </c>
      <c r="R590" s="53">
        <v>0</v>
      </c>
      <c r="S590" s="53">
        <v>1</v>
      </c>
      <c r="T590" s="53">
        <f>STOCK[[#This Row],[Costo Unitario (USD)]]+STOCK[[#This Row],[Costo Envío (USD)]]+STOCK[[#This Row],[Comisión 10%]]</f>
        <v>8.73</v>
      </c>
      <c r="U590" s="53">
        <f>STOCK[[#This Row],[Costo total]]*1.5</f>
        <v>13.095</v>
      </c>
      <c r="V590" s="53">
        <v>12</v>
      </c>
      <c r="W590" s="53">
        <f>STOCK[[#This Row],[Precio Final]]-STOCK[[#This Row],[Costo total]]</f>
        <v>3.27</v>
      </c>
      <c r="X590" s="53">
        <f>STOCK[[#This Row],[Ganancia Unitaria]]*STOCK[[#This Row],[Salidas]]</f>
        <v>0</v>
      </c>
      <c r="Y590" s="53" t="s">
        <v>1159</v>
      </c>
      <c r="AA590" s="53">
        <f>STOCK[[#This Row],[Costo total]]*STOCK[[#This Row],[Entradas]]</f>
        <v>0</v>
      </c>
      <c r="AB590" s="53">
        <f>STOCK[[#This Row],[Stock Actual]]*STOCK[[#This Row],[Costo total]]</f>
        <v>0</v>
      </c>
    </row>
    <row r="591" s="54" customFormat="1" ht="50" customHeight="1" spans="1:28">
      <c r="A591" s="54" t="s">
        <v>1196</v>
      </c>
      <c r="B591" s="66"/>
      <c r="C591" s="54" t="s">
        <v>32</v>
      </c>
      <c r="D591" s="54" t="s">
        <v>288</v>
      </c>
      <c r="E591" s="68" t="s">
        <v>1197</v>
      </c>
      <c r="F591" s="54" t="s">
        <v>62</v>
      </c>
      <c r="G591" s="54" t="s">
        <v>36</v>
      </c>
      <c r="H591" s="54">
        <f>STOCK[[#This Row],[Precio Final]]</f>
        <v>40</v>
      </c>
      <c r="I591" s="54">
        <f>STOCK[[#This Row],[Precio Venta Ideal (x1.5)]]</f>
        <v>47.73</v>
      </c>
      <c r="J591" s="72">
        <v>2</v>
      </c>
      <c r="K591" s="72">
        <f>SUMIFS(VENTAS[Cantidad],VENTAS[Código del producto Vendido],STOCK[[#This Row],[Code]])</f>
        <v>2</v>
      </c>
      <c r="L591" s="72">
        <f>STOCK[[#This Row],[Entradas]]-STOCK[[#This Row],[Salidas]]</f>
        <v>0</v>
      </c>
      <c r="M591" s="54">
        <f>STOCK[[#This Row],[Precio Final]]*10%</f>
        <v>4</v>
      </c>
      <c r="N591" s="54">
        <v>-30.07</v>
      </c>
      <c r="O591" s="54">
        <v>30.07</v>
      </c>
      <c r="P591" s="54">
        <v>22.82</v>
      </c>
      <c r="Q591" s="72">
        <v>0</v>
      </c>
      <c r="R591" s="54">
        <v>0</v>
      </c>
      <c r="S591" s="54">
        <v>5</v>
      </c>
      <c r="T591" s="53">
        <f>STOCK[[#This Row],[Costo Unitario (USD)]]+STOCK[[#This Row],[Costo Envío (USD)]]+STOCK[[#This Row],[Comisión 10%]]</f>
        <v>31.82</v>
      </c>
      <c r="U591" s="54">
        <f>STOCK[[#This Row],[Costo total]]*1.5</f>
        <v>47.73</v>
      </c>
      <c r="V591" s="54">
        <v>40</v>
      </c>
      <c r="W591" s="54">
        <f>STOCK[[#This Row],[Precio Final]]-STOCK[[#This Row],[Costo total]]</f>
        <v>8.18</v>
      </c>
      <c r="X591" s="54">
        <f>STOCK[[#This Row],[Ganancia Unitaria]]*STOCK[[#This Row],[Salidas]]</f>
        <v>16.36</v>
      </c>
      <c r="Y591" s="54" t="s">
        <v>1159</v>
      </c>
      <c r="AA591" s="54">
        <f>STOCK[[#This Row],[Costo total]]*STOCK[[#This Row],[Entradas]]</f>
        <v>63.64</v>
      </c>
      <c r="AB591" s="54">
        <f>STOCK[[#This Row],[Stock Actual]]*STOCK[[#This Row],[Costo total]]</f>
        <v>0</v>
      </c>
    </row>
    <row r="592" s="53" customFormat="1" ht="50" customHeight="1" spans="1:28">
      <c r="A592" s="53" t="s">
        <v>1198</v>
      </c>
      <c r="B592" s="66"/>
      <c r="C592" s="53" t="s">
        <v>32</v>
      </c>
      <c r="D592" s="53" t="s">
        <v>288</v>
      </c>
      <c r="E592" s="67" t="s">
        <v>1199</v>
      </c>
      <c r="F592" s="53" t="s">
        <v>49</v>
      </c>
      <c r="G592" s="53" t="s">
        <v>36</v>
      </c>
      <c r="H592" s="53">
        <f>STOCK[[#This Row],[Precio Final]]</f>
        <v>0</v>
      </c>
      <c r="I592" s="53">
        <f>STOCK[[#This Row],[Precio Venta Ideal (x1.5)]]</f>
        <v>41.73</v>
      </c>
      <c r="J592" s="71">
        <v>1</v>
      </c>
      <c r="K592" s="71">
        <f>SUMIFS(VENTAS[Cantidad],VENTAS[Código del producto Vendido],STOCK[[#This Row],[Code]])</f>
        <v>1</v>
      </c>
      <c r="L592" s="71">
        <f>STOCK[[#This Row],[Entradas]]-STOCK[[#This Row],[Salidas]]</f>
        <v>0</v>
      </c>
      <c r="M592" s="53">
        <f>STOCK[[#This Row],[Precio Final]]*10%</f>
        <v>0</v>
      </c>
      <c r="N592" s="53">
        <v>-30.07</v>
      </c>
      <c r="O592" s="53">
        <v>0</v>
      </c>
      <c r="P592" s="53">
        <v>22.82</v>
      </c>
      <c r="Q592" s="71">
        <v>0</v>
      </c>
      <c r="R592" s="53">
        <v>0</v>
      </c>
      <c r="S592" s="53">
        <v>5</v>
      </c>
      <c r="T592" s="53">
        <f>STOCK[[#This Row],[Costo Unitario (USD)]]+STOCK[[#This Row],[Costo Envío (USD)]]+STOCK[[#This Row],[Comisión 10%]]</f>
        <v>27.82</v>
      </c>
      <c r="U592" s="53">
        <f>STOCK[[#This Row],[Costo total]]*1.5</f>
        <v>41.73</v>
      </c>
      <c r="V592" s="53">
        <v>0</v>
      </c>
      <c r="W592" s="53">
        <f>STOCK[[#This Row],[Precio Final]]-STOCK[[#This Row],[Costo total]]</f>
        <v>-27.82</v>
      </c>
      <c r="X592" s="53">
        <f>STOCK[[#This Row],[Ganancia Unitaria]]*STOCK[[#This Row],[Salidas]]</f>
        <v>-27.82</v>
      </c>
      <c r="Y592" s="53" t="s">
        <v>1159</v>
      </c>
      <c r="AA592" s="53">
        <f>STOCK[[#This Row],[Costo total]]*STOCK[[#This Row],[Entradas]]</f>
        <v>27.82</v>
      </c>
      <c r="AB592" s="53">
        <f>STOCK[[#This Row],[Stock Actual]]*STOCK[[#This Row],[Costo total]]</f>
        <v>0</v>
      </c>
    </row>
    <row r="593" s="54" customFormat="1" ht="50" customHeight="1" spans="1:28">
      <c r="A593" s="54" t="s">
        <v>1200</v>
      </c>
      <c r="B593" s="66"/>
      <c r="C593" s="54" t="s">
        <v>32</v>
      </c>
      <c r="D593" s="54" t="s">
        <v>546</v>
      </c>
      <c r="E593" s="68" t="s">
        <v>1201</v>
      </c>
      <c r="F593" s="54" t="s">
        <v>62</v>
      </c>
      <c r="G593" s="54" t="s">
        <v>36</v>
      </c>
      <c r="H593" s="54">
        <f>STOCK[[#This Row],[Precio Final]]</f>
        <v>12</v>
      </c>
      <c r="I593" s="54">
        <f>STOCK[[#This Row],[Precio Venta Ideal (x1.5)]]</f>
        <v>10.605</v>
      </c>
      <c r="J593" s="72">
        <v>2</v>
      </c>
      <c r="K593" s="72">
        <f>SUMIFS(VENTAS[Cantidad],VENTAS[Código del producto Vendido],STOCK[[#This Row],[Code]])</f>
        <v>2</v>
      </c>
      <c r="L593" s="72">
        <f>STOCK[[#This Row],[Entradas]]-STOCK[[#This Row],[Salidas]]</f>
        <v>0</v>
      </c>
      <c r="M593" s="54">
        <f>STOCK[[#This Row],[Precio Final]]*10%</f>
        <v>1.2</v>
      </c>
      <c r="N593" s="54">
        <v>-6.24</v>
      </c>
      <c r="O593" s="54">
        <v>6.24</v>
      </c>
      <c r="P593" s="54">
        <v>5.37</v>
      </c>
      <c r="Q593" s="72">
        <v>0</v>
      </c>
      <c r="R593" s="54">
        <v>0</v>
      </c>
      <c r="S593" s="54">
        <v>0.5</v>
      </c>
      <c r="T593" s="53">
        <f>STOCK[[#This Row],[Costo Unitario (USD)]]+STOCK[[#This Row],[Costo Envío (USD)]]+STOCK[[#This Row],[Comisión 10%]]</f>
        <v>7.07</v>
      </c>
      <c r="U593" s="54">
        <f>STOCK[[#This Row],[Costo total]]*1.5</f>
        <v>10.605</v>
      </c>
      <c r="V593" s="54">
        <v>12</v>
      </c>
      <c r="W593" s="54">
        <f>STOCK[[#This Row],[Precio Final]]-STOCK[[#This Row],[Costo total]]</f>
        <v>4.93</v>
      </c>
      <c r="X593" s="54">
        <f>STOCK[[#This Row],[Ganancia Unitaria]]*STOCK[[#This Row],[Salidas]]</f>
        <v>9.86</v>
      </c>
      <c r="Y593" s="54" t="s">
        <v>1159</v>
      </c>
      <c r="AA593" s="54">
        <f>STOCK[[#This Row],[Costo total]]*STOCK[[#This Row],[Entradas]]</f>
        <v>14.14</v>
      </c>
      <c r="AB593" s="54">
        <f>STOCK[[#This Row],[Stock Actual]]*STOCK[[#This Row],[Costo total]]</f>
        <v>0</v>
      </c>
    </row>
    <row r="594" s="53" customFormat="1" ht="50" customHeight="1" spans="1:28">
      <c r="A594" s="53" t="s">
        <v>1202</v>
      </c>
      <c r="B594" s="66"/>
      <c r="C594" s="53" t="s">
        <v>32</v>
      </c>
      <c r="D594" s="53" t="s">
        <v>174</v>
      </c>
      <c r="E594" s="67" t="s">
        <v>1203</v>
      </c>
      <c r="F594" s="53" t="s">
        <v>49</v>
      </c>
      <c r="G594" s="53" t="s">
        <v>36</v>
      </c>
      <c r="H594" s="53">
        <f>STOCK[[#This Row],[Precio Final]]</f>
        <v>25</v>
      </c>
      <c r="I594" s="53">
        <f>STOCK[[#This Row],[Precio Venta Ideal (x1.5)]]</f>
        <v>23.1</v>
      </c>
      <c r="J594" s="71">
        <v>1</v>
      </c>
      <c r="K594" s="71">
        <f>SUMIFS(VENTAS[Cantidad],VENTAS[Código del producto Vendido],STOCK[[#This Row],[Code]])</f>
        <v>1</v>
      </c>
      <c r="L594" s="71">
        <f>STOCK[[#This Row],[Entradas]]-STOCK[[#This Row],[Salidas]]</f>
        <v>0</v>
      </c>
      <c r="M594" s="53">
        <f>STOCK[[#This Row],[Precio Final]]*10%</f>
        <v>2.5</v>
      </c>
      <c r="N594" s="53">
        <v>-14.22</v>
      </c>
      <c r="O594" s="53">
        <v>0</v>
      </c>
      <c r="P594" s="53">
        <v>10.9</v>
      </c>
      <c r="Q594" s="71">
        <v>0</v>
      </c>
      <c r="R594" s="53">
        <v>0</v>
      </c>
      <c r="S594" s="53">
        <v>2</v>
      </c>
      <c r="T594" s="53">
        <f>STOCK[[#This Row],[Costo Unitario (USD)]]+STOCK[[#This Row],[Costo Envío (USD)]]+STOCK[[#This Row],[Comisión 10%]]</f>
        <v>15.4</v>
      </c>
      <c r="U594" s="53">
        <f>STOCK[[#This Row],[Costo total]]*1.5</f>
        <v>23.1</v>
      </c>
      <c r="V594" s="53">
        <v>25</v>
      </c>
      <c r="W594" s="53">
        <f>STOCK[[#This Row],[Precio Final]]-STOCK[[#This Row],[Costo total]]</f>
        <v>9.6</v>
      </c>
      <c r="X594" s="53">
        <f>STOCK[[#This Row],[Ganancia Unitaria]]*STOCK[[#This Row],[Salidas]]</f>
        <v>9.6</v>
      </c>
      <c r="Y594" s="53" t="s">
        <v>1159</v>
      </c>
      <c r="AA594" s="53">
        <f>STOCK[[#This Row],[Costo total]]*STOCK[[#This Row],[Entradas]]</f>
        <v>15.4</v>
      </c>
      <c r="AB594" s="53">
        <f>STOCK[[#This Row],[Stock Actual]]*STOCK[[#This Row],[Costo total]]</f>
        <v>0</v>
      </c>
    </row>
    <row r="595" s="54" customFormat="1" ht="50" customHeight="1" spans="1:28">
      <c r="A595" s="54" t="s">
        <v>1204</v>
      </c>
      <c r="B595" s="66"/>
      <c r="C595" s="54" t="s">
        <v>32</v>
      </c>
      <c r="D595" s="54" t="s">
        <v>174</v>
      </c>
      <c r="E595" s="68" t="s">
        <v>1203</v>
      </c>
      <c r="F595" s="54" t="s">
        <v>205</v>
      </c>
      <c r="G595" s="54" t="s">
        <v>36</v>
      </c>
      <c r="H595" s="54">
        <f>STOCK[[#This Row],[Precio Final]]</f>
        <v>22</v>
      </c>
      <c r="I595" s="54">
        <f>STOCK[[#This Row],[Precio Venta Ideal (x1.5)]]</f>
        <v>22.65</v>
      </c>
      <c r="J595" s="72">
        <v>3</v>
      </c>
      <c r="K595" s="72">
        <f>SUMIFS(VENTAS[Cantidad],VENTAS[Código del producto Vendido],STOCK[[#This Row],[Code]])</f>
        <v>3</v>
      </c>
      <c r="L595" s="72">
        <f>STOCK[[#This Row],[Entradas]]-STOCK[[#This Row],[Salidas]]</f>
        <v>0</v>
      </c>
      <c r="M595" s="54">
        <f>STOCK[[#This Row],[Precio Final]]*10%</f>
        <v>2.2</v>
      </c>
      <c r="N595" s="54">
        <v>-28.45</v>
      </c>
      <c r="O595" s="54">
        <v>0</v>
      </c>
      <c r="P595" s="54">
        <v>10.9</v>
      </c>
      <c r="Q595" s="72">
        <v>0</v>
      </c>
      <c r="R595" s="54">
        <v>0</v>
      </c>
      <c r="S595" s="54">
        <v>2</v>
      </c>
      <c r="T595" s="53">
        <f>STOCK[[#This Row],[Costo Unitario (USD)]]+STOCK[[#This Row],[Costo Envío (USD)]]+STOCK[[#This Row],[Comisión 10%]]</f>
        <v>15.1</v>
      </c>
      <c r="U595" s="54">
        <f>STOCK[[#This Row],[Costo total]]*1.5</f>
        <v>22.65</v>
      </c>
      <c r="V595" s="54">
        <v>22</v>
      </c>
      <c r="W595" s="54">
        <f>STOCK[[#This Row],[Precio Final]]-STOCK[[#This Row],[Costo total]]</f>
        <v>6.9</v>
      </c>
      <c r="X595" s="54">
        <f>STOCK[[#This Row],[Ganancia Unitaria]]*STOCK[[#This Row],[Salidas]]</f>
        <v>20.7</v>
      </c>
      <c r="Y595" s="54" t="s">
        <v>1159</v>
      </c>
      <c r="AA595" s="54">
        <f>STOCK[[#This Row],[Costo total]]*STOCK[[#This Row],[Entradas]]</f>
        <v>45.3</v>
      </c>
      <c r="AB595" s="54">
        <f>STOCK[[#This Row],[Stock Actual]]*STOCK[[#This Row],[Costo total]]</f>
        <v>0</v>
      </c>
    </row>
    <row r="596" s="53" customFormat="1" ht="50" customHeight="1" spans="1:28">
      <c r="A596" s="53" t="s">
        <v>1205</v>
      </c>
      <c r="B596" s="66"/>
      <c r="C596" s="53" t="s">
        <v>32</v>
      </c>
      <c r="D596" s="53" t="s">
        <v>174</v>
      </c>
      <c r="E596" s="67" t="s">
        <v>1203</v>
      </c>
      <c r="F596" s="53" t="s">
        <v>88</v>
      </c>
      <c r="G596" s="53" t="s">
        <v>36</v>
      </c>
      <c r="H596" s="53">
        <f>STOCK[[#This Row],[Precio Final]]</f>
        <v>22</v>
      </c>
      <c r="I596" s="53">
        <f>STOCK[[#This Row],[Precio Venta Ideal (x1.5)]]</f>
        <v>22.65</v>
      </c>
      <c r="J596" s="71">
        <v>2</v>
      </c>
      <c r="K596" s="71">
        <f>SUMIFS(VENTAS[Cantidad],VENTAS[Código del producto Vendido],STOCK[[#This Row],[Code]])</f>
        <v>2</v>
      </c>
      <c r="L596" s="71">
        <f>STOCK[[#This Row],[Entradas]]-STOCK[[#This Row],[Salidas]]</f>
        <v>0</v>
      </c>
      <c r="M596" s="53">
        <f>STOCK[[#This Row],[Precio Final]]*10%</f>
        <v>2.2</v>
      </c>
      <c r="N596" s="53">
        <v>-14.22</v>
      </c>
      <c r="O596" s="53">
        <v>0</v>
      </c>
      <c r="P596" s="53">
        <v>10.9</v>
      </c>
      <c r="Q596" s="71">
        <v>0</v>
      </c>
      <c r="R596" s="53">
        <v>0</v>
      </c>
      <c r="S596" s="53">
        <v>2</v>
      </c>
      <c r="T596" s="53">
        <f>STOCK[[#This Row],[Costo Unitario (USD)]]+STOCK[[#This Row],[Costo Envío (USD)]]+STOCK[[#This Row],[Comisión 10%]]</f>
        <v>15.1</v>
      </c>
      <c r="U596" s="53">
        <f>STOCK[[#This Row],[Costo total]]*1.5</f>
        <v>22.65</v>
      </c>
      <c r="V596" s="53">
        <v>22</v>
      </c>
      <c r="W596" s="53">
        <f>STOCK[[#This Row],[Precio Final]]-STOCK[[#This Row],[Costo total]]</f>
        <v>6.9</v>
      </c>
      <c r="X596" s="53">
        <f>STOCK[[#This Row],[Ganancia Unitaria]]*STOCK[[#This Row],[Salidas]]</f>
        <v>13.8</v>
      </c>
      <c r="Y596" s="53" t="s">
        <v>1159</v>
      </c>
      <c r="AA596" s="53">
        <f>STOCK[[#This Row],[Costo total]]*STOCK[[#This Row],[Entradas]]</f>
        <v>30.2</v>
      </c>
      <c r="AB596" s="53">
        <f>STOCK[[#This Row],[Stock Actual]]*STOCK[[#This Row],[Costo total]]</f>
        <v>0</v>
      </c>
    </row>
    <row r="597" s="54" customFormat="1" ht="50" customHeight="1" spans="1:28">
      <c r="A597" s="54" t="s">
        <v>1206</v>
      </c>
      <c r="B597" s="66"/>
      <c r="C597" s="54" t="s">
        <v>32</v>
      </c>
      <c r="D597" s="54" t="s">
        <v>152</v>
      </c>
      <c r="E597" s="68" t="s">
        <v>1207</v>
      </c>
      <c r="F597" s="54" t="s">
        <v>187</v>
      </c>
      <c r="G597" s="54" t="s">
        <v>36</v>
      </c>
      <c r="H597" s="54">
        <f>STOCK[[#This Row],[Precio Final]]</f>
        <v>20</v>
      </c>
      <c r="I597" s="54">
        <f>STOCK[[#This Row],[Precio Venta Ideal (x1.5)]]</f>
        <v>23.04</v>
      </c>
      <c r="J597" s="72">
        <v>1</v>
      </c>
      <c r="K597" s="72">
        <f>SUMIFS(VENTAS[Cantidad],VENTAS[Código del producto Vendido],STOCK[[#This Row],[Code]])</f>
        <v>1</v>
      </c>
      <c r="L597" s="72">
        <f>STOCK[[#This Row],[Entradas]]-STOCK[[#This Row],[Salidas]]</f>
        <v>0</v>
      </c>
      <c r="M597" s="54">
        <f>STOCK[[#This Row],[Precio Final]]*10%</f>
        <v>2</v>
      </c>
      <c r="N597" s="54">
        <v>0</v>
      </c>
      <c r="O597" s="54">
        <v>12.06</v>
      </c>
      <c r="P597" s="54">
        <v>10.36</v>
      </c>
      <c r="Q597" s="72">
        <v>0</v>
      </c>
      <c r="R597" s="54">
        <v>0</v>
      </c>
      <c r="S597" s="54">
        <v>3</v>
      </c>
      <c r="T597" s="53">
        <f>STOCK[[#This Row],[Costo Unitario (USD)]]+STOCK[[#This Row],[Costo Envío (USD)]]+STOCK[[#This Row],[Comisión 10%]]</f>
        <v>15.36</v>
      </c>
      <c r="U597" s="54">
        <f>STOCK[[#This Row],[Costo total]]*1.5</f>
        <v>23.04</v>
      </c>
      <c r="V597" s="54">
        <v>20</v>
      </c>
      <c r="W597" s="54">
        <f>STOCK[[#This Row],[Precio Final]]-STOCK[[#This Row],[Costo total]]</f>
        <v>4.64</v>
      </c>
      <c r="X597" s="54">
        <f>STOCK[[#This Row],[Ganancia Unitaria]]*STOCK[[#This Row],[Salidas]]</f>
        <v>4.64</v>
      </c>
      <c r="Y597" s="54" t="s">
        <v>1159</v>
      </c>
      <c r="AA597" s="54">
        <f>STOCK[[#This Row],[Costo total]]*STOCK[[#This Row],[Entradas]]</f>
        <v>15.36</v>
      </c>
      <c r="AB597" s="54">
        <f>STOCK[[#This Row],[Stock Actual]]*STOCK[[#This Row],[Costo total]]</f>
        <v>0</v>
      </c>
    </row>
    <row r="598" s="53" customFormat="1" ht="50" customHeight="1" spans="1:28">
      <c r="A598" s="53" t="s">
        <v>1208</v>
      </c>
      <c r="B598" s="66"/>
      <c r="C598" s="53" t="s">
        <v>32</v>
      </c>
      <c r="D598" s="53" t="s">
        <v>152</v>
      </c>
      <c r="E598" s="67" t="s">
        <v>1209</v>
      </c>
      <c r="F598" s="53" t="s">
        <v>62</v>
      </c>
      <c r="G598" s="53" t="s">
        <v>36</v>
      </c>
      <c r="H598" s="53">
        <f>STOCK[[#This Row],[Precio Final]]</f>
        <v>20</v>
      </c>
      <c r="I598" s="53">
        <f>STOCK[[#This Row],[Precio Venta Ideal (x1.5)]]</f>
        <v>23.04</v>
      </c>
      <c r="J598" s="71">
        <v>1</v>
      </c>
      <c r="K598" s="71">
        <f>SUMIFS(VENTAS[Cantidad],VENTAS[Código del producto Vendido],STOCK[[#This Row],[Code]])</f>
        <v>1</v>
      </c>
      <c r="L598" s="71">
        <f>STOCK[[#This Row],[Entradas]]-STOCK[[#This Row],[Salidas]]</f>
        <v>0</v>
      </c>
      <c r="M598" s="53">
        <f>STOCK[[#This Row],[Precio Final]]*10%</f>
        <v>2</v>
      </c>
      <c r="N598" s="53">
        <v>-12.06</v>
      </c>
      <c r="O598" s="53">
        <v>0</v>
      </c>
      <c r="P598" s="53">
        <v>10.36</v>
      </c>
      <c r="Q598" s="71">
        <v>0</v>
      </c>
      <c r="R598" s="53">
        <v>0</v>
      </c>
      <c r="S598" s="53">
        <v>3</v>
      </c>
      <c r="T598" s="53">
        <f>STOCK[[#This Row],[Costo Unitario (USD)]]+STOCK[[#This Row],[Costo Envío (USD)]]+STOCK[[#This Row],[Comisión 10%]]</f>
        <v>15.36</v>
      </c>
      <c r="U598" s="53">
        <f>STOCK[[#This Row],[Costo total]]*1.5</f>
        <v>23.04</v>
      </c>
      <c r="V598" s="53">
        <v>20</v>
      </c>
      <c r="W598" s="53">
        <f>STOCK[[#This Row],[Precio Final]]-STOCK[[#This Row],[Costo total]]</f>
        <v>4.64</v>
      </c>
      <c r="X598" s="53">
        <f>STOCK[[#This Row],[Ganancia Unitaria]]*STOCK[[#This Row],[Salidas]]</f>
        <v>4.64</v>
      </c>
      <c r="Y598" s="53" t="s">
        <v>1159</v>
      </c>
      <c r="AA598" s="53">
        <f>STOCK[[#This Row],[Costo total]]*STOCK[[#This Row],[Entradas]]</f>
        <v>15.36</v>
      </c>
      <c r="AB598" s="53">
        <f>STOCK[[#This Row],[Stock Actual]]*STOCK[[#This Row],[Costo total]]</f>
        <v>0</v>
      </c>
    </row>
    <row r="599" s="54" customFormat="1" ht="50" customHeight="1" spans="1:28">
      <c r="A599" s="54" t="s">
        <v>1210</v>
      </c>
      <c r="B599" s="66"/>
      <c r="C599" s="54" t="s">
        <v>32</v>
      </c>
      <c r="D599" s="54" t="s">
        <v>152</v>
      </c>
      <c r="E599" s="68" t="s">
        <v>1209</v>
      </c>
      <c r="F599" s="54" t="s">
        <v>62</v>
      </c>
      <c r="G599" s="54" t="s">
        <v>36</v>
      </c>
      <c r="H599" s="54">
        <f>STOCK[[#This Row],[Precio Final]]</f>
        <v>20</v>
      </c>
      <c r="I599" s="54">
        <f>STOCK[[#This Row],[Precio Venta Ideal (x1.5)]]</f>
        <v>23.04</v>
      </c>
      <c r="J599" s="72">
        <v>1</v>
      </c>
      <c r="K599" s="72">
        <f>SUMIFS(VENTAS[Cantidad],VENTAS[Código del producto Vendido],STOCK[[#This Row],[Code]])</f>
        <v>1</v>
      </c>
      <c r="L599" s="72">
        <f>STOCK[[#This Row],[Entradas]]-STOCK[[#This Row],[Salidas]]</f>
        <v>0</v>
      </c>
      <c r="M599" s="54">
        <f>STOCK[[#This Row],[Precio Final]]*10%</f>
        <v>2</v>
      </c>
      <c r="N599" s="54">
        <v>-12.06</v>
      </c>
      <c r="O599" s="54">
        <v>0</v>
      </c>
      <c r="P599" s="54">
        <v>10.36</v>
      </c>
      <c r="Q599" s="72">
        <v>0</v>
      </c>
      <c r="R599" s="54">
        <v>0</v>
      </c>
      <c r="S599" s="54">
        <v>3</v>
      </c>
      <c r="T599" s="53">
        <f>STOCK[[#This Row],[Costo Unitario (USD)]]+STOCK[[#This Row],[Costo Envío (USD)]]+STOCK[[#This Row],[Comisión 10%]]</f>
        <v>15.36</v>
      </c>
      <c r="U599" s="54">
        <f>STOCK[[#This Row],[Costo total]]*1.5</f>
        <v>23.04</v>
      </c>
      <c r="V599" s="54">
        <v>20</v>
      </c>
      <c r="W599" s="54">
        <f>STOCK[[#This Row],[Precio Final]]-STOCK[[#This Row],[Costo total]]</f>
        <v>4.64</v>
      </c>
      <c r="X599" s="54">
        <f>STOCK[[#This Row],[Ganancia Unitaria]]*STOCK[[#This Row],[Salidas]]</f>
        <v>4.64</v>
      </c>
      <c r="Y599" s="54" t="s">
        <v>1159</v>
      </c>
      <c r="AA599" s="54">
        <f>STOCK[[#This Row],[Costo total]]*STOCK[[#This Row],[Entradas]]</f>
        <v>15.36</v>
      </c>
      <c r="AB599" s="54">
        <f>STOCK[[#This Row],[Stock Actual]]*STOCK[[#This Row],[Costo total]]</f>
        <v>0</v>
      </c>
    </row>
    <row r="600" s="53" customFormat="1" ht="50" customHeight="1" spans="1:28">
      <c r="A600" s="53" t="s">
        <v>1211</v>
      </c>
      <c r="B600" s="66"/>
      <c r="C600" s="53" t="s">
        <v>32</v>
      </c>
      <c r="D600" s="53" t="s">
        <v>1212</v>
      </c>
      <c r="E600" s="67" t="s">
        <v>1213</v>
      </c>
      <c r="F600" s="53" t="s">
        <v>49</v>
      </c>
      <c r="G600" s="53" t="s">
        <v>36</v>
      </c>
      <c r="H600" s="53">
        <f>STOCK[[#This Row],[Precio Final]]</f>
        <v>18</v>
      </c>
      <c r="I600" s="53">
        <f>STOCK[[#This Row],[Precio Venta Ideal (x1.5)]]</f>
        <v>18.855</v>
      </c>
      <c r="J600" s="71">
        <v>3</v>
      </c>
      <c r="K600" s="71">
        <f>SUMIFS(VENTAS[Cantidad],VENTAS[Código del producto Vendido],STOCK[[#This Row],[Code]])</f>
        <v>3</v>
      </c>
      <c r="L600" s="71">
        <f>STOCK[[#This Row],[Entradas]]-STOCK[[#This Row],[Salidas]]</f>
        <v>0</v>
      </c>
      <c r="M600" s="53">
        <f>STOCK[[#This Row],[Precio Final]]*10%</f>
        <v>1.8</v>
      </c>
      <c r="N600" s="53">
        <v>0</v>
      </c>
      <c r="O600" s="53">
        <v>0</v>
      </c>
      <c r="P600" s="53">
        <v>7.77</v>
      </c>
      <c r="Q600" s="71">
        <v>0</v>
      </c>
      <c r="R600" s="53">
        <v>0</v>
      </c>
      <c r="S600" s="53">
        <v>3</v>
      </c>
      <c r="T600" s="53">
        <f>STOCK[[#This Row],[Costo Unitario (USD)]]+STOCK[[#This Row],[Costo Envío (USD)]]+STOCK[[#This Row],[Comisión 10%]]</f>
        <v>12.57</v>
      </c>
      <c r="U600" s="53">
        <f>STOCK[[#This Row],[Costo total]]*1.5</f>
        <v>18.855</v>
      </c>
      <c r="V600" s="53">
        <v>18</v>
      </c>
      <c r="W600" s="53">
        <f>STOCK[[#This Row],[Precio Final]]-STOCK[[#This Row],[Costo total]]</f>
        <v>5.43</v>
      </c>
      <c r="X600" s="53">
        <f>STOCK[[#This Row],[Ganancia Unitaria]]*STOCK[[#This Row],[Salidas]]</f>
        <v>16.29</v>
      </c>
      <c r="Y600" s="53" t="s">
        <v>1159</v>
      </c>
      <c r="AA600" s="53">
        <f>STOCK[[#This Row],[Costo total]]*STOCK[[#This Row],[Entradas]]</f>
        <v>37.71</v>
      </c>
      <c r="AB600" s="53">
        <f>STOCK[[#This Row],[Stock Actual]]*STOCK[[#This Row],[Costo total]]</f>
        <v>0</v>
      </c>
    </row>
    <row r="601" s="54" customFormat="1" ht="50" customHeight="1" spans="1:28">
      <c r="A601" s="54" t="s">
        <v>1214</v>
      </c>
      <c r="B601" s="66"/>
      <c r="C601" s="54" t="s">
        <v>32</v>
      </c>
      <c r="D601" s="54" t="s">
        <v>1212</v>
      </c>
      <c r="E601" s="68" t="s">
        <v>1213</v>
      </c>
      <c r="F601" s="54" t="s">
        <v>62</v>
      </c>
      <c r="G601" s="54" t="s">
        <v>36</v>
      </c>
      <c r="H601" s="54">
        <f>STOCK[[#This Row],[Precio Final]]</f>
        <v>18</v>
      </c>
      <c r="I601" s="54">
        <f>STOCK[[#This Row],[Precio Venta Ideal (x1.5)]]</f>
        <v>18.855</v>
      </c>
      <c r="J601" s="72">
        <v>1</v>
      </c>
      <c r="K601" s="72">
        <f>SUMIFS(VENTAS[Cantidad],VENTAS[Código del producto Vendido],STOCK[[#This Row],[Code]])</f>
        <v>1</v>
      </c>
      <c r="L601" s="72">
        <f>STOCK[[#This Row],[Entradas]]-STOCK[[#This Row],[Salidas]]</f>
        <v>0</v>
      </c>
      <c r="M601" s="54">
        <f>STOCK[[#This Row],[Precio Final]]*10%</f>
        <v>1.8</v>
      </c>
      <c r="N601" s="54">
        <v>0</v>
      </c>
      <c r="O601" s="54">
        <v>0</v>
      </c>
      <c r="P601" s="54">
        <v>7.77</v>
      </c>
      <c r="Q601" s="72">
        <v>0</v>
      </c>
      <c r="R601" s="54">
        <v>0</v>
      </c>
      <c r="S601" s="54">
        <v>3</v>
      </c>
      <c r="T601" s="53">
        <f>STOCK[[#This Row],[Costo Unitario (USD)]]+STOCK[[#This Row],[Costo Envío (USD)]]+STOCK[[#This Row],[Comisión 10%]]</f>
        <v>12.57</v>
      </c>
      <c r="U601" s="54">
        <f>STOCK[[#This Row],[Costo total]]*1.5</f>
        <v>18.855</v>
      </c>
      <c r="V601" s="54">
        <v>18</v>
      </c>
      <c r="W601" s="54">
        <f>STOCK[[#This Row],[Precio Final]]-STOCK[[#This Row],[Costo total]]</f>
        <v>5.43</v>
      </c>
      <c r="X601" s="54">
        <f>STOCK[[#This Row],[Ganancia Unitaria]]*STOCK[[#This Row],[Salidas]]</f>
        <v>5.43</v>
      </c>
      <c r="Y601" s="54" t="s">
        <v>1159</v>
      </c>
      <c r="AA601" s="54">
        <f>STOCK[[#This Row],[Costo total]]*STOCK[[#This Row],[Entradas]]</f>
        <v>12.57</v>
      </c>
      <c r="AB601" s="54">
        <f>STOCK[[#This Row],[Stock Actual]]*STOCK[[#This Row],[Costo total]]</f>
        <v>0</v>
      </c>
    </row>
    <row r="602" s="53" customFormat="1" ht="50" customHeight="1" spans="1:28">
      <c r="A602" s="53" t="s">
        <v>1215</v>
      </c>
      <c r="B602" s="66"/>
      <c r="C602" s="53" t="s">
        <v>32</v>
      </c>
      <c r="D602" s="53" t="s">
        <v>1075</v>
      </c>
      <c r="E602" s="67" t="s">
        <v>1178</v>
      </c>
      <c r="F602" s="53" t="s">
        <v>1216</v>
      </c>
      <c r="G602" s="53" t="s">
        <v>36</v>
      </c>
      <c r="H602" s="53">
        <f>STOCK[[#This Row],[Precio Final]]</f>
        <v>12</v>
      </c>
      <c r="I602" s="53">
        <f>STOCK[[#This Row],[Precio Venta Ideal (x1.5)]]</f>
        <v>16.965</v>
      </c>
      <c r="J602" s="71">
        <v>0</v>
      </c>
      <c r="K602" s="71">
        <f>SUMIFS(VENTAS[Cantidad],VENTAS[Código del producto Vendido],STOCK[[#This Row],[Code]])</f>
        <v>0</v>
      </c>
      <c r="L602" s="71">
        <f>STOCK[[#This Row],[Entradas]]-STOCK[[#This Row],[Salidas]]</f>
        <v>0</v>
      </c>
      <c r="M602" s="53">
        <f>STOCK[[#This Row],[Precio Final]]*10%</f>
        <v>1.2</v>
      </c>
      <c r="N602" s="53">
        <v>0</v>
      </c>
      <c r="O602" s="53">
        <v>0</v>
      </c>
      <c r="P602" s="53">
        <v>7.11</v>
      </c>
      <c r="Q602" s="71">
        <v>0</v>
      </c>
      <c r="R602" s="53">
        <v>0</v>
      </c>
      <c r="S602" s="53">
        <v>3</v>
      </c>
      <c r="T602" s="53">
        <f>STOCK[[#This Row],[Costo Unitario (USD)]]+STOCK[[#This Row],[Costo Envío (USD)]]+STOCK[[#This Row],[Comisión 10%]]</f>
        <v>11.31</v>
      </c>
      <c r="U602" s="53">
        <f>STOCK[[#This Row],[Costo total]]*1.5</f>
        <v>16.965</v>
      </c>
      <c r="V602" s="53">
        <v>12</v>
      </c>
      <c r="W602" s="53">
        <f>STOCK[[#This Row],[Precio Final]]-STOCK[[#This Row],[Costo total]]</f>
        <v>0.690000000000001</v>
      </c>
      <c r="X602" s="53">
        <f>STOCK[[#This Row],[Ganancia Unitaria]]*STOCK[[#This Row],[Salidas]]</f>
        <v>0</v>
      </c>
      <c r="Y602" s="53" t="s">
        <v>1159</v>
      </c>
      <c r="AA602" s="53">
        <f>STOCK[[#This Row],[Costo total]]*STOCK[[#This Row],[Entradas]]</f>
        <v>0</v>
      </c>
      <c r="AB602" s="53">
        <f>STOCK[[#This Row],[Stock Actual]]*STOCK[[#This Row],[Costo total]]</f>
        <v>0</v>
      </c>
    </row>
    <row r="603" s="54" customFormat="1" ht="50" customHeight="1" spans="1:28">
      <c r="A603" s="54" t="s">
        <v>1217</v>
      </c>
      <c r="B603" s="66"/>
      <c r="C603" s="54" t="s">
        <v>32</v>
      </c>
      <c r="D603" s="54" t="s">
        <v>1075</v>
      </c>
      <c r="E603" s="68" t="s">
        <v>1178</v>
      </c>
      <c r="F603" s="54" t="s">
        <v>46</v>
      </c>
      <c r="G603" s="54" t="s">
        <v>36</v>
      </c>
      <c r="H603" s="54">
        <f>STOCK[[#This Row],[Precio Final]]</f>
        <v>12</v>
      </c>
      <c r="I603" s="54">
        <f>STOCK[[#This Row],[Precio Venta Ideal (x1.5)]]</f>
        <v>17.325</v>
      </c>
      <c r="J603" s="72">
        <v>0</v>
      </c>
      <c r="K603" s="72">
        <f>SUMIFS(VENTAS[Cantidad],VENTAS[Código del producto Vendido],STOCK[[#This Row],[Code]])</f>
        <v>0</v>
      </c>
      <c r="L603" s="72">
        <f>STOCK[[#This Row],[Entradas]]-STOCK[[#This Row],[Salidas]]</f>
        <v>0</v>
      </c>
      <c r="M603" s="54">
        <f>STOCK[[#This Row],[Precio Final]]*10%</f>
        <v>1.2</v>
      </c>
      <c r="N603" s="54">
        <v>0</v>
      </c>
      <c r="O603" s="54">
        <v>0</v>
      </c>
      <c r="P603" s="54">
        <v>7.35</v>
      </c>
      <c r="Q603" s="72">
        <v>0</v>
      </c>
      <c r="R603" s="54">
        <v>0</v>
      </c>
      <c r="S603" s="54">
        <v>3</v>
      </c>
      <c r="T603" s="53">
        <f>STOCK[[#This Row],[Costo Unitario (USD)]]+STOCK[[#This Row],[Costo Envío (USD)]]+STOCK[[#This Row],[Comisión 10%]]</f>
        <v>11.55</v>
      </c>
      <c r="U603" s="54">
        <f>STOCK[[#This Row],[Costo total]]*1.5</f>
        <v>17.325</v>
      </c>
      <c r="V603" s="54">
        <v>12</v>
      </c>
      <c r="W603" s="54">
        <f>STOCK[[#This Row],[Precio Final]]-STOCK[[#This Row],[Costo total]]</f>
        <v>0.449999999999999</v>
      </c>
      <c r="X603" s="54">
        <f>STOCK[[#This Row],[Ganancia Unitaria]]*STOCK[[#This Row],[Salidas]]</f>
        <v>0</v>
      </c>
      <c r="Y603" s="54" t="s">
        <v>1159</v>
      </c>
      <c r="AA603" s="54">
        <f>STOCK[[#This Row],[Costo total]]*STOCK[[#This Row],[Entradas]]</f>
        <v>0</v>
      </c>
      <c r="AB603" s="54">
        <f>STOCK[[#This Row],[Stock Actual]]*STOCK[[#This Row],[Costo total]]</f>
        <v>0</v>
      </c>
    </row>
    <row r="604" s="53" customFormat="1" ht="50" customHeight="1" spans="1:28">
      <c r="A604" s="53" t="s">
        <v>1218</v>
      </c>
      <c r="B604" s="66"/>
      <c r="C604" s="53" t="s">
        <v>32</v>
      </c>
      <c r="D604" s="53" t="s">
        <v>1190</v>
      </c>
      <c r="E604" s="67" t="s">
        <v>1158</v>
      </c>
      <c r="F604" s="53" t="s">
        <v>211</v>
      </c>
      <c r="G604" s="53" t="s">
        <v>36</v>
      </c>
      <c r="H604" s="53">
        <f>STOCK[[#This Row],[Precio Final]]</f>
        <v>13</v>
      </c>
      <c r="I604" s="53">
        <f>STOCK[[#This Row],[Precio Venta Ideal (x1.5)]]</f>
        <v>14.745</v>
      </c>
      <c r="J604" s="71">
        <v>2</v>
      </c>
      <c r="K604" s="71">
        <f>SUMIFS(VENTAS[Cantidad],VENTAS[Código del producto Vendido],STOCK[[#This Row],[Code]])</f>
        <v>2</v>
      </c>
      <c r="L604" s="71">
        <f>STOCK[[#This Row],[Entradas]]-STOCK[[#This Row],[Salidas]]</f>
        <v>0</v>
      </c>
      <c r="M604" s="53">
        <f>STOCK[[#This Row],[Precio Final]]*10%</f>
        <v>1.3</v>
      </c>
      <c r="N604" s="53">
        <v>5.75</v>
      </c>
      <c r="O604" s="53">
        <v>0</v>
      </c>
      <c r="P604" s="53">
        <v>6.53</v>
      </c>
      <c r="Q604" s="71">
        <v>0</v>
      </c>
      <c r="R604" s="53">
        <v>0</v>
      </c>
      <c r="S604" s="53">
        <v>2</v>
      </c>
      <c r="T604" s="53">
        <f>STOCK[[#This Row],[Costo Unitario (USD)]]+STOCK[[#This Row],[Costo Envío (USD)]]+STOCK[[#This Row],[Comisión 10%]]</f>
        <v>9.83</v>
      </c>
      <c r="U604" s="53">
        <f>STOCK[[#This Row],[Costo total]]*1.5</f>
        <v>14.745</v>
      </c>
      <c r="V604" s="53">
        <v>13</v>
      </c>
      <c r="W604" s="53">
        <f>STOCK[[#This Row],[Precio Final]]-STOCK[[#This Row],[Costo total]]</f>
        <v>3.17</v>
      </c>
      <c r="X604" s="53">
        <f>STOCK[[#This Row],[Ganancia Unitaria]]*STOCK[[#This Row],[Salidas]]</f>
        <v>6.34</v>
      </c>
      <c r="Y604" s="53" t="s">
        <v>1159</v>
      </c>
      <c r="AA604" s="53">
        <f>STOCK[[#This Row],[Costo total]]*STOCK[[#This Row],[Entradas]]</f>
        <v>19.66</v>
      </c>
      <c r="AB604" s="53">
        <f>STOCK[[#This Row],[Stock Actual]]*STOCK[[#This Row],[Costo total]]</f>
        <v>0</v>
      </c>
    </row>
    <row r="605" s="54" customFormat="1" ht="50" customHeight="1" spans="1:28">
      <c r="A605" s="54" t="s">
        <v>1219</v>
      </c>
      <c r="B605" s="66"/>
      <c r="C605" s="54" t="s">
        <v>32</v>
      </c>
      <c r="D605" s="54" t="s">
        <v>1075</v>
      </c>
      <c r="E605" s="68" t="s">
        <v>1220</v>
      </c>
      <c r="G605" s="54" t="s">
        <v>36</v>
      </c>
      <c r="H605" s="54">
        <f>STOCK[[#This Row],[Precio Final]]</f>
        <v>13</v>
      </c>
      <c r="I605" s="54">
        <f>STOCK[[#This Row],[Precio Venta Ideal (x1.5)]]</f>
        <v>14.745</v>
      </c>
      <c r="J605" s="72">
        <v>0</v>
      </c>
      <c r="K605" s="72">
        <f>SUMIFS(VENTAS[Cantidad],VENTAS[Código del producto Vendido],STOCK[[#This Row],[Code]])</f>
        <v>0</v>
      </c>
      <c r="L605" s="72">
        <f>STOCK[[#This Row],[Entradas]]-STOCK[[#This Row],[Salidas]]</f>
        <v>0</v>
      </c>
      <c r="M605" s="54">
        <f>STOCK[[#This Row],[Precio Final]]*10%</f>
        <v>1.3</v>
      </c>
      <c r="N605" s="54">
        <v>0</v>
      </c>
      <c r="O605" s="54">
        <v>0</v>
      </c>
      <c r="P605" s="54">
        <v>6.53</v>
      </c>
      <c r="Q605" s="72">
        <v>0</v>
      </c>
      <c r="R605" s="54">
        <v>0</v>
      </c>
      <c r="S605" s="54">
        <v>2</v>
      </c>
      <c r="T605" s="53">
        <f>STOCK[[#This Row],[Costo Unitario (USD)]]+STOCK[[#This Row],[Costo Envío (USD)]]+STOCK[[#This Row],[Comisión 10%]]</f>
        <v>9.83</v>
      </c>
      <c r="U605" s="54">
        <f>STOCK[[#This Row],[Costo total]]*1.5</f>
        <v>14.745</v>
      </c>
      <c r="V605" s="54">
        <v>13</v>
      </c>
      <c r="W605" s="54">
        <f>STOCK[[#This Row],[Precio Final]]-STOCK[[#This Row],[Costo total]]</f>
        <v>3.17</v>
      </c>
      <c r="X605" s="54">
        <f>STOCK[[#This Row],[Ganancia Unitaria]]*STOCK[[#This Row],[Salidas]]</f>
        <v>0</v>
      </c>
      <c r="Y605" s="54" t="s">
        <v>1159</v>
      </c>
      <c r="AA605" s="54">
        <f>STOCK[[#This Row],[Costo total]]*STOCK[[#This Row],[Entradas]]</f>
        <v>0</v>
      </c>
      <c r="AB605" s="54">
        <f>STOCK[[#This Row],[Stock Actual]]*STOCK[[#This Row],[Costo total]]</f>
        <v>0</v>
      </c>
    </row>
    <row r="606" s="53" customFormat="1" ht="50" customHeight="1" spans="1:28">
      <c r="A606" s="53" t="s">
        <v>1221</v>
      </c>
      <c r="B606" s="66"/>
      <c r="C606" s="53" t="s">
        <v>32</v>
      </c>
      <c r="D606" s="53" t="s">
        <v>1075</v>
      </c>
      <c r="E606" s="67" t="s">
        <v>1222</v>
      </c>
      <c r="G606" s="53" t="s">
        <v>36</v>
      </c>
      <c r="H606" s="53">
        <f>STOCK[[#This Row],[Precio Final]]</f>
        <v>0</v>
      </c>
      <c r="I606" s="53">
        <f>STOCK[[#This Row],[Precio Venta Ideal (x1.5)]]</f>
        <v>0</v>
      </c>
      <c r="J606" s="71">
        <v>0</v>
      </c>
      <c r="K606" s="71">
        <f>SUMIFS(VENTAS[Cantidad],VENTAS[Código del producto Vendido],STOCK[[#This Row],[Code]])</f>
        <v>0</v>
      </c>
      <c r="L606" s="71">
        <f>STOCK[[#This Row],[Entradas]]-STOCK[[#This Row],[Salidas]]</f>
        <v>0</v>
      </c>
      <c r="M606" s="53">
        <f>STOCK[[#This Row],[Precio Final]]*10%</f>
        <v>0</v>
      </c>
      <c r="N606" s="53">
        <v>0</v>
      </c>
      <c r="O606" s="53">
        <v>0</v>
      </c>
      <c r="P606" s="53">
        <v>0</v>
      </c>
      <c r="Q606" s="71">
        <v>0</v>
      </c>
      <c r="R606" s="53">
        <v>0</v>
      </c>
      <c r="S606" s="53">
        <v>0</v>
      </c>
      <c r="T606" s="53">
        <f>STOCK[[#This Row],[Costo Unitario (USD)]]+STOCK[[#This Row],[Costo Envío (USD)]]+STOCK[[#This Row],[Comisión 10%]]</f>
        <v>0</v>
      </c>
      <c r="U606" s="53">
        <f>STOCK[[#This Row],[Costo total]]*1.5</f>
        <v>0</v>
      </c>
      <c r="V606" s="53">
        <v>0</v>
      </c>
      <c r="W606" s="53">
        <f>STOCK[[#This Row],[Precio Final]]-STOCK[[#This Row],[Costo total]]</f>
        <v>0</v>
      </c>
      <c r="X606" s="53">
        <f>STOCK[[#This Row],[Ganancia Unitaria]]*STOCK[[#This Row],[Salidas]]</f>
        <v>0</v>
      </c>
      <c r="Y606" s="53" t="s">
        <v>1159</v>
      </c>
      <c r="AA606" s="53">
        <f>STOCK[[#This Row],[Costo total]]*STOCK[[#This Row],[Entradas]]</f>
        <v>0</v>
      </c>
      <c r="AB606" s="53">
        <f>STOCK[[#This Row],[Stock Actual]]*STOCK[[#This Row],[Costo total]]</f>
        <v>0</v>
      </c>
    </row>
    <row r="607" s="54" customFormat="1" ht="50" customHeight="1" spans="1:28">
      <c r="A607" s="54" t="s">
        <v>1223</v>
      </c>
      <c r="B607" s="66"/>
      <c r="C607" s="54" t="s">
        <v>32</v>
      </c>
      <c r="D607" s="54" t="s">
        <v>1075</v>
      </c>
      <c r="E607" s="68" t="s">
        <v>1224</v>
      </c>
      <c r="G607" s="54" t="s">
        <v>36</v>
      </c>
      <c r="H607" s="54">
        <f>STOCK[[#This Row],[Precio Final]]</f>
        <v>0</v>
      </c>
      <c r="I607" s="54">
        <f>STOCK[[#This Row],[Precio Venta Ideal (x1.5)]]</f>
        <v>0</v>
      </c>
      <c r="J607" s="72">
        <v>0</v>
      </c>
      <c r="K607" s="72">
        <f>SUMIFS(VENTAS[Cantidad],VENTAS[Código del producto Vendido],STOCK[[#This Row],[Code]])</f>
        <v>0</v>
      </c>
      <c r="L607" s="72">
        <f>STOCK[[#This Row],[Entradas]]-STOCK[[#This Row],[Salidas]]</f>
        <v>0</v>
      </c>
      <c r="M607" s="54">
        <f>STOCK[[#This Row],[Precio Final]]*10%</f>
        <v>0</v>
      </c>
      <c r="N607" s="54">
        <v>0</v>
      </c>
      <c r="O607" s="54">
        <v>0</v>
      </c>
      <c r="P607" s="54">
        <v>0</v>
      </c>
      <c r="Q607" s="72">
        <v>0</v>
      </c>
      <c r="R607" s="54">
        <v>0</v>
      </c>
      <c r="S607" s="54">
        <v>0</v>
      </c>
      <c r="T607" s="53">
        <f>STOCK[[#This Row],[Costo Unitario (USD)]]+STOCK[[#This Row],[Costo Envío (USD)]]+STOCK[[#This Row],[Comisión 10%]]</f>
        <v>0</v>
      </c>
      <c r="U607" s="54">
        <f>STOCK[[#This Row],[Costo total]]*1.5</f>
        <v>0</v>
      </c>
      <c r="V607" s="54">
        <v>0</v>
      </c>
      <c r="W607" s="54">
        <f>STOCK[[#This Row],[Precio Final]]-STOCK[[#This Row],[Costo total]]</f>
        <v>0</v>
      </c>
      <c r="X607" s="54">
        <f>STOCK[[#This Row],[Ganancia Unitaria]]*STOCK[[#This Row],[Salidas]]</f>
        <v>0</v>
      </c>
      <c r="Y607" s="54" t="s">
        <v>1159</v>
      </c>
      <c r="AA607" s="54">
        <f>STOCK[[#This Row],[Costo total]]*STOCK[[#This Row],[Entradas]]</f>
        <v>0</v>
      </c>
      <c r="AB607" s="54">
        <f>STOCK[[#This Row],[Stock Actual]]*STOCK[[#This Row],[Costo total]]</f>
        <v>0</v>
      </c>
    </row>
    <row r="608" s="53" customFormat="1" ht="50" customHeight="1" spans="1:28">
      <c r="A608" s="53" t="s">
        <v>1225</v>
      </c>
      <c r="B608" s="66"/>
      <c r="C608" s="53" t="s">
        <v>32</v>
      </c>
      <c r="D608" s="53" t="s">
        <v>1226</v>
      </c>
      <c r="E608" s="67" t="s">
        <v>1227</v>
      </c>
      <c r="F608" s="53" t="s">
        <v>1228</v>
      </c>
      <c r="G608" s="53" t="s">
        <v>36</v>
      </c>
      <c r="H608" s="53">
        <f>STOCK[[#This Row],[Precio Final]]</f>
        <v>55</v>
      </c>
      <c r="I608" s="53">
        <f>STOCK[[#This Row],[Precio Venta Ideal (x1.5)]]</f>
        <v>70.995</v>
      </c>
      <c r="J608" s="71">
        <v>1</v>
      </c>
      <c r="K608" s="71">
        <f>SUMIFS(VENTAS[Cantidad],VENTAS[Código del producto Vendido],STOCK[[#This Row],[Code]])</f>
        <v>1</v>
      </c>
      <c r="L608" s="71">
        <f>STOCK[[#This Row],[Entradas]]-STOCK[[#This Row],[Salidas]]</f>
        <v>0</v>
      </c>
      <c r="M608" s="53">
        <f>STOCK[[#This Row],[Precio Final]]*10%</f>
        <v>5.5</v>
      </c>
      <c r="N608" s="53">
        <v>0</v>
      </c>
      <c r="O608" s="53">
        <v>0</v>
      </c>
      <c r="P608" s="53">
        <v>31.83</v>
      </c>
      <c r="Q608" s="71">
        <v>0</v>
      </c>
      <c r="R608" s="53">
        <v>0</v>
      </c>
      <c r="S608" s="53">
        <v>10</v>
      </c>
      <c r="T608" s="53">
        <f>STOCK[[#This Row],[Costo Unitario (USD)]]+STOCK[[#This Row],[Costo Envío (USD)]]+STOCK[[#This Row],[Comisión 10%]]</f>
        <v>47.33</v>
      </c>
      <c r="U608" s="53">
        <f>STOCK[[#This Row],[Costo total]]*1.5</f>
        <v>70.995</v>
      </c>
      <c r="V608" s="53">
        <v>55</v>
      </c>
      <c r="W608" s="53">
        <f>STOCK[[#This Row],[Precio Final]]-STOCK[[#This Row],[Costo total]]</f>
        <v>7.67</v>
      </c>
      <c r="X608" s="53">
        <f>STOCK[[#This Row],[Ganancia Unitaria]]*STOCK[[#This Row],[Salidas]]</f>
        <v>7.67</v>
      </c>
      <c r="Y608" s="53" t="s">
        <v>1159</v>
      </c>
      <c r="AA608" s="53">
        <f>STOCK[[#This Row],[Costo total]]*STOCK[[#This Row],[Entradas]]</f>
        <v>47.33</v>
      </c>
      <c r="AB608" s="53">
        <f>STOCK[[#This Row],[Stock Actual]]*STOCK[[#This Row],[Costo total]]</f>
        <v>0</v>
      </c>
    </row>
    <row r="609" s="54" customFormat="1" ht="50" customHeight="1" spans="1:28">
      <c r="A609" s="54" t="s">
        <v>1229</v>
      </c>
      <c r="B609" s="66"/>
      <c r="C609" s="54" t="s">
        <v>32</v>
      </c>
      <c r="D609" s="54" t="s">
        <v>1075</v>
      </c>
      <c r="E609" s="68" t="s">
        <v>1230</v>
      </c>
      <c r="G609" s="54" t="s">
        <v>36</v>
      </c>
      <c r="H609" s="54">
        <f>STOCK[[#This Row],[Precio Final]]</f>
        <v>0</v>
      </c>
      <c r="I609" s="54">
        <f>STOCK[[#This Row],[Precio Venta Ideal (x1.5)]]</f>
        <v>0</v>
      </c>
      <c r="J609" s="72">
        <v>0</v>
      </c>
      <c r="K609" s="72">
        <f>SUMIFS(VENTAS[Cantidad],VENTAS[Código del producto Vendido],STOCK[[#This Row],[Code]])</f>
        <v>0</v>
      </c>
      <c r="L609" s="72">
        <f>STOCK[[#This Row],[Entradas]]-STOCK[[#This Row],[Salidas]]</f>
        <v>0</v>
      </c>
      <c r="M609" s="54">
        <f>STOCK[[#This Row],[Precio Final]]*10%</f>
        <v>0</v>
      </c>
      <c r="N609" s="54">
        <v>0</v>
      </c>
      <c r="O609" s="54">
        <v>0</v>
      </c>
      <c r="P609" s="54">
        <v>0</v>
      </c>
      <c r="Q609" s="72">
        <v>0</v>
      </c>
      <c r="R609" s="54">
        <v>0</v>
      </c>
      <c r="S609" s="54">
        <v>0</v>
      </c>
      <c r="T609" s="53">
        <f>STOCK[[#This Row],[Costo Unitario (USD)]]+STOCK[[#This Row],[Costo Envío (USD)]]+STOCK[[#This Row],[Comisión 10%]]</f>
        <v>0</v>
      </c>
      <c r="U609" s="54">
        <f>STOCK[[#This Row],[Costo total]]*1.5</f>
        <v>0</v>
      </c>
      <c r="V609" s="54">
        <v>0</v>
      </c>
      <c r="W609" s="54">
        <f>STOCK[[#This Row],[Precio Final]]-STOCK[[#This Row],[Costo total]]</f>
        <v>0</v>
      </c>
      <c r="X609" s="54">
        <f>STOCK[[#This Row],[Ganancia Unitaria]]*STOCK[[#This Row],[Salidas]]</f>
        <v>0</v>
      </c>
      <c r="Y609" s="54" t="s">
        <v>1159</v>
      </c>
      <c r="AA609" s="54">
        <f>STOCK[[#This Row],[Costo total]]*STOCK[[#This Row],[Entradas]]</f>
        <v>0</v>
      </c>
      <c r="AB609" s="54">
        <f>STOCK[[#This Row],[Stock Actual]]*STOCK[[#This Row],[Costo total]]</f>
        <v>0</v>
      </c>
    </row>
    <row r="610" s="53" customFormat="1" ht="50" customHeight="1" spans="1:28">
      <c r="A610" s="53" t="s">
        <v>1231</v>
      </c>
      <c r="B610" s="66"/>
      <c r="C610" s="53" t="s">
        <v>32</v>
      </c>
      <c r="E610" s="67" t="s">
        <v>1232</v>
      </c>
      <c r="F610" s="53" t="s">
        <v>1047</v>
      </c>
      <c r="G610" s="53" t="s">
        <v>36</v>
      </c>
      <c r="H610" s="53">
        <f>STOCK[[#This Row],[Precio Final]]</f>
        <v>0</v>
      </c>
      <c r="I610" s="53">
        <f>STOCK[[#This Row],[Precio Venta Ideal (x1.5)]]</f>
        <v>0</v>
      </c>
      <c r="J610" s="71">
        <v>0</v>
      </c>
      <c r="K610" s="71">
        <f>SUMIFS(VENTAS[Cantidad],VENTAS[Código del producto Vendido],STOCK[[#This Row],[Code]])</f>
        <v>0</v>
      </c>
      <c r="L610" s="71">
        <f>STOCK[[#This Row],[Entradas]]-STOCK[[#This Row],[Salidas]]</f>
        <v>0</v>
      </c>
      <c r="M610" s="53">
        <f>STOCK[[#This Row],[Precio Final]]*10%</f>
        <v>0</v>
      </c>
      <c r="N610" s="53">
        <v>0</v>
      </c>
      <c r="O610" s="53">
        <v>0</v>
      </c>
      <c r="P610" s="53">
        <v>0</v>
      </c>
      <c r="Q610" s="71">
        <v>0</v>
      </c>
      <c r="R610" s="53">
        <v>0</v>
      </c>
      <c r="S610" s="53">
        <v>0</v>
      </c>
      <c r="T610" s="53">
        <f>STOCK[[#This Row],[Costo Unitario (USD)]]+STOCK[[#This Row],[Costo Envío (USD)]]+STOCK[[#This Row],[Comisión 10%]]</f>
        <v>0</v>
      </c>
      <c r="U610" s="53">
        <f>STOCK[[#This Row],[Costo total]]*1.5</f>
        <v>0</v>
      </c>
      <c r="V610" s="53">
        <v>0</v>
      </c>
      <c r="W610" s="53">
        <f>STOCK[[#This Row],[Precio Final]]-STOCK[[#This Row],[Costo total]]</f>
        <v>0</v>
      </c>
      <c r="X610" s="53">
        <f>STOCK[[#This Row],[Ganancia Unitaria]]*STOCK[[#This Row],[Salidas]]</f>
        <v>0</v>
      </c>
      <c r="Y610" s="53" t="s">
        <v>1159</v>
      </c>
      <c r="AA610" s="53">
        <f>STOCK[[#This Row],[Costo total]]*STOCK[[#This Row],[Entradas]]</f>
        <v>0</v>
      </c>
      <c r="AB610" s="53">
        <f>STOCK[[#This Row],[Stock Actual]]*STOCK[[#This Row],[Costo total]]</f>
        <v>0</v>
      </c>
    </row>
    <row r="611" s="54" customFormat="1" ht="50" customHeight="1" spans="1:28">
      <c r="A611" s="54" t="s">
        <v>1233</v>
      </c>
      <c r="B611" s="66"/>
      <c r="C611" s="54" t="s">
        <v>32</v>
      </c>
      <c r="D611" s="54" t="s">
        <v>152</v>
      </c>
      <c r="E611" s="68" t="s">
        <v>1234</v>
      </c>
      <c r="F611" s="54" t="s">
        <v>211</v>
      </c>
      <c r="G611" s="54" t="s">
        <v>36</v>
      </c>
      <c r="H611" s="54">
        <f>STOCK[[#This Row],[Precio Final]]</f>
        <v>22</v>
      </c>
      <c r="I611" s="54">
        <f>STOCK[[#This Row],[Precio Venta Ideal (x1.5)]]</f>
        <v>24.855</v>
      </c>
      <c r="J611" s="72">
        <v>4</v>
      </c>
      <c r="K611" s="72">
        <f>SUMIFS(VENTAS[Cantidad],VENTAS[Código del producto Vendido],STOCK[[#This Row],[Code]])</f>
        <v>4</v>
      </c>
      <c r="L611" s="72">
        <f>STOCK[[#This Row],[Entradas]]-STOCK[[#This Row],[Salidas]]</f>
        <v>0</v>
      </c>
      <c r="M611" s="54">
        <f>STOCK[[#This Row],[Precio Final]]*10%</f>
        <v>2.2</v>
      </c>
      <c r="N611" s="54">
        <v>-27.89</v>
      </c>
      <c r="O611" s="54">
        <v>13.94</v>
      </c>
      <c r="P611" s="54">
        <v>11.37</v>
      </c>
      <c r="Q611" s="72">
        <v>0</v>
      </c>
      <c r="R611" s="54">
        <v>0</v>
      </c>
      <c r="S611" s="54">
        <v>3</v>
      </c>
      <c r="T611" s="53">
        <f>STOCK[[#This Row],[Costo Unitario (USD)]]+STOCK[[#This Row],[Costo Envío (USD)]]+STOCK[[#This Row],[Comisión 10%]]</f>
        <v>16.57</v>
      </c>
      <c r="U611" s="54">
        <f>STOCK[[#This Row],[Costo total]]*1.5</f>
        <v>24.855</v>
      </c>
      <c r="V611" s="54">
        <v>22</v>
      </c>
      <c r="W611" s="54">
        <f>STOCK[[#This Row],[Precio Final]]-STOCK[[#This Row],[Costo total]]</f>
        <v>5.43</v>
      </c>
      <c r="X611" s="54">
        <f>STOCK[[#This Row],[Ganancia Unitaria]]*STOCK[[#This Row],[Salidas]]</f>
        <v>21.72</v>
      </c>
      <c r="Y611" s="54" t="s">
        <v>1159</v>
      </c>
      <c r="AA611" s="54">
        <f>STOCK[[#This Row],[Costo total]]*STOCK[[#This Row],[Entradas]]</f>
        <v>66.28</v>
      </c>
      <c r="AB611" s="54">
        <f>STOCK[[#This Row],[Stock Actual]]*STOCK[[#This Row],[Costo total]]</f>
        <v>0</v>
      </c>
    </row>
    <row r="612" s="53" customFormat="1" ht="50" customHeight="1" spans="1:28">
      <c r="A612" s="53" t="s">
        <v>1235</v>
      </c>
      <c r="B612" s="66"/>
      <c r="C612" s="53" t="s">
        <v>32</v>
      </c>
      <c r="D612" s="53" t="s">
        <v>152</v>
      </c>
      <c r="E612" s="67" t="s">
        <v>1236</v>
      </c>
      <c r="F612" s="53" t="s">
        <v>46</v>
      </c>
      <c r="G612" s="53" t="s">
        <v>36</v>
      </c>
      <c r="H612" s="53">
        <f>STOCK[[#This Row],[Precio Final]]</f>
        <v>22</v>
      </c>
      <c r="I612" s="53">
        <f>STOCK[[#This Row],[Precio Venta Ideal (x1.5)]]</f>
        <v>24.855</v>
      </c>
      <c r="J612" s="71">
        <v>3</v>
      </c>
      <c r="K612" s="71">
        <f>SUMIFS(VENTAS[Cantidad],VENTAS[Código del producto Vendido],STOCK[[#This Row],[Code]])</f>
        <v>3</v>
      </c>
      <c r="L612" s="71">
        <f>STOCK[[#This Row],[Entradas]]-STOCK[[#This Row],[Salidas]]</f>
        <v>0</v>
      </c>
      <c r="M612" s="53">
        <f>STOCK[[#This Row],[Precio Final]]*10%</f>
        <v>2.2</v>
      </c>
      <c r="N612" s="53">
        <v>0</v>
      </c>
      <c r="O612" s="53">
        <v>41.83</v>
      </c>
      <c r="P612" s="53">
        <v>11.37</v>
      </c>
      <c r="Q612" s="71">
        <v>0</v>
      </c>
      <c r="R612" s="53">
        <v>0</v>
      </c>
      <c r="S612" s="53">
        <v>3</v>
      </c>
      <c r="T612" s="53">
        <f>STOCK[[#This Row],[Costo Unitario (USD)]]+STOCK[[#This Row],[Costo Envío (USD)]]+STOCK[[#This Row],[Comisión 10%]]</f>
        <v>16.57</v>
      </c>
      <c r="U612" s="53">
        <f>STOCK[[#This Row],[Costo total]]*1.5</f>
        <v>24.855</v>
      </c>
      <c r="V612" s="53">
        <v>22</v>
      </c>
      <c r="W612" s="53">
        <f>STOCK[[#This Row],[Precio Final]]-STOCK[[#This Row],[Costo total]]</f>
        <v>5.43</v>
      </c>
      <c r="X612" s="53">
        <f>STOCK[[#This Row],[Ganancia Unitaria]]*STOCK[[#This Row],[Salidas]]</f>
        <v>16.29</v>
      </c>
      <c r="Y612" s="53" t="s">
        <v>1159</v>
      </c>
      <c r="AA612" s="53">
        <f>STOCK[[#This Row],[Costo total]]*STOCK[[#This Row],[Entradas]]</f>
        <v>49.71</v>
      </c>
      <c r="AB612" s="53">
        <f>STOCK[[#This Row],[Stock Actual]]*STOCK[[#This Row],[Costo total]]</f>
        <v>0</v>
      </c>
    </row>
    <row r="613" s="54" customFormat="1" ht="50" customHeight="1" spans="1:28">
      <c r="A613" s="54" t="s">
        <v>1237</v>
      </c>
      <c r="B613" s="66"/>
      <c r="C613" s="54" t="s">
        <v>32</v>
      </c>
      <c r="D613" s="54" t="s">
        <v>1238</v>
      </c>
      <c r="E613" s="68" t="s">
        <v>1239</v>
      </c>
      <c r="F613" s="54" t="s">
        <v>1240</v>
      </c>
      <c r="G613" s="54" t="s">
        <v>36</v>
      </c>
      <c r="H613" s="54">
        <f>STOCK[[#This Row],[Precio Final]]</f>
        <v>10</v>
      </c>
      <c r="I613" s="54">
        <f>STOCK[[#This Row],[Precio Venta Ideal (x1.5)]]</f>
        <v>9.255</v>
      </c>
      <c r="J613" s="72">
        <v>3</v>
      </c>
      <c r="K613" s="72">
        <f>SUMIFS(VENTAS[Cantidad],VENTAS[Código del producto Vendido],STOCK[[#This Row],[Code]])</f>
        <v>3</v>
      </c>
      <c r="L613" s="72">
        <f>STOCK[[#This Row],[Entradas]]-STOCK[[#This Row],[Salidas]]</f>
        <v>0</v>
      </c>
      <c r="M613" s="54">
        <f>STOCK[[#This Row],[Precio Final]]*10%</f>
        <v>1</v>
      </c>
      <c r="N613" s="54">
        <v>-5.88</v>
      </c>
      <c r="O613" s="54">
        <v>11.76</v>
      </c>
      <c r="P613" s="54">
        <v>4.17</v>
      </c>
      <c r="Q613" s="72">
        <v>0</v>
      </c>
      <c r="R613" s="54">
        <v>0</v>
      </c>
      <c r="S613" s="54">
        <v>1</v>
      </c>
      <c r="T613" s="53">
        <f>STOCK[[#This Row],[Costo Unitario (USD)]]+STOCK[[#This Row],[Costo Envío (USD)]]+STOCK[[#This Row],[Comisión 10%]]</f>
        <v>6.17</v>
      </c>
      <c r="U613" s="54">
        <f>STOCK[[#This Row],[Costo total]]*1.5</f>
        <v>9.255</v>
      </c>
      <c r="V613" s="54">
        <v>10</v>
      </c>
      <c r="W613" s="54">
        <f>STOCK[[#This Row],[Precio Final]]-STOCK[[#This Row],[Costo total]]</f>
        <v>3.83</v>
      </c>
      <c r="X613" s="54">
        <f>STOCK[[#This Row],[Ganancia Unitaria]]*STOCK[[#This Row],[Salidas]]</f>
        <v>11.49</v>
      </c>
      <c r="Y613" s="54" t="s">
        <v>1159</v>
      </c>
      <c r="AA613" s="54">
        <f>STOCK[[#This Row],[Costo total]]*STOCK[[#This Row],[Entradas]]</f>
        <v>18.51</v>
      </c>
      <c r="AB613" s="54">
        <f>STOCK[[#This Row],[Stock Actual]]*STOCK[[#This Row],[Costo total]]</f>
        <v>0</v>
      </c>
    </row>
    <row r="614" s="53" customFormat="1" ht="50" customHeight="1" spans="1:28">
      <c r="A614" s="53" t="s">
        <v>1241</v>
      </c>
      <c r="B614" s="66"/>
      <c r="C614" s="53" t="s">
        <v>32</v>
      </c>
      <c r="D614" s="53" t="s">
        <v>351</v>
      </c>
      <c r="E614" s="67" t="s">
        <v>1242</v>
      </c>
      <c r="F614" s="53" t="s">
        <v>525</v>
      </c>
      <c r="G614" s="53" t="s">
        <v>36</v>
      </c>
      <c r="H614" s="53">
        <f>STOCK[[#This Row],[Precio Final]]</f>
        <v>12</v>
      </c>
      <c r="I614" s="53">
        <f>STOCK[[#This Row],[Precio Venta Ideal (x1.5)]]</f>
        <v>8.715</v>
      </c>
      <c r="J614" s="71">
        <v>3</v>
      </c>
      <c r="K614" s="71">
        <f>SUMIFS(VENTAS[Cantidad],VENTAS[Código del producto Vendido],STOCK[[#This Row],[Code]])</f>
        <v>3</v>
      </c>
      <c r="L614" s="71">
        <f>STOCK[[#This Row],[Entradas]]-STOCK[[#This Row],[Salidas]]</f>
        <v>0</v>
      </c>
      <c r="M614" s="53">
        <f>STOCK[[#This Row],[Precio Final]]*10%</f>
        <v>1.2</v>
      </c>
      <c r="N614" s="53">
        <v>-16.01</v>
      </c>
      <c r="O614" s="53">
        <v>0</v>
      </c>
      <c r="P614" s="53">
        <v>3.61</v>
      </c>
      <c r="Q614" s="71">
        <v>0</v>
      </c>
      <c r="R614" s="53">
        <v>0</v>
      </c>
      <c r="S614" s="53">
        <v>1</v>
      </c>
      <c r="T614" s="53">
        <f>STOCK[[#This Row],[Costo Unitario (USD)]]+STOCK[[#This Row],[Costo Envío (USD)]]+STOCK[[#This Row],[Comisión 10%]]</f>
        <v>5.81</v>
      </c>
      <c r="U614" s="53">
        <f>STOCK[[#This Row],[Costo total]]*1.5</f>
        <v>8.715</v>
      </c>
      <c r="V614" s="53">
        <v>12</v>
      </c>
      <c r="W614" s="53">
        <f>STOCK[[#This Row],[Precio Final]]-STOCK[[#This Row],[Costo total]]</f>
        <v>6.19</v>
      </c>
      <c r="X614" s="53">
        <f>STOCK[[#This Row],[Ganancia Unitaria]]*STOCK[[#This Row],[Salidas]]</f>
        <v>18.57</v>
      </c>
      <c r="Y614" s="53" t="s">
        <v>1159</v>
      </c>
      <c r="AA614" s="53">
        <f>STOCK[[#This Row],[Costo total]]*STOCK[[#This Row],[Entradas]]</f>
        <v>17.43</v>
      </c>
      <c r="AB614" s="53">
        <f>STOCK[[#This Row],[Stock Actual]]*STOCK[[#This Row],[Costo total]]</f>
        <v>0</v>
      </c>
    </row>
    <row r="615" s="54" customFormat="1" ht="50" customHeight="1" spans="1:28">
      <c r="A615" s="54" t="s">
        <v>1243</v>
      </c>
      <c r="B615" s="66"/>
      <c r="C615" s="54" t="s">
        <v>32</v>
      </c>
      <c r="D615" s="54" t="s">
        <v>351</v>
      </c>
      <c r="E615" s="68" t="s">
        <v>1239</v>
      </c>
      <c r="F615" s="54" t="s">
        <v>525</v>
      </c>
      <c r="G615" s="54" t="s">
        <v>36</v>
      </c>
      <c r="H615" s="54">
        <f>STOCK[[#This Row],[Precio Final]]</f>
        <v>10</v>
      </c>
      <c r="I615" s="54">
        <f>STOCK[[#This Row],[Precio Venta Ideal (x1.5)]]</f>
        <v>7.635</v>
      </c>
      <c r="J615" s="72">
        <v>4</v>
      </c>
      <c r="K615" s="72">
        <f>SUMIFS(VENTAS[Cantidad],VENTAS[Código del producto Vendido],STOCK[[#This Row],[Code]])</f>
        <v>2</v>
      </c>
      <c r="L615" s="72">
        <f>STOCK[[#This Row],[Entradas]]-STOCK[[#This Row],[Salidas]]</f>
        <v>2</v>
      </c>
      <c r="M615" s="54">
        <f>STOCK[[#This Row],[Precio Final]]*10%</f>
        <v>1</v>
      </c>
      <c r="N615" s="54">
        <v>-4.79</v>
      </c>
      <c r="O615" s="54">
        <v>14.37</v>
      </c>
      <c r="P615" s="54">
        <v>3.09</v>
      </c>
      <c r="Q615" s="72">
        <v>0</v>
      </c>
      <c r="R615" s="54">
        <v>0</v>
      </c>
      <c r="S615" s="54">
        <v>1</v>
      </c>
      <c r="T615" s="53">
        <f>STOCK[[#This Row],[Costo Unitario (USD)]]+STOCK[[#This Row],[Costo Envío (USD)]]+STOCK[[#This Row],[Comisión 10%]]</f>
        <v>5.09</v>
      </c>
      <c r="U615" s="54">
        <f>STOCK[[#This Row],[Costo total]]*1.5</f>
        <v>7.635</v>
      </c>
      <c r="V615" s="54">
        <v>10</v>
      </c>
      <c r="W615" s="54">
        <f>STOCK[[#This Row],[Precio Final]]-STOCK[[#This Row],[Costo total]]</f>
        <v>4.91</v>
      </c>
      <c r="X615" s="54">
        <f>STOCK[[#This Row],[Ganancia Unitaria]]*STOCK[[#This Row],[Salidas]]</f>
        <v>9.82</v>
      </c>
      <c r="Y615" s="54" t="s">
        <v>1159</v>
      </c>
      <c r="AA615" s="54">
        <f>STOCK[[#This Row],[Costo total]]*STOCK[[#This Row],[Entradas]]</f>
        <v>20.36</v>
      </c>
      <c r="AB615" s="54">
        <f>STOCK[[#This Row],[Stock Actual]]*STOCK[[#This Row],[Costo total]]</f>
        <v>10.18</v>
      </c>
    </row>
    <row r="616" s="53" customFormat="1" ht="50" customHeight="1" spans="1:28">
      <c r="A616" s="53" t="s">
        <v>1244</v>
      </c>
      <c r="B616" s="66"/>
      <c r="C616" s="53" t="s">
        <v>32</v>
      </c>
      <c r="D616" s="53" t="s">
        <v>152</v>
      </c>
      <c r="E616" s="67" t="s">
        <v>1245</v>
      </c>
      <c r="F616" s="53" t="s">
        <v>1246</v>
      </c>
      <c r="G616" s="53" t="s">
        <v>36</v>
      </c>
      <c r="H616" s="53">
        <f>STOCK[[#This Row],[Precio Final]]</f>
        <v>25</v>
      </c>
      <c r="I616" s="53">
        <f>STOCK[[#This Row],[Precio Venta Ideal (x1.5)]]</f>
        <v>34.92</v>
      </c>
      <c r="J616" s="71">
        <v>2</v>
      </c>
      <c r="K616" s="71">
        <f>SUMIFS(VENTAS[Cantidad],VENTAS[Código del producto Vendido],STOCK[[#This Row],[Code]])</f>
        <v>2</v>
      </c>
      <c r="L616" s="71">
        <f>STOCK[[#This Row],[Entradas]]-STOCK[[#This Row],[Salidas]]</f>
        <v>0</v>
      </c>
      <c r="M616" s="53">
        <f>STOCK[[#This Row],[Precio Final]]*10%</f>
        <v>2.5</v>
      </c>
      <c r="N616" s="53">
        <v>-20.15</v>
      </c>
      <c r="O616" s="53">
        <v>20.15</v>
      </c>
      <c r="P616" s="53">
        <v>15.78</v>
      </c>
      <c r="Q616" s="71">
        <v>0</v>
      </c>
      <c r="R616" s="53">
        <v>0</v>
      </c>
      <c r="S616" s="53">
        <v>5</v>
      </c>
      <c r="T616" s="53">
        <f>STOCK[[#This Row],[Costo Unitario (USD)]]+STOCK[[#This Row],[Costo Envío (USD)]]+STOCK[[#This Row],[Comisión 10%]]</f>
        <v>23.28</v>
      </c>
      <c r="U616" s="53">
        <f>STOCK[[#This Row],[Costo total]]*1.5</f>
        <v>34.92</v>
      </c>
      <c r="V616" s="53">
        <v>25</v>
      </c>
      <c r="W616" s="53">
        <f>STOCK[[#This Row],[Precio Final]]-STOCK[[#This Row],[Costo total]]</f>
        <v>1.72</v>
      </c>
      <c r="X616" s="53">
        <f>STOCK[[#This Row],[Ganancia Unitaria]]*STOCK[[#This Row],[Salidas]]</f>
        <v>3.44</v>
      </c>
      <c r="Y616" s="53" t="s">
        <v>1159</v>
      </c>
      <c r="AA616" s="53">
        <f>STOCK[[#This Row],[Costo total]]*STOCK[[#This Row],[Entradas]]</f>
        <v>46.56</v>
      </c>
      <c r="AB616" s="53">
        <f>STOCK[[#This Row],[Stock Actual]]*STOCK[[#This Row],[Costo total]]</f>
        <v>0</v>
      </c>
    </row>
    <row r="617" s="54" customFormat="1" ht="50" customHeight="1" spans="1:28">
      <c r="A617" s="54" t="s">
        <v>1247</v>
      </c>
      <c r="B617" s="66"/>
      <c r="C617" s="54" t="s">
        <v>32</v>
      </c>
      <c r="D617" s="54" t="s">
        <v>1075</v>
      </c>
      <c r="E617" s="68" t="s">
        <v>1248</v>
      </c>
      <c r="G617" s="54" t="s">
        <v>36</v>
      </c>
      <c r="H617" s="54">
        <f>STOCK[[#This Row],[Precio Final]]</f>
        <v>18</v>
      </c>
      <c r="I617" s="54">
        <f>STOCK[[#This Row],[Precio Venta Ideal (x1.5)]]</f>
        <v>27.09</v>
      </c>
      <c r="J617" s="72">
        <v>0</v>
      </c>
      <c r="K617" s="72">
        <f>SUMIFS(VENTAS[Cantidad],VENTAS[Código del producto Vendido],STOCK[[#This Row],[Code]])</f>
        <v>0</v>
      </c>
      <c r="L617" s="72">
        <f>STOCK[[#This Row],[Entradas]]-STOCK[[#This Row],[Salidas]]</f>
        <v>0</v>
      </c>
      <c r="M617" s="54">
        <f>STOCK[[#This Row],[Precio Final]]*10%</f>
        <v>1.8</v>
      </c>
      <c r="N617" s="54">
        <v>0</v>
      </c>
      <c r="O617" s="54">
        <v>0</v>
      </c>
      <c r="P617" s="54">
        <v>13.26</v>
      </c>
      <c r="Q617" s="72">
        <v>0</v>
      </c>
      <c r="R617" s="54">
        <v>0</v>
      </c>
      <c r="S617" s="54">
        <v>3</v>
      </c>
      <c r="T617" s="53">
        <f>STOCK[[#This Row],[Costo Unitario (USD)]]+STOCK[[#This Row],[Costo Envío (USD)]]+STOCK[[#This Row],[Comisión 10%]]</f>
        <v>18.06</v>
      </c>
      <c r="U617" s="54">
        <f>STOCK[[#This Row],[Costo total]]*1.5</f>
        <v>27.09</v>
      </c>
      <c r="V617" s="54">
        <v>18</v>
      </c>
      <c r="W617" s="54">
        <f>STOCK[[#This Row],[Precio Final]]-STOCK[[#This Row],[Costo total]]</f>
        <v>-0.0599999999999987</v>
      </c>
      <c r="X617" s="54">
        <f>STOCK[[#This Row],[Ganancia Unitaria]]*STOCK[[#This Row],[Salidas]]</f>
        <v>0</v>
      </c>
      <c r="Y617" s="54" t="s">
        <v>1159</v>
      </c>
      <c r="AA617" s="54">
        <f>STOCK[[#This Row],[Costo total]]*STOCK[[#This Row],[Entradas]]</f>
        <v>0</v>
      </c>
      <c r="AB617" s="54">
        <f>STOCK[[#This Row],[Stock Actual]]*STOCK[[#This Row],[Costo total]]</f>
        <v>0</v>
      </c>
    </row>
    <row r="618" s="53" customFormat="1" ht="50" customHeight="1" spans="1:28">
      <c r="A618" s="53" t="s">
        <v>1249</v>
      </c>
      <c r="B618" s="66"/>
      <c r="C618" s="53" t="s">
        <v>32</v>
      </c>
      <c r="D618" s="53" t="s">
        <v>1075</v>
      </c>
      <c r="E618" s="67" t="s">
        <v>1250</v>
      </c>
      <c r="G618" s="53" t="s">
        <v>36</v>
      </c>
      <c r="H618" s="53">
        <f>STOCK[[#This Row],[Precio Final]]</f>
        <v>18</v>
      </c>
      <c r="I618" s="53">
        <f>STOCK[[#This Row],[Precio Venta Ideal (x1.5)]]</f>
        <v>27.63</v>
      </c>
      <c r="J618" s="71">
        <v>0</v>
      </c>
      <c r="K618" s="71">
        <f>SUMIFS(VENTAS[Cantidad],VENTAS[Código del producto Vendido],STOCK[[#This Row],[Code]])</f>
        <v>0</v>
      </c>
      <c r="L618" s="71">
        <f>STOCK[[#This Row],[Entradas]]-STOCK[[#This Row],[Salidas]]</f>
        <v>0</v>
      </c>
      <c r="M618" s="53">
        <f>STOCK[[#This Row],[Precio Final]]*10%</f>
        <v>1.8</v>
      </c>
      <c r="N618" s="53">
        <v>0</v>
      </c>
      <c r="O618" s="53">
        <v>0</v>
      </c>
      <c r="P618" s="53">
        <v>13.62</v>
      </c>
      <c r="Q618" s="71">
        <v>0</v>
      </c>
      <c r="R618" s="53">
        <v>0</v>
      </c>
      <c r="S618" s="53">
        <v>3</v>
      </c>
      <c r="T618" s="53">
        <f>STOCK[[#This Row],[Costo Unitario (USD)]]+STOCK[[#This Row],[Costo Envío (USD)]]+STOCK[[#This Row],[Comisión 10%]]</f>
        <v>18.42</v>
      </c>
      <c r="U618" s="53">
        <f>STOCK[[#This Row],[Costo total]]*1.5</f>
        <v>27.63</v>
      </c>
      <c r="V618" s="53">
        <v>18</v>
      </c>
      <c r="W618" s="53">
        <f>STOCK[[#This Row],[Precio Final]]-STOCK[[#This Row],[Costo total]]</f>
        <v>-0.419999999999998</v>
      </c>
      <c r="X618" s="53">
        <f>STOCK[[#This Row],[Ganancia Unitaria]]*STOCK[[#This Row],[Salidas]]</f>
        <v>0</v>
      </c>
      <c r="Y618" s="53" t="s">
        <v>1159</v>
      </c>
      <c r="AA618" s="53">
        <f>STOCK[[#This Row],[Costo total]]*STOCK[[#This Row],[Entradas]]</f>
        <v>0</v>
      </c>
      <c r="AB618" s="53">
        <f>STOCK[[#This Row],[Stock Actual]]*STOCK[[#This Row],[Costo total]]</f>
        <v>0</v>
      </c>
    </row>
    <row r="619" s="54" customFormat="1" ht="50" customHeight="1" spans="1:28">
      <c r="A619" s="54" t="s">
        <v>1251</v>
      </c>
      <c r="B619" s="66"/>
      <c r="C619" s="54" t="s">
        <v>32</v>
      </c>
      <c r="D619" s="54" t="s">
        <v>1075</v>
      </c>
      <c r="E619" s="68" t="s">
        <v>1252</v>
      </c>
      <c r="F619" s="54" t="s">
        <v>49</v>
      </c>
      <c r="G619" s="54" t="s">
        <v>36</v>
      </c>
      <c r="H619" s="54">
        <f>STOCK[[#This Row],[Precio Final]]</f>
        <v>18</v>
      </c>
      <c r="I619" s="54">
        <f>STOCK[[#This Row],[Precio Venta Ideal (x1.5)]]</f>
        <v>24.57</v>
      </c>
      <c r="J619" s="72">
        <v>0</v>
      </c>
      <c r="K619" s="72">
        <f>SUMIFS(VENTAS[Cantidad],VENTAS[Código del producto Vendido],STOCK[[#This Row],[Code]])</f>
        <v>0</v>
      </c>
      <c r="L619" s="72">
        <f>STOCK[[#This Row],[Entradas]]-STOCK[[#This Row],[Salidas]]</f>
        <v>0</v>
      </c>
      <c r="M619" s="54">
        <f>STOCK[[#This Row],[Precio Final]]*10%</f>
        <v>1.8</v>
      </c>
      <c r="N619" s="54">
        <v>0</v>
      </c>
      <c r="O619" s="54">
        <v>0</v>
      </c>
      <c r="P619" s="54">
        <v>11.58</v>
      </c>
      <c r="Q619" s="72">
        <v>0</v>
      </c>
      <c r="R619" s="54">
        <v>0</v>
      </c>
      <c r="S619" s="54">
        <v>3</v>
      </c>
      <c r="T619" s="53">
        <f>STOCK[[#This Row],[Costo Unitario (USD)]]+STOCK[[#This Row],[Costo Envío (USD)]]+STOCK[[#This Row],[Comisión 10%]]</f>
        <v>16.38</v>
      </c>
      <c r="U619" s="54">
        <f>STOCK[[#This Row],[Costo total]]*1.5</f>
        <v>24.57</v>
      </c>
      <c r="V619" s="54">
        <v>18</v>
      </c>
      <c r="W619" s="54">
        <f>STOCK[[#This Row],[Precio Final]]-STOCK[[#This Row],[Costo total]]</f>
        <v>1.62</v>
      </c>
      <c r="X619" s="54">
        <f>STOCK[[#This Row],[Ganancia Unitaria]]*STOCK[[#This Row],[Salidas]]</f>
        <v>0</v>
      </c>
      <c r="Y619" s="54" t="s">
        <v>1159</v>
      </c>
      <c r="AA619" s="54">
        <f>STOCK[[#This Row],[Costo total]]*STOCK[[#This Row],[Entradas]]</f>
        <v>0</v>
      </c>
      <c r="AB619" s="54">
        <f>STOCK[[#This Row],[Stock Actual]]*STOCK[[#This Row],[Costo total]]</f>
        <v>0</v>
      </c>
    </row>
    <row r="620" s="53" customFormat="1" ht="50" customHeight="1" spans="1:28">
      <c r="A620" s="53" t="s">
        <v>1253</v>
      </c>
      <c r="B620" s="66"/>
      <c r="C620" s="53" t="s">
        <v>32</v>
      </c>
      <c r="D620" s="53" t="s">
        <v>152</v>
      </c>
      <c r="E620" s="67" t="s">
        <v>1254</v>
      </c>
      <c r="F620" s="53" t="s">
        <v>49</v>
      </c>
      <c r="G620" s="53" t="s">
        <v>36</v>
      </c>
      <c r="H620" s="53">
        <f>STOCK[[#This Row],[Precio Final]]</f>
        <v>25</v>
      </c>
      <c r="I620" s="53">
        <f>STOCK[[#This Row],[Precio Venta Ideal (x1.5)]]</f>
        <v>31.2</v>
      </c>
      <c r="J620" s="71">
        <v>1</v>
      </c>
      <c r="K620" s="71">
        <f>SUMIFS(VENTAS[Cantidad],VENTAS[Código del producto Vendido],STOCK[[#This Row],[Code]])</f>
        <v>1</v>
      </c>
      <c r="L620" s="71">
        <f>STOCK[[#This Row],[Entradas]]-STOCK[[#This Row],[Salidas]]</f>
        <v>0</v>
      </c>
      <c r="M620" s="53">
        <f>STOCK[[#This Row],[Precio Final]]*10%</f>
        <v>2.5</v>
      </c>
      <c r="N620" s="53">
        <v>-18.52</v>
      </c>
      <c r="O620" s="53">
        <v>0</v>
      </c>
      <c r="P620" s="53">
        <v>13.3</v>
      </c>
      <c r="Q620" s="71">
        <v>0</v>
      </c>
      <c r="R620" s="53">
        <v>0</v>
      </c>
      <c r="S620" s="53">
        <v>5</v>
      </c>
      <c r="T620" s="53">
        <f>STOCK[[#This Row],[Costo Unitario (USD)]]+STOCK[[#This Row],[Costo Envío (USD)]]+STOCK[[#This Row],[Comisión 10%]]</f>
        <v>20.8</v>
      </c>
      <c r="U620" s="53">
        <f>STOCK[[#This Row],[Costo total]]*1.5</f>
        <v>31.2</v>
      </c>
      <c r="V620" s="53">
        <v>25</v>
      </c>
      <c r="W620" s="53">
        <f>STOCK[[#This Row],[Precio Final]]-STOCK[[#This Row],[Costo total]]</f>
        <v>4.2</v>
      </c>
      <c r="X620" s="53">
        <f>STOCK[[#This Row],[Ganancia Unitaria]]*STOCK[[#This Row],[Salidas]]</f>
        <v>4.2</v>
      </c>
      <c r="Y620" s="53" t="s">
        <v>1159</v>
      </c>
      <c r="AA620" s="53">
        <f>STOCK[[#This Row],[Costo total]]*STOCK[[#This Row],[Entradas]]</f>
        <v>20.8</v>
      </c>
      <c r="AB620" s="53">
        <f>STOCK[[#This Row],[Stock Actual]]*STOCK[[#This Row],[Costo total]]</f>
        <v>0</v>
      </c>
    </row>
    <row r="621" s="54" customFormat="1" ht="50" customHeight="1" spans="1:28">
      <c r="A621" s="54" t="s">
        <v>1255</v>
      </c>
      <c r="B621" s="66"/>
      <c r="C621" s="54" t="s">
        <v>32</v>
      </c>
      <c r="D621" s="54" t="s">
        <v>152</v>
      </c>
      <c r="E621" s="68" t="s">
        <v>1254</v>
      </c>
      <c r="F621" s="54" t="s">
        <v>46</v>
      </c>
      <c r="G621" s="54" t="s">
        <v>36</v>
      </c>
      <c r="H621" s="54">
        <f>STOCK[[#This Row],[Precio Final]]</f>
        <v>25</v>
      </c>
      <c r="I621" s="54">
        <f>STOCK[[#This Row],[Precio Venta Ideal (x1.5)]]</f>
        <v>31.2</v>
      </c>
      <c r="J621" s="72">
        <v>1</v>
      </c>
      <c r="K621" s="72">
        <f>SUMIFS(VENTAS[Cantidad],VENTAS[Código del producto Vendido],STOCK[[#This Row],[Code]])</f>
        <v>1</v>
      </c>
      <c r="L621" s="72">
        <f>STOCK[[#This Row],[Entradas]]-STOCK[[#This Row],[Salidas]]</f>
        <v>0</v>
      </c>
      <c r="M621" s="54">
        <f>STOCK[[#This Row],[Precio Final]]*10%</f>
        <v>2.5</v>
      </c>
      <c r="N621" s="54">
        <v>-18.52</v>
      </c>
      <c r="O621" s="54">
        <v>0</v>
      </c>
      <c r="P621" s="54">
        <v>13.3</v>
      </c>
      <c r="Q621" s="72">
        <v>0</v>
      </c>
      <c r="R621" s="54">
        <v>0</v>
      </c>
      <c r="S621" s="54">
        <v>5</v>
      </c>
      <c r="T621" s="53">
        <f>STOCK[[#This Row],[Costo Unitario (USD)]]+STOCK[[#This Row],[Costo Envío (USD)]]+STOCK[[#This Row],[Comisión 10%]]</f>
        <v>20.8</v>
      </c>
      <c r="U621" s="54">
        <f>STOCK[[#This Row],[Costo total]]*1.5</f>
        <v>31.2</v>
      </c>
      <c r="V621" s="54">
        <v>25</v>
      </c>
      <c r="W621" s="54">
        <f>STOCK[[#This Row],[Precio Final]]-STOCK[[#This Row],[Costo total]]</f>
        <v>4.2</v>
      </c>
      <c r="X621" s="54">
        <f>STOCK[[#This Row],[Ganancia Unitaria]]*STOCK[[#This Row],[Salidas]]</f>
        <v>4.2</v>
      </c>
      <c r="Y621" s="54" t="s">
        <v>1159</v>
      </c>
      <c r="AA621" s="54">
        <f>STOCK[[#This Row],[Costo total]]*STOCK[[#This Row],[Entradas]]</f>
        <v>20.8</v>
      </c>
      <c r="AB621" s="54">
        <f>STOCK[[#This Row],[Stock Actual]]*STOCK[[#This Row],[Costo total]]</f>
        <v>0</v>
      </c>
    </row>
    <row r="622" s="53" customFormat="1" ht="50" customHeight="1" spans="1:28">
      <c r="A622" s="53" t="s">
        <v>1256</v>
      </c>
      <c r="B622" s="66"/>
      <c r="C622" s="53" t="s">
        <v>32</v>
      </c>
      <c r="D622" s="53" t="s">
        <v>152</v>
      </c>
      <c r="E622" s="67" t="s">
        <v>1254</v>
      </c>
      <c r="F622" s="53" t="s">
        <v>49</v>
      </c>
      <c r="G622" s="53" t="s">
        <v>36</v>
      </c>
      <c r="H622" s="53">
        <f>STOCK[[#This Row],[Precio Final]]</f>
        <v>25</v>
      </c>
      <c r="I622" s="53">
        <f>STOCK[[#This Row],[Precio Venta Ideal (x1.5)]]</f>
        <v>31.2</v>
      </c>
      <c r="J622" s="71">
        <v>1</v>
      </c>
      <c r="K622" s="71">
        <f>SUMIFS(VENTAS[Cantidad],VENTAS[Código del producto Vendido],STOCK[[#This Row],[Code]])</f>
        <v>1</v>
      </c>
      <c r="L622" s="71">
        <f>STOCK[[#This Row],[Entradas]]-STOCK[[#This Row],[Salidas]]</f>
        <v>0</v>
      </c>
      <c r="M622" s="53">
        <f>STOCK[[#This Row],[Precio Final]]*10%</f>
        <v>2.5</v>
      </c>
      <c r="N622" s="53">
        <v>-18.52</v>
      </c>
      <c r="O622" s="53">
        <v>0</v>
      </c>
      <c r="P622" s="53">
        <v>13.3</v>
      </c>
      <c r="Q622" s="71">
        <v>0</v>
      </c>
      <c r="R622" s="53">
        <v>0</v>
      </c>
      <c r="S622" s="53">
        <v>5</v>
      </c>
      <c r="T622" s="53">
        <f>STOCK[[#This Row],[Costo Unitario (USD)]]+STOCK[[#This Row],[Costo Envío (USD)]]+STOCK[[#This Row],[Comisión 10%]]</f>
        <v>20.8</v>
      </c>
      <c r="U622" s="53">
        <f>STOCK[[#This Row],[Costo total]]*1.5</f>
        <v>31.2</v>
      </c>
      <c r="V622" s="53">
        <v>25</v>
      </c>
      <c r="W622" s="53">
        <f>STOCK[[#This Row],[Precio Final]]-STOCK[[#This Row],[Costo total]]</f>
        <v>4.2</v>
      </c>
      <c r="X622" s="53">
        <f>STOCK[[#This Row],[Ganancia Unitaria]]*STOCK[[#This Row],[Salidas]]</f>
        <v>4.2</v>
      </c>
      <c r="Y622" s="53" t="s">
        <v>1159</v>
      </c>
      <c r="AA622" s="53">
        <f>STOCK[[#This Row],[Costo total]]*STOCK[[#This Row],[Entradas]]</f>
        <v>20.8</v>
      </c>
      <c r="AB622" s="53">
        <f>STOCK[[#This Row],[Stock Actual]]*STOCK[[#This Row],[Costo total]]</f>
        <v>0</v>
      </c>
    </row>
    <row r="623" s="54" customFormat="1" ht="50" customHeight="1" spans="1:28">
      <c r="A623" s="54" t="s">
        <v>1257</v>
      </c>
      <c r="B623" s="66"/>
      <c r="C623" s="54" t="s">
        <v>32</v>
      </c>
      <c r="D623" s="54" t="s">
        <v>44</v>
      </c>
      <c r="E623" s="68" t="s">
        <v>1258</v>
      </c>
      <c r="F623" s="54" t="s">
        <v>49</v>
      </c>
      <c r="G623" s="54" t="s">
        <v>36</v>
      </c>
      <c r="H623" s="54">
        <f>STOCK[[#This Row],[Precio Final]]</f>
        <v>35</v>
      </c>
      <c r="I623" s="54">
        <f>STOCK[[#This Row],[Precio Venta Ideal (x1.5)]]</f>
        <v>40.38</v>
      </c>
      <c r="J623" s="72">
        <v>1</v>
      </c>
      <c r="K623" s="72">
        <f>SUMIFS(VENTAS[Cantidad],VENTAS[Código del producto Vendido],STOCK[[#This Row],[Code]])</f>
        <v>1</v>
      </c>
      <c r="L623" s="72">
        <f>STOCK[[#This Row],[Entradas]]-STOCK[[#This Row],[Salidas]]</f>
        <v>0</v>
      </c>
      <c r="M623" s="54">
        <f>STOCK[[#This Row],[Precio Final]]*10%</f>
        <v>3.5</v>
      </c>
      <c r="N623" s="54">
        <v>-25.28</v>
      </c>
      <c r="O623" s="54">
        <v>0</v>
      </c>
      <c r="P623" s="54">
        <v>18.42</v>
      </c>
      <c r="Q623" s="72">
        <v>0</v>
      </c>
      <c r="R623" s="54">
        <v>0</v>
      </c>
      <c r="S623" s="54">
        <v>5</v>
      </c>
      <c r="T623" s="53">
        <f>STOCK[[#This Row],[Costo Unitario (USD)]]+STOCK[[#This Row],[Costo Envío (USD)]]+STOCK[[#This Row],[Comisión 10%]]</f>
        <v>26.92</v>
      </c>
      <c r="U623" s="54">
        <f>STOCK[[#This Row],[Costo total]]*1.5</f>
        <v>40.38</v>
      </c>
      <c r="V623" s="54">
        <v>35</v>
      </c>
      <c r="W623" s="54">
        <f>STOCK[[#This Row],[Precio Final]]-STOCK[[#This Row],[Costo total]]</f>
        <v>8.08</v>
      </c>
      <c r="X623" s="54">
        <f>STOCK[[#This Row],[Ganancia Unitaria]]*STOCK[[#This Row],[Salidas]]</f>
        <v>8.08</v>
      </c>
      <c r="Y623" s="54" t="s">
        <v>1159</v>
      </c>
      <c r="AA623" s="54">
        <f>STOCK[[#This Row],[Costo total]]*STOCK[[#This Row],[Entradas]]</f>
        <v>26.92</v>
      </c>
      <c r="AB623" s="54">
        <f>STOCK[[#This Row],[Stock Actual]]*STOCK[[#This Row],[Costo total]]</f>
        <v>0</v>
      </c>
    </row>
    <row r="624" s="53" customFormat="1" ht="50" customHeight="1" spans="1:28">
      <c r="A624" s="53" t="s">
        <v>1259</v>
      </c>
      <c r="B624" s="66"/>
      <c r="C624" s="53" t="s">
        <v>32</v>
      </c>
      <c r="D624" s="53" t="s">
        <v>1014</v>
      </c>
      <c r="E624" s="67" t="s">
        <v>1260</v>
      </c>
      <c r="F624" s="53" t="s">
        <v>1261</v>
      </c>
      <c r="G624" s="53" t="s">
        <v>36</v>
      </c>
      <c r="H624" s="53">
        <f>STOCK[[#This Row],[Precio Final]]</f>
        <v>35</v>
      </c>
      <c r="I624" s="53">
        <f>STOCK[[#This Row],[Precio Venta Ideal (x1.5)]]</f>
        <v>41.175</v>
      </c>
      <c r="J624" s="71">
        <v>3</v>
      </c>
      <c r="K624" s="71">
        <f>SUMIFS(VENTAS[Cantidad],VENTAS[Código del producto Vendido],STOCK[[#This Row],[Code]])</f>
        <v>3</v>
      </c>
      <c r="L624" s="71">
        <f>STOCK[[#This Row],[Entradas]]-STOCK[[#This Row],[Salidas]]</f>
        <v>0</v>
      </c>
      <c r="M624" s="53">
        <f>STOCK[[#This Row],[Precio Final]]*10%</f>
        <v>3.5</v>
      </c>
      <c r="N624" s="53">
        <v>0</v>
      </c>
      <c r="O624" s="53">
        <v>49.6</v>
      </c>
      <c r="P624" s="53">
        <v>17.95</v>
      </c>
      <c r="Q624" s="71">
        <v>0</v>
      </c>
      <c r="R624" s="53">
        <v>0</v>
      </c>
      <c r="S624" s="53">
        <v>6</v>
      </c>
      <c r="T624" s="53">
        <f>STOCK[[#This Row],[Costo Unitario (USD)]]+STOCK[[#This Row],[Costo Envío (USD)]]+STOCK[[#This Row],[Comisión 10%]]</f>
        <v>27.45</v>
      </c>
      <c r="U624" s="53">
        <f>STOCK[[#This Row],[Costo total]]*1.5</f>
        <v>41.175</v>
      </c>
      <c r="V624" s="53">
        <v>35</v>
      </c>
      <c r="W624" s="53">
        <f>STOCK[[#This Row],[Precio Final]]-STOCK[[#This Row],[Costo total]]</f>
        <v>7.55</v>
      </c>
      <c r="X624" s="53">
        <f>STOCK[[#This Row],[Ganancia Unitaria]]*STOCK[[#This Row],[Salidas]]</f>
        <v>22.65</v>
      </c>
      <c r="Y624" s="53" t="s">
        <v>1159</v>
      </c>
      <c r="AA624" s="53">
        <f>STOCK[[#This Row],[Costo total]]*STOCK[[#This Row],[Entradas]]</f>
        <v>82.35</v>
      </c>
      <c r="AB624" s="53">
        <f>STOCK[[#This Row],[Stock Actual]]*STOCK[[#This Row],[Costo total]]</f>
        <v>0</v>
      </c>
    </row>
    <row r="625" s="54" customFormat="1" ht="50" customHeight="1" spans="1:28">
      <c r="A625" s="54" t="s">
        <v>1262</v>
      </c>
      <c r="B625" s="66"/>
      <c r="C625" s="54" t="s">
        <v>32</v>
      </c>
      <c r="D625" s="54" t="s">
        <v>44</v>
      </c>
      <c r="E625" s="68" t="s">
        <v>1263</v>
      </c>
      <c r="F625" s="54" t="s">
        <v>46</v>
      </c>
      <c r="G625" s="54" t="s">
        <v>36</v>
      </c>
      <c r="H625" s="54">
        <f>STOCK[[#This Row],[Precio Final]]</f>
        <v>35</v>
      </c>
      <c r="I625" s="54">
        <f>STOCK[[#This Row],[Precio Venta Ideal (x1.5)]]</f>
        <v>41.175</v>
      </c>
      <c r="J625" s="72">
        <v>2</v>
      </c>
      <c r="K625" s="72">
        <f>SUMIFS(VENTAS[Cantidad],VENTAS[Código del producto Vendido],STOCK[[#This Row],[Code]])</f>
        <v>2</v>
      </c>
      <c r="L625" s="72">
        <f>STOCK[[#This Row],[Entradas]]-STOCK[[#This Row],[Salidas]]</f>
        <v>0</v>
      </c>
      <c r="M625" s="54">
        <f>STOCK[[#This Row],[Precio Final]]*10%</f>
        <v>3.5</v>
      </c>
      <c r="N625" s="54">
        <v>-49.6</v>
      </c>
      <c r="O625" s="54">
        <v>0</v>
      </c>
      <c r="P625" s="54">
        <v>17.95</v>
      </c>
      <c r="Q625" s="72">
        <v>0</v>
      </c>
      <c r="R625" s="54">
        <v>0</v>
      </c>
      <c r="S625" s="54">
        <v>6</v>
      </c>
      <c r="T625" s="53">
        <f>STOCK[[#This Row],[Costo Unitario (USD)]]+STOCK[[#This Row],[Costo Envío (USD)]]+STOCK[[#This Row],[Comisión 10%]]</f>
        <v>27.45</v>
      </c>
      <c r="U625" s="54">
        <f>STOCK[[#This Row],[Costo total]]*1.5</f>
        <v>41.175</v>
      </c>
      <c r="V625" s="54">
        <v>35</v>
      </c>
      <c r="W625" s="54">
        <f>STOCK[[#This Row],[Precio Final]]-STOCK[[#This Row],[Costo total]]</f>
        <v>7.55</v>
      </c>
      <c r="X625" s="54">
        <f>STOCK[[#This Row],[Ganancia Unitaria]]*STOCK[[#This Row],[Salidas]]</f>
        <v>15.1</v>
      </c>
      <c r="Y625" s="54" t="s">
        <v>1159</v>
      </c>
      <c r="AA625" s="54">
        <f>STOCK[[#This Row],[Costo total]]*STOCK[[#This Row],[Entradas]]</f>
        <v>54.9</v>
      </c>
      <c r="AB625" s="54">
        <f>STOCK[[#This Row],[Stock Actual]]*STOCK[[#This Row],[Costo total]]</f>
        <v>0</v>
      </c>
    </row>
    <row r="626" s="53" customFormat="1" ht="50" customHeight="1" spans="1:28">
      <c r="A626" s="53" t="s">
        <v>1264</v>
      </c>
      <c r="B626" s="66"/>
      <c r="C626" s="53" t="s">
        <v>32</v>
      </c>
      <c r="D626" s="53" t="s">
        <v>44</v>
      </c>
      <c r="E626" s="67" t="s">
        <v>1263</v>
      </c>
      <c r="F626" s="53" t="s">
        <v>62</v>
      </c>
      <c r="G626" s="53" t="s">
        <v>36</v>
      </c>
      <c r="H626" s="53">
        <f>STOCK[[#This Row],[Precio Final]]</f>
        <v>35</v>
      </c>
      <c r="I626" s="53">
        <f>STOCK[[#This Row],[Precio Venta Ideal (x1.5)]]</f>
        <v>41.175</v>
      </c>
      <c r="J626" s="71">
        <v>2</v>
      </c>
      <c r="K626" s="71">
        <f>SUMIFS(VENTAS[Cantidad],VENTAS[Código del producto Vendido],STOCK[[#This Row],[Code]])</f>
        <v>2</v>
      </c>
      <c r="L626" s="71">
        <f>STOCK[[#This Row],[Entradas]]-STOCK[[#This Row],[Salidas]]</f>
        <v>0</v>
      </c>
      <c r="M626" s="53">
        <f>STOCK[[#This Row],[Precio Final]]*10%</f>
        <v>3.5</v>
      </c>
      <c r="N626" s="53">
        <v>0</v>
      </c>
      <c r="O626" s="53">
        <v>24.8</v>
      </c>
      <c r="P626" s="53">
        <v>17.95</v>
      </c>
      <c r="Q626" s="71">
        <v>0</v>
      </c>
      <c r="R626" s="53">
        <v>0</v>
      </c>
      <c r="S626" s="53">
        <v>6</v>
      </c>
      <c r="T626" s="53">
        <f>STOCK[[#This Row],[Costo Unitario (USD)]]+STOCK[[#This Row],[Costo Envío (USD)]]+STOCK[[#This Row],[Comisión 10%]]</f>
        <v>27.45</v>
      </c>
      <c r="U626" s="53">
        <f>STOCK[[#This Row],[Costo total]]*1.5</f>
        <v>41.175</v>
      </c>
      <c r="V626" s="53">
        <v>35</v>
      </c>
      <c r="W626" s="53">
        <f>STOCK[[#This Row],[Precio Final]]-STOCK[[#This Row],[Costo total]]</f>
        <v>7.55</v>
      </c>
      <c r="X626" s="53">
        <f>STOCK[[#This Row],[Ganancia Unitaria]]*STOCK[[#This Row],[Salidas]]</f>
        <v>15.1</v>
      </c>
      <c r="Y626" s="53" t="s">
        <v>1159</v>
      </c>
      <c r="AA626" s="53">
        <f>STOCK[[#This Row],[Costo total]]*STOCK[[#This Row],[Entradas]]</f>
        <v>54.9</v>
      </c>
      <c r="AB626" s="53">
        <f>STOCK[[#This Row],[Stock Actual]]*STOCK[[#This Row],[Costo total]]</f>
        <v>0</v>
      </c>
    </row>
    <row r="627" s="54" customFormat="1" ht="50" customHeight="1" spans="1:28">
      <c r="A627" s="54" t="s">
        <v>1265</v>
      </c>
      <c r="B627" s="66"/>
      <c r="C627" s="54" t="s">
        <v>32</v>
      </c>
      <c r="D627" s="54" t="s">
        <v>152</v>
      </c>
      <c r="E627" s="68" t="s">
        <v>1266</v>
      </c>
      <c r="F627" s="54" t="s">
        <v>49</v>
      </c>
      <c r="G627" s="54" t="s">
        <v>36</v>
      </c>
      <c r="H627" s="54">
        <f>STOCK[[#This Row],[Precio Final]]</f>
        <v>23</v>
      </c>
      <c r="I627" s="54">
        <f>STOCK[[#This Row],[Precio Venta Ideal (x1.5)]]</f>
        <v>26.28</v>
      </c>
      <c r="J627" s="72">
        <v>3</v>
      </c>
      <c r="K627" s="72">
        <f>SUMIFS(VENTAS[Cantidad],VENTAS[Código del producto Vendido],STOCK[[#This Row],[Code]])</f>
        <v>2</v>
      </c>
      <c r="L627" s="72">
        <f>STOCK[[#This Row],[Entradas]]-STOCK[[#This Row],[Salidas]]</f>
        <v>1</v>
      </c>
      <c r="M627" s="54">
        <f>STOCK[[#This Row],[Precio Final]]*10%</f>
        <v>2.3</v>
      </c>
      <c r="N627" s="54">
        <v>0</v>
      </c>
      <c r="O627" s="54">
        <v>0</v>
      </c>
      <c r="P627" s="54">
        <v>10.22</v>
      </c>
      <c r="Q627" s="72">
        <v>0</v>
      </c>
      <c r="R627" s="54">
        <v>0</v>
      </c>
      <c r="S627" s="54">
        <v>5</v>
      </c>
      <c r="T627" s="53">
        <f>STOCK[[#This Row],[Costo Unitario (USD)]]+STOCK[[#This Row],[Costo Envío (USD)]]+STOCK[[#This Row],[Comisión 10%]]</f>
        <v>17.52</v>
      </c>
      <c r="U627" s="54">
        <f>STOCK[[#This Row],[Costo total]]*1.5</f>
        <v>26.28</v>
      </c>
      <c r="V627" s="54">
        <v>23</v>
      </c>
      <c r="W627" s="54">
        <f>STOCK[[#This Row],[Precio Final]]-STOCK[[#This Row],[Costo total]]</f>
        <v>5.48</v>
      </c>
      <c r="X627" s="54">
        <f>STOCK[[#This Row],[Ganancia Unitaria]]*STOCK[[#This Row],[Salidas]]</f>
        <v>10.96</v>
      </c>
      <c r="Y627" s="54" t="s">
        <v>1159</v>
      </c>
      <c r="AA627" s="54">
        <f>STOCK[[#This Row],[Costo total]]*STOCK[[#This Row],[Entradas]]</f>
        <v>52.56</v>
      </c>
      <c r="AB627" s="54">
        <f>STOCK[[#This Row],[Stock Actual]]*STOCK[[#This Row],[Costo total]]</f>
        <v>17.52</v>
      </c>
    </row>
    <row r="628" s="53" customFormat="1" ht="50" customHeight="1" spans="1:28">
      <c r="A628" s="53" t="s">
        <v>1267</v>
      </c>
      <c r="B628" s="66"/>
      <c r="C628" s="53" t="s">
        <v>32</v>
      </c>
      <c r="D628" s="53" t="s">
        <v>174</v>
      </c>
      <c r="E628" s="67" t="s">
        <v>1268</v>
      </c>
      <c r="F628" s="53" t="s">
        <v>40</v>
      </c>
      <c r="G628" s="53" t="s">
        <v>36</v>
      </c>
      <c r="H628" s="53">
        <f>STOCK[[#This Row],[Precio Final]]</f>
        <v>10</v>
      </c>
      <c r="I628" s="53">
        <f>STOCK[[#This Row],[Precio Venta Ideal (x1.5)]]</f>
        <v>10.155</v>
      </c>
      <c r="J628" s="71">
        <v>2</v>
      </c>
      <c r="K628" s="71">
        <f>SUMIFS(VENTAS[Cantidad],VENTAS[Código del producto Vendido],STOCK[[#This Row],[Code]])</f>
        <v>2</v>
      </c>
      <c r="L628" s="71">
        <f>STOCK[[#This Row],[Entradas]]-STOCK[[#This Row],[Salidas]]</f>
        <v>0</v>
      </c>
      <c r="M628" s="53">
        <f>STOCK[[#This Row],[Precio Final]]*10%</f>
        <v>1</v>
      </c>
      <c r="N628" s="53">
        <v>-9.17</v>
      </c>
      <c r="O628" s="53">
        <v>0</v>
      </c>
      <c r="P628" s="53">
        <v>3.77</v>
      </c>
      <c r="Q628" s="71">
        <v>0</v>
      </c>
      <c r="R628" s="53">
        <v>0</v>
      </c>
      <c r="S628" s="53">
        <v>2</v>
      </c>
      <c r="T628" s="53">
        <f>STOCK[[#This Row],[Costo Unitario (USD)]]+STOCK[[#This Row],[Costo Envío (USD)]]+STOCK[[#This Row],[Comisión 10%]]</f>
        <v>6.77</v>
      </c>
      <c r="U628" s="53">
        <f>STOCK[[#This Row],[Costo total]]*1.5</f>
        <v>10.155</v>
      </c>
      <c r="V628" s="53">
        <v>10</v>
      </c>
      <c r="W628" s="53">
        <f>STOCK[[#This Row],[Precio Final]]-STOCK[[#This Row],[Costo total]]</f>
        <v>3.23</v>
      </c>
      <c r="X628" s="53">
        <f>STOCK[[#This Row],[Ganancia Unitaria]]*STOCK[[#This Row],[Salidas]]</f>
        <v>6.46</v>
      </c>
      <c r="Y628" s="53" t="s">
        <v>1159</v>
      </c>
      <c r="AA628" s="53">
        <f>STOCK[[#This Row],[Costo total]]*STOCK[[#This Row],[Entradas]]</f>
        <v>13.54</v>
      </c>
      <c r="AB628" s="53">
        <f>STOCK[[#This Row],[Stock Actual]]*STOCK[[#This Row],[Costo total]]</f>
        <v>0</v>
      </c>
    </row>
    <row r="629" s="54" customFormat="1" ht="50" customHeight="1" spans="1:28">
      <c r="A629" s="54" t="s">
        <v>1269</v>
      </c>
      <c r="B629" s="66"/>
      <c r="C629" s="54" t="s">
        <v>32</v>
      </c>
      <c r="D629" s="54" t="s">
        <v>174</v>
      </c>
      <c r="E629" s="68" t="s">
        <v>1270</v>
      </c>
      <c r="F629" s="54" t="s">
        <v>586</v>
      </c>
      <c r="G629" s="54" t="s">
        <v>36</v>
      </c>
      <c r="H629" s="54">
        <f>STOCK[[#This Row],[Precio Final]]</f>
        <v>10</v>
      </c>
      <c r="I629" s="54">
        <f>STOCK[[#This Row],[Precio Venta Ideal (x1.5)]]</f>
        <v>10.155</v>
      </c>
      <c r="J629" s="72">
        <v>2</v>
      </c>
      <c r="K629" s="72">
        <f>SUMIFS(VENTAS[Cantidad],VENTAS[Código del producto Vendido],STOCK[[#This Row],[Code]])</f>
        <v>2</v>
      </c>
      <c r="L629" s="72">
        <f>STOCK[[#This Row],[Entradas]]-STOCK[[#This Row],[Salidas]]</f>
        <v>0</v>
      </c>
      <c r="M629" s="54">
        <f>STOCK[[#This Row],[Precio Final]]*10%</f>
        <v>1</v>
      </c>
      <c r="N629" s="54">
        <v>0</v>
      </c>
      <c r="O629" s="54">
        <v>9.17</v>
      </c>
      <c r="P629" s="54">
        <v>3.77</v>
      </c>
      <c r="Q629" s="72">
        <v>0</v>
      </c>
      <c r="R629" s="54">
        <v>0</v>
      </c>
      <c r="S629" s="54">
        <v>2</v>
      </c>
      <c r="T629" s="53">
        <f>STOCK[[#This Row],[Costo Unitario (USD)]]+STOCK[[#This Row],[Costo Envío (USD)]]+STOCK[[#This Row],[Comisión 10%]]</f>
        <v>6.77</v>
      </c>
      <c r="U629" s="54">
        <f>STOCK[[#This Row],[Costo total]]*1.5</f>
        <v>10.155</v>
      </c>
      <c r="V629" s="54">
        <v>10</v>
      </c>
      <c r="W629" s="54">
        <f>STOCK[[#This Row],[Precio Final]]-STOCK[[#This Row],[Costo total]]</f>
        <v>3.23</v>
      </c>
      <c r="X629" s="54">
        <f>STOCK[[#This Row],[Ganancia Unitaria]]*STOCK[[#This Row],[Salidas]]</f>
        <v>6.46</v>
      </c>
      <c r="Y629" s="54" t="s">
        <v>1159</v>
      </c>
      <c r="AA629" s="54">
        <f>STOCK[[#This Row],[Costo total]]*STOCK[[#This Row],[Entradas]]</f>
        <v>13.54</v>
      </c>
      <c r="AB629" s="54">
        <f>STOCK[[#This Row],[Stock Actual]]*STOCK[[#This Row],[Costo total]]</f>
        <v>0</v>
      </c>
    </row>
    <row r="630" s="53" customFormat="1" ht="50" customHeight="1" spans="1:28">
      <c r="A630" s="53" t="s">
        <v>1271</v>
      </c>
      <c r="B630" s="66"/>
      <c r="C630" s="53" t="s">
        <v>32</v>
      </c>
      <c r="D630" s="53" t="s">
        <v>174</v>
      </c>
      <c r="E630" s="67" t="s">
        <v>1272</v>
      </c>
      <c r="F630" s="53" t="s">
        <v>40</v>
      </c>
      <c r="G630" s="53" t="s">
        <v>36</v>
      </c>
      <c r="H630" s="53">
        <f>STOCK[[#This Row],[Precio Final]]</f>
        <v>12</v>
      </c>
      <c r="I630" s="53">
        <f>STOCK[[#This Row],[Precio Venta Ideal (x1.5)]]</f>
        <v>13.755</v>
      </c>
      <c r="J630" s="71">
        <v>2</v>
      </c>
      <c r="K630" s="71">
        <f>SUMIFS(VENTAS[Cantidad],VENTAS[Código del producto Vendido],STOCK[[#This Row],[Code]])</f>
        <v>2</v>
      </c>
      <c r="L630" s="71">
        <f>STOCK[[#This Row],[Entradas]]-STOCK[[#This Row],[Salidas]]</f>
        <v>0</v>
      </c>
      <c r="M630" s="53">
        <f>STOCK[[#This Row],[Precio Final]]*10%</f>
        <v>1.2</v>
      </c>
      <c r="N630" s="53">
        <v>-11.76</v>
      </c>
      <c r="O630" s="53">
        <v>5.88</v>
      </c>
      <c r="P630" s="53">
        <v>4.97</v>
      </c>
      <c r="Q630" s="71">
        <v>0</v>
      </c>
      <c r="R630" s="53">
        <v>0</v>
      </c>
      <c r="S630" s="53">
        <v>3</v>
      </c>
      <c r="T630" s="53">
        <f>STOCK[[#This Row],[Costo Unitario (USD)]]+STOCK[[#This Row],[Costo Envío (USD)]]+STOCK[[#This Row],[Comisión 10%]]</f>
        <v>9.17</v>
      </c>
      <c r="U630" s="53">
        <f>STOCK[[#This Row],[Costo total]]*1.5</f>
        <v>13.755</v>
      </c>
      <c r="V630" s="53">
        <v>12</v>
      </c>
      <c r="W630" s="53">
        <f>STOCK[[#This Row],[Precio Final]]-STOCK[[#This Row],[Costo total]]</f>
        <v>2.83</v>
      </c>
      <c r="X630" s="53">
        <f>STOCK[[#This Row],[Ganancia Unitaria]]*STOCK[[#This Row],[Salidas]]</f>
        <v>5.66</v>
      </c>
      <c r="Y630" s="53" t="s">
        <v>1159</v>
      </c>
      <c r="AA630" s="53">
        <f>STOCK[[#This Row],[Costo total]]*STOCK[[#This Row],[Entradas]]</f>
        <v>18.34</v>
      </c>
      <c r="AB630" s="53">
        <f>STOCK[[#This Row],[Stock Actual]]*STOCK[[#This Row],[Costo total]]</f>
        <v>0</v>
      </c>
    </row>
    <row r="631" s="54" customFormat="1" ht="50" customHeight="1" spans="1:28">
      <c r="A631" s="54" t="s">
        <v>1273</v>
      </c>
      <c r="B631" s="66"/>
      <c r="C631" s="54" t="s">
        <v>32</v>
      </c>
      <c r="D631" s="54" t="s">
        <v>174</v>
      </c>
      <c r="E631" s="68" t="s">
        <v>1272</v>
      </c>
      <c r="F631" s="54" t="s">
        <v>46</v>
      </c>
      <c r="G631" s="54" t="s">
        <v>36</v>
      </c>
      <c r="H631" s="54">
        <f>STOCK[[#This Row],[Precio Final]]</f>
        <v>12</v>
      </c>
      <c r="I631" s="54">
        <f>STOCK[[#This Row],[Precio Venta Ideal (x1.5)]]</f>
        <v>13.755</v>
      </c>
      <c r="J631" s="72">
        <v>3</v>
      </c>
      <c r="K631" s="72">
        <f>SUMIFS(VENTAS[Cantidad],VENTAS[Código del producto Vendido],STOCK[[#This Row],[Code]])</f>
        <v>3</v>
      </c>
      <c r="L631" s="72">
        <f>STOCK[[#This Row],[Entradas]]-STOCK[[#This Row],[Salidas]]</f>
        <v>0</v>
      </c>
      <c r="M631" s="54">
        <f>STOCK[[#This Row],[Precio Final]]*10%</f>
        <v>1.2</v>
      </c>
      <c r="N631" s="54">
        <v>-21.21</v>
      </c>
      <c r="O631" s="54">
        <v>0</v>
      </c>
      <c r="P631" s="54">
        <v>4.97</v>
      </c>
      <c r="Q631" s="72">
        <v>0</v>
      </c>
      <c r="R631" s="54">
        <v>0</v>
      </c>
      <c r="S631" s="54">
        <v>3</v>
      </c>
      <c r="T631" s="53">
        <f>STOCK[[#This Row],[Costo Unitario (USD)]]+STOCK[[#This Row],[Costo Envío (USD)]]+STOCK[[#This Row],[Comisión 10%]]</f>
        <v>9.17</v>
      </c>
      <c r="U631" s="54">
        <f>STOCK[[#This Row],[Costo total]]*1.5</f>
        <v>13.755</v>
      </c>
      <c r="V631" s="54">
        <v>12</v>
      </c>
      <c r="W631" s="54">
        <f>STOCK[[#This Row],[Precio Final]]-STOCK[[#This Row],[Costo total]]</f>
        <v>2.83</v>
      </c>
      <c r="X631" s="54">
        <f>STOCK[[#This Row],[Ganancia Unitaria]]*STOCK[[#This Row],[Salidas]]</f>
        <v>8.49</v>
      </c>
      <c r="Y631" s="54" t="s">
        <v>1159</v>
      </c>
      <c r="AA631" s="54">
        <f>STOCK[[#This Row],[Costo total]]*STOCK[[#This Row],[Entradas]]</f>
        <v>27.51</v>
      </c>
      <c r="AB631" s="54">
        <f>STOCK[[#This Row],[Stock Actual]]*STOCK[[#This Row],[Costo total]]</f>
        <v>0</v>
      </c>
    </row>
    <row r="632" s="53" customFormat="1" ht="50" customHeight="1" spans="1:28">
      <c r="A632" s="53" t="s">
        <v>1274</v>
      </c>
      <c r="B632" s="66"/>
      <c r="C632" s="53" t="s">
        <v>32</v>
      </c>
      <c r="D632" s="53" t="s">
        <v>174</v>
      </c>
      <c r="E632" s="67" t="s">
        <v>1275</v>
      </c>
      <c r="F632" s="53" t="s">
        <v>1276</v>
      </c>
      <c r="G632" s="53" t="s">
        <v>36</v>
      </c>
      <c r="H632" s="53">
        <f>STOCK[[#This Row],[Precio Final]]</f>
        <v>12</v>
      </c>
      <c r="I632" s="53">
        <f>STOCK[[#This Row],[Precio Venta Ideal (x1.5)]]</f>
        <v>13.755</v>
      </c>
      <c r="J632" s="71">
        <v>3</v>
      </c>
      <c r="K632" s="71">
        <f>SUMIFS(VENTAS[Cantidad],VENTAS[Código del producto Vendido],STOCK[[#This Row],[Code]])</f>
        <v>3</v>
      </c>
      <c r="L632" s="71">
        <f>STOCK[[#This Row],[Entradas]]-STOCK[[#This Row],[Salidas]]</f>
        <v>0</v>
      </c>
      <c r="M632" s="53">
        <f>STOCK[[#This Row],[Precio Final]]*10%</f>
        <v>1.2</v>
      </c>
      <c r="N632" s="53">
        <v>-14.14</v>
      </c>
      <c r="O632" s="53">
        <v>0</v>
      </c>
      <c r="P632" s="53">
        <v>4.97</v>
      </c>
      <c r="Q632" s="71">
        <v>0</v>
      </c>
      <c r="R632" s="53">
        <v>0</v>
      </c>
      <c r="S632" s="53">
        <v>3</v>
      </c>
      <c r="T632" s="53">
        <f>STOCK[[#This Row],[Costo Unitario (USD)]]+STOCK[[#This Row],[Costo Envío (USD)]]+STOCK[[#This Row],[Comisión 10%]]</f>
        <v>9.17</v>
      </c>
      <c r="U632" s="53">
        <f>STOCK[[#This Row],[Costo total]]*1.5</f>
        <v>13.755</v>
      </c>
      <c r="V632" s="53">
        <v>12</v>
      </c>
      <c r="W632" s="53">
        <f>STOCK[[#This Row],[Precio Final]]-STOCK[[#This Row],[Costo total]]</f>
        <v>2.83</v>
      </c>
      <c r="X632" s="53">
        <f>STOCK[[#This Row],[Ganancia Unitaria]]*STOCK[[#This Row],[Salidas]]</f>
        <v>8.49</v>
      </c>
      <c r="Y632" s="53" t="s">
        <v>1159</v>
      </c>
      <c r="AA632" s="53">
        <f>STOCK[[#This Row],[Costo total]]*STOCK[[#This Row],[Entradas]]</f>
        <v>27.51</v>
      </c>
      <c r="AB632" s="53">
        <f>STOCK[[#This Row],[Stock Actual]]*STOCK[[#This Row],[Costo total]]</f>
        <v>0</v>
      </c>
    </row>
    <row r="633" s="54" customFormat="1" ht="50" customHeight="1" spans="1:28">
      <c r="A633" s="54" t="s">
        <v>1277</v>
      </c>
      <c r="B633" s="66"/>
      <c r="C633" s="54" t="s">
        <v>32</v>
      </c>
      <c r="D633" s="54" t="s">
        <v>174</v>
      </c>
      <c r="E633" s="68" t="s">
        <v>1278</v>
      </c>
      <c r="F633" s="54" t="s">
        <v>339</v>
      </c>
      <c r="G633" s="54" t="s">
        <v>36</v>
      </c>
      <c r="H633" s="54">
        <f>STOCK[[#This Row],[Precio Final]]</f>
        <v>12</v>
      </c>
      <c r="I633" s="54">
        <f>STOCK[[#This Row],[Precio Venta Ideal (x1.5)]]</f>
        <v>13.935</v>
      </c>
      <c r="J633" s="72">
        <v>2</v>
      </c>
      <c r="K633" s="72">
        <f>SUMIFS(VENTAS[Cantidad],VENTAS[Código del producto Vendido],STOCK[[#This Row],[Code]])</f>
        <v>2</v>
      </c>
      <c r="L633" s="72">
        <f>STOCK[[#This Row],[Entradas]]-STOCK[[#This Row],[Salidas]]</f>
        <v>0</v>
      </c>
      <c r="M633" s="54">
        <f>STOCK[[#This Row],[Precio Final]]*10%</f>
        <v>1.2</v>
      </c>
      <c r="N633" s="54">
        <v>0</v>
      </c>
      <c r="O633" s="54">
        <v>14.26</v>
      </c>
      <c r="P633" s="54">
        <v>5.09</v>
      </c>
      <c r="Q633" s="72">
        <v>0</v>
      </c>
      <c r="R633" s="54">
        <v>0</v>
      </c>
      <c r="S633" s="54">
        <v>3</v>
      </c>
      <c r="T633" s="53">
        <f>STOCK[[#This Row],[Costo Unitario (USD)]]+STOCK[[#This Row],[Costo Envío (USD)]]+STOCK[[#This Row],[Comisión 10%]]</f>
        <v>9.29</v>
      </c>
      <c r="U633" s="54">
        <f>STOCK[[#This Row],[Costo total]]*1.5</f>
        <v>13.935</v>
      </c>
      <c r="V633" s="54">
        <v>12</v>
      </c>
      <c r="W633" s="54">
        <f>STOCK[[#This Row],[Precio Final]]-STOCK[[#This Row],[Costo total]]</f>
        <v>2.71</v>
      </c>
      <c r="X633" s="54">
        <f>STOCK[[#This Row],[Ganancia Unitaria]]*STOCK[[#This Row],[Salidas]]</f>
        <v>5.42</v>
      </c>
      <c r="Y633" s="54" t="s">
        <v>1159</v>
      </c>
      <c r="AA633" s="54">
        <f>STOCK[[#This Row],[Costo total]]*STOCK[[#This Row],[Entradas]]</f>
        <v>18.58</v>
      </c>
      <c r="AB633" s="54">
        <f>STOCK[[#This Row],[Stock Actual]]*STOCK[[#This Row],[Costo total]]</f>
        <v>0</v>
      </c>
    </row>
    <row r="634" s="53" customFormat="1" ht="50" customHeight="1" spans="1:28">
      <c r="A634" s="53" t="s">
        <v>1279</v>
      </c>
      <c r="B634" s="66"/>
      <c r="C634" s="53" t="s">
        <v>32</v>
      </c>
      <c r="D634" s="53" t="s">
        <v>174</v>
      </c>
      <c r="E634" s="67" t="s">
        <v>1280</v>
      </c>
      <c r="F634" s="53" t="s">
        <v>46</v>
      </c>
      <c r="G634" s="53" t="s">
        <v>36</v>
      </c>
      <c r="H634" s="53">
        <f>STOCK[[#This Row],[Precio Final]]</f>
        <v>12</v>
      </c>
      <c r="I634" s="53">
        <f>STOCK[[#This Row],[Precio Venta Ideal (x1.5)]]</f>
        <v>13.935</v>
      </c>
      <c r="J634" s="71">
        <v>3</v>
      </c>
      <c r="K634" s="71">
        <f>SUMIFS(VENTAS[Cantidad],VENTAS[Código del producto Vendido],STOCK[[#This Row],[Code]])</f>
        <v>3</v>
      </c>
      <c r="L634" s="71">
        <f>STOCK[[#This Row],[Entradas]]-STOCK[[#This Row],[Salidas]]</f>
        <v>0</v>
      </c>
      <c r="M634" s="53">
        <f>STOCK[[#This Row],[Precio Final]]*10%</f>
        <v>1.2</v>
      </c>
      <c r="N634" s="53">
        <v>-21.39</v>
      </c>
      <c r="O634" s="53">
        <v>0</v>
      </c>
      <c r="P634" s="53">
        <v>5.09</v>
      </c>
      <c r="Q634" s="71">
        <v>0</v>
      </c>
      <c r="R634" s="53">
        <v>0</v>
      </c>
      <c r="S634" s="53">
        <v>3</v>
      </c>
      <c r="T634" s="53">
        <f>STOCK[[#This Row],[Costo Unitario (USD)]]+STOCK[[#This Row],[Costo Envío (USD)]]+STOCK[[#This Row],[Comisión 10%]]</f>
        <v>9.29</v>
      </c>
      <c r="U634" s="53">
        <f>STOCK[[#This Row],[Costo total]]*1.5</f>
        <v>13.935</v>
      </c>
      <c r="V634" s="53">
        <v>12</v>
      </c>
      <c r="W634" s="53">
        <f>STOCK[[#This Row],[Precio Final]]-STOCK[[#This Row],[Costo total]]</f>
        <v>2.71</v>
      </c>
      <c r="X634" s="53">
        <f>STOCK[[#This Row],[Ganancia Unitaria]]*STOCK[[#This Row],[Salidas]]</f>
        <v>8.13</v>
      </c>
      <c r="Y634" s="53" t="s">
        <v>1159</v>
      </c>
      <c r="AA634" s="53">
        <f>STOCK[[#This Row],[Costo total]]*STOCK[[#This Row],[Entradas]]</f>
        <v>27.87</v>
      </c>
      <c r="AB634" s="53">
        <f>STOCK[[#This Row],[Stock Actual]]*STOCK[[#This Row],[Costo total]]</f>
        <v>0</v>
      </c>
    </row>
    <row r="635" s="54" customFormat="1" ht="50" customHeight="1" spans="1:28">
      <c r="A635" s="54" t="s">
        <v>1281</v>
      </c>
      <c r="B635" s="66"/>
      <c r="C635" s="54" t="s">
        <v>32</v>
      </c>
      <c r="D635" s="54" t="s">
        <v>152</v>
      </c>
      <c r="E635" s="68" t="s">
        <v>1282</v>
      </c>
      <c r="F635" s="54" t="s">
        <v>62</v>
      </c>
      <c r="G635" s="54" t="s">
        <v>36</v>
      </c>
      <c r="H635" s="54">
        <f>STOCK[[#This Row],[Precio Final]]</f>
        <v>22</v>
      </c>
      <c r="I635" s="54">
        <f>STOCK[[#This Row],[Precio Venta Ideal (x1.5)]]</f>
        <v>24.855</v>
      </c>
      <c r="J635" s="72">
        <v>3</v>
      </c>
      <c r="K635" s="72">
        <f>SUMIFS(VENTAS[Cantidad],VENTAS[Código del producto Vendido],STOCK[[#This Row],[Code]])</f>
        <v>3</v>
      </c>
      <c r="L635" s="72">
        <f>STOCK[[#This Row],[Entradas]]-STOCK[[#This Row],[Salidas]]</f>
        <v>0</v>
      </c>
      <c r="M635" s="54">
        <f>STOCK[[#This Row],[Precio Final]]*10%</f>
        <v>2.2</v>
      </c>
      <c r="N635" s="54">
        <v>0</v>
      </c>
      <c r="O635" s="54">
        <v>13.94</v>
      </c>
      <c r="P635" s="54">
        <v>11.37</v>
      </c>
      <c r="Q635" s="72">
        <v>0</v>
      </c>
      <c r="R635" s="54">
        <v>0</v>
      </c>
      <c r="S635" s="54">
        <v>3</v>
      </c>
      <c r="T635" s="53">
        <f>STOCK[[#This Row],[Costo Unitario (USD)]]+STOCK[[#This Row],[Costo Envío (USD)]]+STOCK[[#This Row],[Comisión 10%]]</f>
        <v>16.57</v>
      </c>
      <c r="U635" s="54">
        <f>STOCK[[#This Row],[Costo total]]*1.5</f>
        <v>24.855</v>
      </c>
      <c r="V635" s="54">
        <v>22</v>
      </c>
      <c r="W635" s="54">
        <f>STOCK[[#This Row],[Precio Final]]-STOCK[[#This Row],[Costo total]]</f>
        <v>5.43</v>
      </c>
      <c r="X635" s="54">
        <f>STOCK[[#This Row],[Ganancia Unitaria]]*STOCK[[#This Row],[Salidas]]</f>
        <v>16.29</v>
      </c>
      <c r="Y635" s="54" t="s">
        <v>1159</v>
      </c>
      <c r="AA635" s="54">
        <f>STOCK[[#This Row],[Costo total]]*STOCK[[#This Row],[Entradas]]</f>
        <v>49.71</v>
      </c>
      <c r="AB635" s="54">
        <f>STOCK[[#This Row],[Stock Actual]]*STOCK[[#This Row],[Costo total]]</f>
        <v>0</v>
      </c>
    </row>
    <row r="636" s="53" customFormat="1" ht="50" customHeight="1" spans="1:28">
      <c r="A636" s="53" t="s">
        <v>1283</v>
      </c>
      <c r="B636" s="66"/>
      <c r="C636" s="53" t="s">
        <v>32</v>
      </c>
      <c r="D636" s="53" t="s">
        <v>152</v>
      </c>
      <c r="E636" s="67" t="s">
        <v>1284</v>
      </c>
      <c r="F636" s="53" t="s">
        <v>40</v>
      </c>
      <c r="G636" s="53" t="s">
        <v>36</v>
      </c>
      <c r="H636" s="53">
        <f>STOCK[[#This Row],[Precio Final]]</f>
        <v>28</v>
      </c>
      <c r="I636" s="53">
        <f>STOCK[[#This Row],[Precio Venta Ideal (x1.5)]]</f>
        <v>35.37</v>
      </c>
      <c r="J636" s="71">
        <v>2</v>
      </c>
      <c r="K636" s="71">
        <f>SUMIFS(VENTAS[Cantidad],VENTAS[Código del producto Vendido],STOCK[[#This Row],[Code]])</f>
        <v>2</v>
      </c>
      <c r="L636" s="71">
        <f>STOCK[[#This Row],[Entradas]]-STOCK[[#This Row],[Salidas]]</f>
        <v>0</v>
      </c>
      <c r="M636" s="53">
        <f>STOCK[[#This Row],[Precio Final]]*10%</f>
        <v>2.8</v>
      </c>
      <c r="N636" s="53">
        <v>-40.31</v>
      </c>
      <c r="O636" s="53">
        <v>0</v>
      </c>
      <c r="P636" s="53">
        <v>15.78</v>
      </c>
      <c r="Q636" s="71">
        <v>0</v>
      </c>
      <c r="R636" s="53">
        <v>0</v>
      </c>
      <c r="S636" s="53">
        <v>5</v>
      </c>
      <c r="T636" s="53">
        <f>STOCK[[#This Row],[Costo Unitario (USD)]]+STOCK[[#This Row],[Costo Envío (USD)]]+STOCK[[#This Row],[Comisión 10%]]</f>
        <v>23.58</v>
      </c>
      <c r="U636" s="53">
        <f>STOCK[[#This Row],[Costo total]]*1.5</f>
        <v>35.37</v>
      </c>
      <c r="V636" s="53">
        <v>28</v>
      </c>
      <c r="W636" s="53">
        <f>STOCK[[#This Row],[Precio Final]]-STOCK[[#This Row],[Costo total]]</f>
        <v>4.42</v>
      </c>
      <c r="X636" s="53">
        <f>STOCK[[#This Row],[Ganancia Unitaria]]*STOCK[[#This Row],[Salidas]]</f>
        <v>8.84</v>
      </c>
      <c r="Y636" s="53" t="s">
        <v>1159</v>
      </c>
      <c r="AA636" s="53">
        <f>STOCK[[#This Row],[Costo total]]*STOCK[[#This Row],[Entradas]]</f>
        <v>47.16</v>
      </c>
      <c r="AB636" s="53">
        <f>STOCK[[#This Row],[Stock Actual]]*STOCK[[#This Row],[Costo total]]</f>
        <v>0</v>
      </c>
    </row>
    <row r="637" s="54" customFormat="1" ht="50" customHeight="1" spans="1:28">
      <c r="A637" s="54" t="s">
        <v>1285</v>
      </c>
      <c r="B637" s="66"/>
      <c r="C637" s="54" t="s">
        <v>32</v>
      </c>
      <c r="D637" s="54" t="s">
        <v>152</v>
      </c>
      <c r="E637" s="68" t="s">
        <v>1286</v>
      </c>
      <c r="F637" s="54" t="s">
        <v>62</v>
      </c>
      <c r="G637" s="54" t="s">
        <v>36</v>
      </c>
      <c r="H637" s="54">
        <f>STOCK[[#This Row],[Precio Final]]</f>
        <v>28</v>
      </c>
      <c r="I637" s="54">
        <f>STOCK[[#This Row],[Precio Venta Ideal (x1.5)]]</f>
        <v>35.37</v>
      </c>
      <c r="J637" s="72">
        <v>3</v>
      </c>
      <c r="K637" s="72">
        <f>SUMIFS(VENTAS[Cantidad],VENTAS[Código del producto Vendido],STOCK[[#This Row],[Code]])</f>
        <v>3</v>
      </c>
      <c r="L637" s="72">
        <f>STOCK[[#This Row],[Entradas]]-STOCK[[#This Row],[Salidas]]</f>
        <v>0</v>
      </c>
      <c r="M637" s="54">
        <f>STOCK[[#This Row],[Precio Final]]*10%</f>
        <v>2.8</v>
      </c>
      <c r="N637" s="54">
        <v>10.7</v>
      </c>
      <c r="O637" s="54">
        <v>19.3</v>
      </c>
      <c r="P637" s="54">
        <v>15.78</v>
      </c>
      <c r="Q637" s="72">
        <v>0</v>
      </c>
      <c r="R637" s="54">
        <v>0</v>
      </c>
      <c r="S637" s="54">
        <v>5</v>
      </c>
      <c r="T637" s="53">
        <f>STOCK[[#This Row],[Costo Unitario (USD)]]+STOCK[[#This Row],[Costo Envío (USD)]]+STOCK[[#This Row],[Comisión 10%]]</f>
        <v>23.58</v>
      </c>
      <c r="U637" s="54">
        <f>STOCK[[#This Row],[Costo total]]*1.5</f>
        <v>35.37</v>
      </c>
      <c r="V637" s="54">
        <v>28</v>
      </c>
      <c r="W637" s="54">
        <f>STOCK[[#This Row],[Precio Final]]-STOCK[[#This Row],[Costo total]]</f>
        <v>4.42</v>
      </c>
      <c r="X637" s="54">
        <f>STOCK[[#This Row],[Ganancia Unitaria]]*STOCK[[#This Row],[Salidas]]</f>
        <v>13.26</v>
      </c>
      <c r="Y637" s="54" t="s">
        <v>1159</v>
      </c>
      <c r="AA637" s="54">
        <f>STOCK[[#This Row],[Costo total]]*STOCK[[#This Row],[Entradas]]</f>
        <v>70.74</v>
      </c>
      <c r="AB637" s="54">
        <f>STOCK[[#This Row],[Stock Actual]]*STOCK[[#This Row],[Costo total]]</f>
        <v>0</v>
      </c>
    </row>
    <row r="638" s="53" customFormat="1" ht="50" customHeight="1" spans="1:28">
      <c r="A638" s="53" t="s">
        <v>1287</v>
      </c>
      <c r="B638" s="66"/>
      <c r="C638" s="53" t="s">
        <v>32</v>
      </c>
      <c r="D638" s="53" t="s">
        <v>152</v>
      </c>
      <c r="E638" s="67" t="s">
        <v>1286</v>
      </c>
      <c r="F638" s="53" t="s">
        <v>49</v>
      </c>
      <c r="G638" s="53" t="s">
        <v>36</v>
      </c>
      <c r="H638" s="53">
        <f>STOCK[[#This Row],[Precio Final]]</f>
        <v>28</v>
      </c>
      <c r="I638" s="53">
        <f>STOCK[[#This Row],[Precio Venta Ideal (x1.5)]]</f>
        <v>35.37</v>
      </c>
      <c r="J638" s="71">
        <v>1</v>
      </c>
      <c r="K638" s="71">
        <f>SUMIFS(VENTAS[Cantidad],VENTAS[Código del producto Vendido],STOCK[[#This Row],[Code]])</f>
        <v>1</v>
      </c>
      <c r="L638" s="71">
        <f>STOCK[[#This Row],[Entradas]]-STOCK[[#This Row],[Salidas]]</f>
        <v>0</v>
      </c>
      <c r="M638" s="53">
        <f>STOCK[[#This Row],[Precio Final]]*10%</f>
        <v>2.8</v>
      </c>
      <c r="N638" s="53">
        <v>0</v>
      </c>
      <c r="O638" s="53">
        <v>19.3</v>
      </c>
      <c r="P638" s="53">
        <v>15.78</v>
      </c>
      <c r="Q638" s="71">
        <v>0</v>
      </c>
      <c r="R638" s="53">
        <v>0</v>
      </c>
      <c r="S638" s="53">
        <v>5</v>
      </c>
      <c r="T638" s="53">
        <f>STOCK[[#This Row],[Costo Unitario (USD)]]+STOCK[[#This Row],[Costo Envío (USD)]]+STOCK[[#This Row],[Comisión 10%]]</f>
        <v>23.58</v>
      </c>
      <c r="U638" s="53">
        <f>STOCK[[#This Row],[Costo total]]*1.5</f>
        <v>35.37</v>
      </c>
      <c r="V638" s="53">
        <v>28</v>
      </c>
      <c r="W638" s="53">
        <f>STOCK[[#This Row],[Precio Final]]-STOCK[[#This Row],[Costo total]]</f>
        <v>4.42</v>
      </c>
      <c r="X638" s="53">
        <f>STOCK[[#This Row],[Ganancia Unitaria]]*STOCK[[#This Row],[Salidas]]</f>
        <v>4.42</v>
      </c>
      <c r="Y638" s="53" t="s">
        <v>1159</v>
      </c>
      <c r="AA638" s="53">
        <f>STOCK[[#This Row],[Costo total]]*STOCK[[#This Row],[Entradas]]</f>
        <v>23.58</v>
      </c>
      <c r="AB638" s="53">
        <f>STOCK[[#This Row],[Stock Actual]]*STOCK[[#This Row],[Costo total]]</f>
        <v>0</v>
      </c>
    </row>
    <row r="639" s="54" customFormat="1" ht="50" customHeight="1" spans="1:28">
      <c r="A639" s="54" t="s">
        <v>1288</v>
      </c>
      <c r="B639" s="66"/>
      <c r="C639" s="54" t="s">
        <v>32</v>
      </c>
      <c r="D639" s="54" t="s">
        <v>152</v>
      </c>
      <c r="E639" s="68" t="s">
        <v>1289</v>
      </c>
      <c r="F639" s="54" t="s">
        <v>40</v>
      </c>
      <c r="G639" s="54" t="s">
        <v>36</v>
      </c>
      <c r="H639" s="54">
        <f>STOCK[[#This Row],[Precio Final]]</f>
        <v>0</v>
      </c>
      <c r="I639" s="54">
        <f>STOCK[[#This Row],[Precio Venta Ideal (x1.5)]]</f>
        <v>31.17</v>
      </c>
      <c r="J639" s="72">
        <v>1</v>
      </c>
      <c r="K639" s="72">
        <f>SUMIFS(VENTAS[Cantidad],VENTAS[Código del producto Vendido],STOCK[[#This Row],[Code]])</f>
        <v>1</v>
      </c>
      <c r="L639" s="72">
        <f>STOCK[[#This Row],[Entradas]]-STOCK[[#This Row],[Salidas]]</f>
        <v>0</v>
      </c>
      <c r="M639" s="54">
        <f>STOCK[[#This Row],[Precio Final]]*10%</f>
        <v>0</v>
      </c>
      <c r="N639" s="54">
        <v>10.7</v>
      </c>
      <c r="O639" s="54">
        <v>0</v>
      </c>
      <c r="P639" s="54">
        <v>15.78</v>
      </c>
      <c r="Q639" s="72">
        <v>0</v>
      </c>
      <c r="R639" s="54">
        <v>0</v>
      </c>
      <c r="S639" s="54">
        <v>5</v>
      </c>
      <c r="T639" s="53">
        <f>STOCK[[#This Row],[Costo Unitario (USD)]]+STOCK[[#This Row],[Costo Envío (USD)]]+STOCK[[#This Row],[Comisión 10%]]</f>
        <v>20.78</v>
      </c>
      <c r="U639" s="54">
        <f>STOCK[[#This Row],[Costo total]]*1.5</f>
        <v>31.17</v>
      </c>
      <c r="W639" s="54">
        <f>STOCK[[#This Row],[Precio Final]]-STOCK[[#This Row],[Costo total]]</f>
        <v>-20.78</v>
      </c>
      <c r="X639" s="54">
        <f>STOCK[[#This Row],[Ganancia Unitaria]]*STOCK[[#This Row],[Salidas]]</f>
        <v>-20.78</v>
      </c>
      <c r="Y639" s="54" t="s">
        <v>1159</v>
      </c>
      <c r="AA639" s="54">
        <f>STOCK[[#This Row],[Costo total]]*STOCK[[#This Row],[Entradas]]</f>
        <v>20.78</v>
      </c>
      <c r="AB639" s="54">
        <f>STOCK[[#This Row],[Stock Actual]]*STOCK[[#This Row],[Costo total]]</f>
        <v>0</v>
      </c>
    </row>
    <row r="640" s="53" customFormat="1" ht="50" customHeight="1" spans="1:28">
      <c r="A640" s="53" t="s">
        <v>1290</v>
      </c>
      <c r="B640" s="66"/>
      <c r="C640" s="53" t="s">
        <v>32</v>
      </c>
      <c r="D640" s="53" t="s">
        <v>174</v>
      </c>
      <c r="E640" s="67" t="s">
        <v>1270</v>
      </c>
      <c r="F640" s="53" t="s">
        <v>994</v>
      </c>
      <c r="G640" s="53" t="s">
        <v>36</v>
      </c>
      <c r="H640" s="53">
        <f>STOCK[[#This Row],[Precio Final]]</f>
        <v>10</v>
      </c>
      <c r="I640" s="53">
        <f>STOCK[[#This Row],[Precio Venta Ideal (x1.5)]]</f>
        <v>11.595</v>
      </c>
      <c r="J640" s="71">
        <v>1</v>
      </c>
      <c r="K640" s="71">
        <f>SUMIFS(VENTAS[Cantidad],VENTAS[Código del producto Vendido],STOCK[[#This Row],[Code]])</f>
        <v>1</v>
      </c>
      <c r="L640" s="71">
        <f>STOCK[[#This Row],[Entradas]]-STOCK[[#This Row],[Salidas]]</f>
        <v>0</v>
      </c>
      <c r="M640" s="53">
        <f>STOCK[[#This Row],[Precio Final]]*10%</f>
        <v>1</v>
      </c>
      <c r="N640" s="53">
        <v>0</v>
      </c>
      <c r="O640" s="53">
        <v>4.52</v>
      </c>
      <c r="P640" s="53">
        <v>3.73</v>
      </c>
      <c r="Q640" s="71">
        <v>0</v>
      </c>
      <c r="R640" s="53">
        <v>0</v>
      </c>
      <c r="S640" s="53">
        <v>3</v>
      </c>
      <c r="T640" s="53">
        <f>STOCK[[#This Row],[Costo Unitario (USD)]]+STOCK[[#This Row],[Costo Envío (USD)]]+STOCK[[#This Row],[Comisión 10%]]</f>
        <v>7.73</v>
      </c>
      <c r="U640" s="53">
        <f>STOCK[[#This Row],[Costo total]]*1.5</f>
        <v>11.595</v>
      </c>
      <c r="V640" s="53">
        <v>10</v>
      </c>
      <c r="W640" s="53">
        <f>STOCK[[#This Row],[Precio Final]]-STOCK[[#This Row],[Costo total]]</f>
        <v>2.27</v>
      </c>
      <c r="X640" s="53">
        <f>STOCK[[#This Row],[Ganancia Unitaria]]*STOCK[[#This Row],[Salidas]]</f>
        <v>2.27</v>
      </c>
      <c r="Y640" s="53" t="s">
        <v>1159</v>
      </c>
      <c r="AA640" s="53">
        <f>STOCK[[#This Row],[Costo total]]*STOCK[[#This Row],[Entradas]]</f>
        <v>7.73</v>
      </c>
      <c r="AB640" s="53">
        <f>STOCK[[#This Row],[Stock Actual]]*STOCK[[#This Row],[Costo total]]</f>
        <v>0</v>
      </c>
    </row>
    <row r="641" s="54" customFormat="1" ht="50" customHeight="1" spans="1:28">
      <c r="A641" s="54" t="s">
        <v>1291</v>
      </c>
      <c r="B641" s="66"/>
      <c r="C641" s="54" t="s">
        <v>32</v>
      </c>
      <c r="D641" s="54" t="s">
        <v>174</v>
      </c>
      <c r="E641" s="68" t="s">
        <v>1292</v>
      </c>
      <c r="F641" s="54" t="s">
        <v>40</v>
      </c>
      <c r="G641" s="54" t="s">
        <v>36</v>
      </c>
      <c r="H641" s="54">
        <f>STOCK[[#This Row],[Precio Final]]</f>
        <v>10</v>
      </c>
      <c r="I641" s="54">
        <f>STOCK[[#This Row],[Precio Venta Ideal (x1.5)]]</f>
        <v>11.595</v>
      </c>
      <c r="J641" s="72">
        <v>2</v>
      </c>
      <c r="K641" s="72">
        <f>SUMIFS(VENTAS[Cantidad],VENTAS[Código del producto Vendido],STOCK[[#This Row],[Code]])</f>
        <v>0</v>
      </c>
      <c r="L641" s="72">
        <f>STOCK[[#This Row],[Entradas]]-STOCK[[#This Row],[Salidas]]</f>
        <v>2</v>
      </c>
      <c r="M641" s="54">
        <f>STOCK[[#This Row],[Precio Final]]*10%</f>
        <v>1</v>
      </c>
      <c r="N641" s="54">
        <v>0</v>
      </c>
      <c r="O641" s="54">
        <v>4.52</v>
      </c>
      <c r="P641" s="54">
        <v>3.73</v>
      </c>
      <c r="Q641" s="72">
        <v>0</v>
      </c>
      <c r="R641" s="54">
        <v>0</v>
      </c>
      <c r="S641" s="54">
        <v>3</v>
      </c>
      <c r="T641" s="53">
        <f>STOCK[[#This Row],[Costo Unitario (USD)]]+STOCK[[#This Row],[Costo Envío (USD)]]+STOCK[[#This Row],[Comisión 10%]]</f>
        <v>7.73</v>
      </c>
      <c r="U641" s="54">
        <f>STOCK[[#This Row],[Costo total]]*1.5</f>
        <v>11.595</v>
      </c>
      <c r="V641" s="54">
        <v>10</v>
      </c>
      <c r="W641" s="54">
        <f>STOCK[[#This Row],[Precio Final]]-STOCK[[#This Row],[Costo total]]</f>
        <v>2.27</v>
      </c>
      <c r="X641" s="54">
        <f>STOCK[[#This Row],[Ganancia Unitaria]]*STOCK[[#This Row],[Salidas]]</f>
        <v>0</v>
      </c>
      <c r="Y641" s="54" t="s">
        <v>1159</v>
      </c>
      <c r="AA641" s="54">
        <f>STOCK[[#This Row],[Costo total]]*STOCK[[#This Row],[Entradas]]</f>
        <v>15.46</v>
      </c>
      <c r="AB641" s="54">
        <f>STOCK[[#This Row],[Stock Actual]]*STOCK[[#This Row],[Costo total]]</f>
        <v>15.46</v>
      </c>
    </row>
    <row r="642" s="53" customFormat="1" ht="50" customHeight="1" spans="1:29">
      <c r="A642" s="53" t="s">
        <v>1293</v>
      </c>
      <c r="B642" s="66"/>
      <c r="C642" s="53" t="s">
        <v>32</v>
      </c>
      <c r="D642" s="53" t="s">
        <v>196</v>
      </c>
      <c r="E642" s="67" t="s">
        <v>1294</v>
      </c>
      <c r="F642" s="53" t="s">
        <v>1295</v>
      </c>
      <c r="G642" s="53" t="s">
        <v>1296</v>
      </c>
      <c r="H642" s="53">
        <f>STOCK[[#This Row],[Precio Final]]</f>
        <v>35</v>
      </c>
      <c r="I642" s="53">
        <f>STOCK[[#This Row],[Precio Venta Ideal (x1.5)]]</f>
        <v>36.435</v>
      </c>
      <c r="J642" s="71">
        <v>8</v>
      </c>
      <c r="K642" s="71">
        <f>SUMIFS(VENTAS[Cantidad],VENTAS[Código del producto Vendido],STOCK[[#This Row],[Code]])</f>
        <v>8</v>
      </c>
      <c r="L642" s="71">
        <f>STOCK[[#This Row],[Entradas]]-STOCK[[#This Row],[Salidas]]</f>
        <v>0</v>
      </c>
      <c r="M642" s="53">
        <f>STOCK[[#This Row],[Precio Final]]*10%</f>
        <v>3.5</v>
      </c>
      <c r="N642" s="53">
        <v>7.21</v>
      </c>
      <c r="O642" s="53">
        <v>113.95</v>
      </c>
      <c r="P642" s="53">
        <v>15.79</v>
      </c>
      <c r="Q642" s="71">
        <v>0</v>
      </c>
      <c r="R642" s="53">
        <v>0</v>
      </c>
      <c r="S642" s="53">
        <v>5</v>
      </c>
      <c r="T642" s="53">
        <f>STOCK[[#This Row],[Costo Unitario (USD)]]+STOCK[[#This Row],[Costo Envío (USD)]]+STOCK[[#This Row],[Comisión 10%]]</f>
        <v>24.29</v>
      </c>
      <c r="U642" s="53">
        <f>STOCK[[#This Row],[Costo total]]*1.5</f>
        <v>36.435</v>
      </c>
      <c r="V642" s="53">
        <v>35</v>
      </c>
      <c r="W642" s="53">
        <f>STOCK[[#This Row],[Precio Final]]-STOCK[[#This Row],[Costo total]]</f>
        <v>10.71</v>
      </c>
      <c r="X642" s="53">
        <f>STOCK[[#This Row],[Ganancia Unitaria]]*STOCK[[#This Row],[Salidas]]</f>
        <v>85.68</v>
      </c>
      <c r="AA642" s="53">
        <f>STOCK[[#This Row],[Costo total]]*STOCK[[#This Row],[Entradas]]</f>
        <v>194.32</v>
      </c>
      <c r="AB642" s="53">
        <f>STOCK[[#This Row],[Stock Actual]]*STOCK[[#This Row],[Costo total]]</f>
        <v>0</v>
      </c>
      <c r="AC642" s="53">
        <v>30</v>
      </c>
    </row>
    <row r="643" s="54" customFormat="1" ht="50" customHeight="1" spans="2:28">
      <c r="B643" s="66"/>
      <c r="E643" s="68"/>
      <c r="H643" s="54">
        <f>STOCK[[#This Row],[Precio Final]]</f>
        <v>0</v>
      </c>
      <c r="I643" s="54">
        <f>STOCK[[#This Row],[Precio Venta Ideal (x1.5)]]</f>
        <v>0</v>
      </c>
      <c r="J643" s="72"/>
      <c r="K643" s="72">
        <f>SUMIFS(VENTAS[Cantidad],VENTAS[Código del producto Vendido],STOCK[[#This Row],[Code]])</f>
        <v>0</v>
      </c>
      <c r="L643" s="72">
        <f>STOCK[[#This Row],[Entradas]]-STOCK[[#This Row],[Salidas]]</f>
        <v>0</v>
      </c>
      <c r="M643" s="54">
        <f>STOCK[[#This Row],[Precio Final]]*10%</f>
        <v>0</v>
      </c>
      <c r="Q643" s="72">
        <v>0</v>
      </c>
      <c r="R643" s="54">
        <v>0</v>
      </c>
      <c r="T643" s="53">
        <f>STOCK[[#This Row],[Costo Unitario (USD)]]+STOCK[[#This Row],[Costo Envío (USD)]]+STOCK[[#This Row],[Comisión 10%]]</f>
        <v>0</v>
      </c>
      <c r="U643" s="54">
        <f>STOCK[[#This Row],[Costo total]]*1.5</f>
        <v>0</v>
      </c>
      <c r="W643" s="54">
        <f>STOCK[[#This Row],[Precio Final]]-STOCK[[#This Row],[Costo total]]</f>
        <v>0</v>
      </c>
      <c r="X643" s="54">
        <f>STOCK[[#This Row],[Ganancia Unitaria]]*STOCK[[#This Row],[Salidas]]</f>
        <v>0</v>
      </c>
      <c r="AA643" s="54">
        <f>STOCK[[#This Row],[Costo total]]*STOCK[[#This Row],[Entradas]]</f>
        <v>0</v>
      </c>
      <c r="AB643" s="54">
        <f>STOCK[[#This Row],[Stock Actual]]*STOCK[[#This Row],[Costo total]]</f>
        <v>0</v>
      </c>
    </row>
    <row r="644" s="53" customFormat="1" ht="50" customHeight="1" spans="1:29">
      <c r="A644" s="53" t="s">
        <v>1297</v>
      </c>
      <c r="B644" s="66"/>
      <c r="C644" s="53" t="s">
        <v>32</v>
      </c>
      <c r="D644" s="53" t="s">
        <v>196</v>
      </c>
      <c r="E644" s="67" t="s">
        <v>1298</v>
      </c>
      <c r="F644" s="53" t="s">
        <v>49</v>
      </c>
      <c r="G644" s="53" t="s">
        <v>1296</v>
      </c>
      <c r="H644" s="53">
        <f>STOCK[[#This Row],[Precio Final]]</f>
        <v>30</v>
      </c>
      <c r="I644" s="53">
        <f>STOCK[[#This Row],[Precio Venta Ideal (x1.5)]]</f>
        <v>31.5</v>
      </c>
      <c r="J644" s="71">
        <v>4</v>
      </c>
      <c r="K644" s="71">
        <f>SUMIFS(VENTAS[Cantidad],VENTAS[Código del producto Vendido],STOCK[[#This Row],[Code]])</f>
        <v>1</v>
      </c>
      <c r="L644" s="71">
        <f>STOCK[[#This Row],[Entradas]]-STOCK[[#This Row],[Salidas]]</f>
        <v>3</v>
      </c>
      <c r="M644" s="53">
        <f>STOCK[[#This Row],[Precio Final]]*10%</f>
        <v>3</v>
      </c>
      <c r="N644" s="53">
        <v>10.47</v>
      </c>
      <c r="O644" s="53">
        <v>17.53</v>
      </c>
      <c r="P644" s="53">
        <v>13</v>
      </c>
      <c r="Q644" s="71">
        <v>0</v>
      </c>
      <c r="R644" s="53">
        <v>0</v>
      </c>
      <c r="S644" s="53">
        <v>5</v>
      </c>
      <c r="T644" s="53">
        <f>STOCK[[#This Row],[Costo Unitario (USD)]]+STOCK[[#This Row],[Costo Envío (USD)]]+STOCK[[#This Row],[Comisión 10%]]</f>
        <v>21</v>
      </c>
      <c r="U644" s="53">
        <f>STOCK[[#This Row],[Costo total]]*1.5</f>
        <v>31.5</v>
      </c>
      <c r="V644" s="53">
        <v>30</v>
      </c>
      <c r="W644" s="53">
        <f>STOCK[[#This Row],[Precio Final]]-STOCK[[#This Row],[Costo total]]</f>
        <v>9</v>
      </c>
      <c r="X644" s="53">
        <f>STOCK[[#This Row],[Ganancia Unitaria]]*STOCK[[#This Row],[Salidas]]</f>
        <v>9</v>
      </c>
      <c r="AA644" s="53">
        <f>STOCK[[#This Row],[Costo total]]*STOCK[[#This Row],[Entradas]]</f>
        <v>84</v>
      </c>
      <c r="AB644" s="53">
        <f>STOCK[[#This Row],[Stock Actual]]*STOCK[[#This Row],[Costo total]]</f>
        <v>63</v>
      </c>
      <c r="AC644" s="53">
        <v>28</v>
      </c>
    </row>
    <row r="645" s="54" customFormat="1" ht="50" customHeight="1" spans="1:28">
      <c r="A645" s="54" t="s">
        <v>1299</v>
      </c>
      <c r="B645" s="66"/>
      <c r="C645" s="54" t="s">
        <v>32</v>
      </c>
      <c r="D645" s="54" t="s">
        <v>515</v>
      </c>
      <c r="E645" s="68" t="s">
        <v>1300</v>
      </c>
      <c r="F645" s="54" t="s">
        <v>764</v>
      </c>
      <c r="G645" s="54" t="s">
        <v>1296</v>
      </c>
      <c r="H645" s="54">
        <f>STOCK[[#This Row],[Precio Final]]</f>
        <v>30</v>
      </c>
      <c r="I645" s="54">
        <f>STOCK[[#This Row],[Precio Venta Ideal (x1.5)]]</f>
        <v>33.735</v>
      </c>
      <c r="J645" s="72">
        <v>2</v>
      </c>
      <c r="K645" s="72">
        <f>SUMIFS(VENTAS[Cantidad],VENTAS[Código del producto Vendido],STOCK[[#This Row],[Code]])</f>
        <v>2</v>
      </c>
      <c r="L645" s="72">
        <f>STOCK[[#This Row],[Entradas]]-STOCK[[#This Row],[Salidas]]</f>
        <v>0</v>
      </c>
      <c r="M645" s="54">
        <f>STOCK[[#This Row],[Precio Final]]*10%</f>
        <v>3</v>
      </c>
      <c r="N645" s="54">
        <v>7.88</v>
      </c>
      <c r="O645" s="54">
        <v>0</v>
      </c>
      <c r="P645" s="54">
        <v>11.49</v>
      </c>
      <c r="Q645" s="72">
        <v>0</v>
      </c>
      <c r="R645" s="54">
        <v>0</v>
      </c>
      <c r="S645" s="54">
        <v>8</v>
      </c>
      <c r="T645" s="53">
        <f>STOCK[[#This Row],[Costo Unitario (USD)]]+STOCK[[#This Row],[Costo Envío (USD)]]+STOCK[[#This Row],[Comisión 10%]]</f>
        <v>22.49</v>
      </c>
      <c r="U645" s="54">
        <f>STOCK[[#This Row],[Costo total]]*1.5</f>
        <v>33.735</v>
      </c>
      <c r="V645" s="54">
        <v>30</v>
      </c>
      <c r="W645" s="54">
        <f>STOCK[[#This Row],[Precio Final]]-STOCK[[#This Row],[Costo total]]</f>
        <v>7.51</v>
      </c>
      <c r="X645" s="54">
        <f>STOCK[[#This Row],[Ganancia Unitaria]]*STOCK[[#This Row],[Salidas]]</f>
        <v>15.02</v>
      </c>
      <c r="AA645" s="54">
        <f>STOCK[[#This Row],[Costo total]]*STOCK[[#This Row],[Entradas]]</f>
        <v>44.98</v>
      </c>
      <c r="AB645" s="54">
        <f>STOCK[[#This Row],[Stock Actual]]*STOCK[[#This Row],[Costo total]]</f>
        <v>0</v>
      </c>
    </row>
    <row r="646" s="53" customFormat="1" ht="50" customHeight="1" spans="1:28">
      <c r="A646" s="53" t="s">
        <v>1301</v>
      </c>
      <c r="B646" s="66"/>
      <c r="C646" s="53" t="s">
        <v>32</v>
      </c>
      <c r="D646" s="53" t="s">
        <v>515</v>
      </c>
      <c r="E646" s="67" t="s">
        <v>1302</v>
      </c>
      <c r="F646" s="53" t="s">
        <v>49</v>
      </c>
      <c r="G646" s="53" t="s">
        <v>1296</v>
      </c>
      <c r="H646" s="53">
        <f>STOCK[[#This Row],[Precio Final]]</f>
        <v>18</v>
      </c>
      <c r="I646" s="53">
        <f>STOCK[[#This Row],[Precio Venta Ideal (x1.5)]]</f>
        <v>20.7</v>
      </c>
      <c r="J646" s="71">
        <v>1</v>
      </c>
      <c r="K646" s="71">
        <f>SUMIFS(VENTAS[Cantidad],VENTAS[Código del producto Vendido],STOCK[[#This Row],[Code]])</f>
        <v>1</v>
      </c>
      <c r="L646" s="71">
        <f>STOCK[[#This Row],[Entradas]]-STOCK[[#This Row],[Salidas]]</f>
        <v>0</v>
      </c>
      <c r="M646" s="53">
        <f>STOCK[[#This Row],[Precio Final]]*10%</f>
        <v>1.8</v>
      </c>
      <c r="N646" s="53">
        <v>7.88</v>
      </c>
      <c r="O646" s="53">
        <v>0</v>
      </c>
      <c r="P646" s="53">
        <v>7</v>
      </c>
      <c r="Q646" s="71">
        <v>0</v>
      </c>
      <c r="R646" s="53">
        <v>0</v>
      </c>
      <c r="S646" s="53">
        <v>5</v>
      </c>
      <c r="T646" s="53">
        <f>STOCK[[#This Row],[Costo Unitario (USD)]]+STOCK[[#This Row],[Costo Envío (USD)]]+STOCK[[#This Row],[Comisión 10%]]</f>
        <v>13.8</v>
      </c>
      <c r="U646" s="53">
        <f>STOCK[[#This Row],[Costo total]]*1.5</f>
        <v>20.7</v>
      </c>
      <c r="V646" s="53">
        <v>18</v>
      </c>
      <c r="W646" s="53">
        <f>STOCK[[#This Row],[Precio Final]]-STOCK[[#This Row],[Costo total]]</f>
        <v>4.2</v>
      </c>
      <c r="X646" s="53">
        <f>STOCK[[#This Row],[Ganancia Unitaria]]*STOCK[[#This Row],[Salidas]]</f>
        <v>4.2</v>
      </c>
      <c r="AA646" s="53">
        <f>STOCK[[#This Row],[Costo total]]*STOCK[[#This Row],[Entradas]]</f>
        <v>13.8</v>
      </c>
      <c r="AB646" s="53">
        <f>STOCK[[#This Row],[Stock Actual]]*STOCK[[#This Row],[Costo total]]</f>
        <v>0</v>
      </c>
    </row>
    <row r="647" s="54" customFormat="1" ht="50" customHeight="1" spans="1:28">
      <c r="A647" s="54" t="s">
        <v>1303</v>
      </c>
      <c r="B647" s="66"/>
      <c r="C647" s="54" t="s">
        <v>32</v>
      </c>
      <c r="D647" s="54" t="s">
        <v>152</v>
      </c>
      <c r="E647" s="68" t="s">
        <v>1304</v>
      </c>
      <c r="F647" s="54" t="s">
        <v>1305</v>
      </c>
      <c r="G647" s="54" t="s">
        <v>1296</v>
      </c>
      <c r="H647" s="54">
        <f>STOCK[[#This Row],[Precio Final]]</f>
        <v>32</v>
      </c>
      <c r="I647" s="54">
        <f>STOCK[[#This Row],[Precio Venta Ideal (x1.5)]]</f>
        <v>40.485</v>
      </c>
      <c r="J647" s="72">
        <v>8</v>
      </c>
      <c r="K647" s="72">
        <f>SUMIFS(VENTAS[Cantidad],VENTAS[Código del producto Vendido],STOCK[[#This Row],[Code]])</f>
        <v>8</v>
      </c>
      <c r="L647" s="72">
        <f>STOCK[[#This Row],[Entradas]]-STOCK[[#This Row],[Salidas]]</f>
        <v>0</v>
      </c>
      <c r="M647" s="54">
        <f>STOCK[[#This Row],[Precio Final]]*10%</f>
        <v>3.2</v>
      </c>
      <c r="N647" s="54">
        <v>0</v>
      </c>
      <c r="O647" s="54">
        <v>25.79</v>
      </c>
      <c r="P647" s="54">
        <v>15.79</v>
      </c>
      <c r="Q647" s="72">
        <v>0</v>
      </c>
      <c r="R647" s="54">
        <v>0</v>
      </c>
      <c r="S647" s="54">
        <v>8</v>
      </c>
      <c r="T647" s="53">
        <f>STOCK[[#This Row],[Costo Unitario (USD)]]+STOCK[[#This Row],[Costo Envío (USD)]]+STOCK[[#This Row],[Comisión 10%]]</f>
        <v>26.99</v>
      </c>
      <c r="U647" s="54">
        <f>STOCK[[#This Row],[Costo total]]*1.5</f>
        <v>40.485</v>
      </c>
      <c r="V647" s="54">
        <v>32</v>
      </c>
      <c r="W647" s="54">
        <f>STOCK[[#This Row],[Precio Final]]-STOCK[[#This Row],[Costo total]]</f>
        <v>5.01</v>
      </c>
      <c r="X647" s="54">
        <f>STOCK[[#This Row],[Ganancia Unitaria]]*STOCK[[#This Row],[Salidas]]</f>
        <v>40.08</v>
      </c>
      <c r="AA647" s="54">
        <f>STOCK[[#This Row],[Costo total]]*STOCK[[#This Row],[Entradas]]</f>
        <v>215.92</v>
      </c>
      <c r="AB647" s="54">
        <f>STOCK[[#This Row],[Stock Actual]]*STOCK[[#This Row],[Costo total]]</f>
        <v>0</v>
      </c>
    </row>
    <row r="648" s="53" customFormat="1" ht="50" customHeight="1" spans="1:28">
      <c r="A648" s="53" t="s">
        <v>1306</v>
      </c>
      <c r="B648" s="66"/>
      <c r="C648" s="53" t="s">
        <v>32</v>
      </c>
      <c r="D648" s="53" t="s">
        <v>152</v>
      </c>
      <c r="E648" s="67" t="s">
        <v>1307</v>
      </c>
      <c r="F648" s="53" t="s">
        <v>49</v>
      </c>
      <c r="G648" s="53" t="s">
        <v>1296</v>
      </c>
      <c r="H648" s="53">
        <f>STOCK[[#This Row],[Precio Final]]</f>
        <v>32</v>
      </c>
      <c r="I648" s="53">
        <f>STOCK[[#This Row],[Precio Venta Ideal (x1.5)]]</f>
        <v>40.485</v>
      </c>
      <c r="J648" s="71">
        <v>2</v>
      </c>
      <c r="K648" s="71">
        <f>SUMIFS(VENTAS[Cantidad],VENTAS[Código del producto Vendido],STOCK[[#This Row],[Code]])</f>
        <v>2</v>
      </c>
      <c r="L648" s="71">
        <f>STOCK[[#This Row],[Entradas]]-STOCK[[#This Row],[Salidas]]</f>
        <v>0</v>
      </c>
      <c r="M648" s="53">
        <f>STOCK[[#This Row],[Precio Final]]*10%</f>
        <v>3.2</v>
      </c>
      <c r="N648" s="53">
        <v>-21.21</v>
      </c>
      <c r="O648" s="53">
        <v>0</v>
      </c>
      <c r="P648" s="53">
        <v>15.79</v>
      </c>
      <c r="Q648" s="71">
        <v>0</v>
      </c>
      <c r="R648" s="53">
        <v>0</v>
      </c>
      <c r="S648" s="53">
        <v>8</v>
      </c>
      <c r="T648" s="53">
        <f>STOCK[[#This Row],[Costo Unitario (USD)]]+STOCK[[#This Row],[Costo Envío (USD)]]+STOCK[[#This Row],[Comisión 10%]]</f>
        <v>26.99</v>
      </c>
      <c r="U648" s="53">
        <f>STOCK[[#This Row],[Costo total]]*1.5</f>
        <v>40.485</v>
      </c>
      <c r="V648" s="53">
        <v>32</v>
      </c>
      <c r="W648" s="53">
        <f>STOCK[[#This Row],[Precio Final]]-STOCK[[#This Row],[Costo total]]</f>
        <v>5.01</v>
      </c>
      <c r="X648" s="53">
        <f>STOCK[[#This Row],[Ganancia Unitaria]]*STOCK[[#This Row],[Salidas]]</f>
        <v>10.02</v>
      </c>
      <c r="AA648" s="53">
        <f>STOCK[[#This Row],[Costo total]]*STOCK[[#This Row],[Entradas]]</f>
        <v>53.98</v>
      </c>
      <c r="AB648" s="53">
        <f>STOCK[[#This Row],[Stock Actual]]*STOCK[[#This Row],[Costo total]]</f>
        <v>0</v>
      </c>
    </row>
    <row r="649" s="54" customFormat="1" ht="50" customHeight="1" spans="1:28">
      <c r="A649" s="54" t="s">
        <v>1308</v>
      </c>
      <c r="B649" s="66"/>
      <c r="C649" s="54" t="s">
        <v>32</v>
      </c>
      <c r="D649" s="54" t="s">
        <v>515</v>
      </c>
      <c r="E649" s="68" t="s">
        <v>1300</v>
      </c>
      <c r="F649" s="54" t="s">
        <v>766</v>
      </c>
      <c r="G649" s="54" t="s">
        <v>1296</v>
      </c>
      <c r="H649" s="54">
        <f>STOCK[[#This Row],[Precio Final]]</f>
        <v>35</v>
      </c>
      <c r="I649" s="54">
        <f>STOCK[[#This Row],[Precio Venta Ideal (x1.5)]]</f>
        <v>34.485</v>
      </c>
      <c r="J649" s="72">
        <v>1</v>
      </c>
      <c r="K649" s="72">
        <f>SUMIFS(VENTAS[Cantidad],VENTAS[Código del producto Vendido],STOCK[[#This Row],[Code]])</f>
        <v>1</v>
      </c>
      <c r="L649" s="72">
        <f>STOCK[[#This Row],[Entradas]]-STOCK[[#This Row],[Salidas]]</f>
        <v>0</v>
      </c>
      <c r="M649" s="54">
        <f>STOCK[[#This Row],[Precio Final]]*10%</f>
        <v>3.5</v>
      </c>
      <c r="N649" s="54">
        <v>-6.67</v>
      </c>
      <c r="O649" s="54">
        <v>0</v>
      </c>
      <c r="P649" s="54">
        <v>11.49</v>
      </c>
      <c r="Q649" s="72">
        <v>0</v>
      </c>
      <c r="R649" s="54">
        <v>0</v>
      </c>
      <c r="S649" s="54">
        <v>8</v>
      </c>
      <c r="T649" s="53">
        <f>STOCK[[#This Row],[Costo Unitario (USD)]]+STOCK[[#This Row],[Costo Envío (USD)]]+STOCK[[#This Row],[Comisión 10%]]</f>
        <v>22.99</v>
      </c>
      <c r="U649" s="54">
        <f>STOCK[[#This Row],[Costo total]]*1.5</f>
        <v>34.485</v>
      </c>
      <c r="V649" s="54">
        <v>35</v>
      </c>
      <c r="W649" s="54">
        <f>STOCK[[#This Row],[Precio Final]]-STOCK[[#This Row],[Costo total]]</f>
        <v>12.01</v>
      </c>
      <c r="X649" s="54">
        <f>STOCK[[#This Row],[Ganancia Unitaria]]*STOCK[[#This Row],[Salidas]]</f>
        <v>12.01</v>
      </c>
      <c r="AA649" s="54">
        <f>STOCK[[#This Row],[Costo total]]*STOCK[[#This Row],[Entradas]]</f>
        <v>22.99</v>
      </c>
      <c r="AB649" s="54">
        <f>STOCK[[#This Row],[Stock Actual]]*STOCK[[#This Row],[Costo total]]</f>
        <v>0</v>
      </c>
    </row>
    <row r="650" s="53" customFormat="1" ht="50" customHeight="1" spans="1:28">
      <c r="A650" s="53" t="s">
        <v>1309</v>
      </c>
      <c r="B650" s="66"/>
      <c r="C650" s="53" t="s">
        <v>32</v>
      </c>
      <c r="D650" s="53" t="s">
        <v>515</v>
      </c>
      <c r="E650" s="67" t="s">
        <v>1310</v>
      </c>
      <c r="F650" s="53" t="s">
        <v>49</v>
      </c>
      <c r="G650" s="53" t="s">
        <v>1296</v>
      </c>
      <c r="H650" s="53">
        <f>STOCK[[#This Row],[Precio Final]]</f>
        <v>18</v>
      </c>
      <c r="I650" s="53">
        <f>STOCK[[#This Row],[Precio Venta Ideal (x1.5)]]</f>
        <v>21.435</v>
      </c>
      <c r="J650" s="71">
        <v>1</v>
      </c>
      <c r="K650" s="71">
        <f>SUMIFS(VENTAS[Cantidad],VENTAS[Código del producto Vendido],STOCK[[#This Row],[Code]])</f>
        <v>1</v>
      </c>
      <c r="L650" s="71">
        <f>STOCK[[#This Row],[Entradas]]-STOCK[[#This Row],[Salidas]]</f>
        <v>0</v>
      </c>
      <c r="M650" s="53">
        <f>STOCK[[#This Row],[Precio Final]]*10%</f>
        <v>1.8</v>
      </c>
      <c r="N650" s="53">
        <v>7.12</v>
      </c>
      <c r="O650" s="53">
        <v>0</v>
      </c>
      <c r="P650" s="53">
        <v>7.49</v>
      </c>
      <c r="Q650" s="71">
        <v>0</v>
      </c>
      <c r="R650" s="53">
        <v>0</v>
      </c>
      <c r="S650" s="53">
        <v>5</v>
      </c>
      <c r="T650" s="53">
        <f>STOCK[[#This Row],[Costo Unitario (USD)]]+STOCK[[#This Row],[Costo Envío (USD)]]+STOCK[[#This Row],[Comisión 10%]]</f>
        <v>14.29</v>
      </c>
      <c r="U650" s="53">
        <f>STOCK[[#This Row],[Costo total]]*1.5</f>
        <v>21.435</v>
      </c>
      <c r="V650" s="53">
        <v>18</v>
      </c>
      <c r="W650" s="53">
        <f>STOCK[[#This Row],[Precio Final]]-STOCK[[#This Row],[Costo total]]</f>
        <v>3.71</v>
      </c>
      <c r="X650" s="53">
        <f>STOCK[[#This Row],[Ganancia Unitaria]]*STOCK[[#This Row],[Salidas]]</f>
        <v>3.71</v>
      </c>
      <c r="AA650" s="53">
        <f>STOCK[[#This Row],[Costo total]]*STOCK[[#This Row],[Entradas]]</f>
        <v>14.29</v>
      </c>
      <c r="AB650" s="53">
        <f>STOCK[[#This Row],[Stock Actual]]*STOCK[[#This Row],[Costo total]]</f>
        <v>0</v>
      </c>
    </row>
    <row r="651" s="54" customFormat="1" ht="50" customHeight="1" spans="1:28">
      <c r="A651" s="54" t="s">
        <v>1311</v>
      </c>
      <c r="B651" s="66"/>
      <c r="C651" s="54" t="s">
        <v>32</v>
      </c>
      <c r="D651" s="54" t="s">
        <v>152</v>
      </c>
      <c r="E651" s="68" t="s">
        <v>1312</v>
      </c>
      <c r="F651" s="54" t="s">
        <v>62</v>
      </c>
      <c r="G651" s="54" t="s">
        <v>1296</v>
      </c>
      <c r="H651" s="54">
        <f>STOCK[[#This Row],[Precio Final]]</f>
        <v>20</v>
      </c>
      <c r="I651" s="54">
        <f>STOCK[[#This Row],[Precio Venta Ideal (x1.5)]]</f>
        <v>19.5</v>
      </c>
      <c r="J651" s="72">
        <v>2</v>
      </c>
      <c r="K651" s="72">
        <f>SUMIFS(VENTAS[Cantidad],VENTAS[Código del producto Vendido],STOCK[[#This Row],[Code]])</f>
        <v>2</v>
      </c>
      <c r="L651" s="72">
        <f>STOCK[[#This Row],[Entradas]]-STOCK[[#This Row],[Salidas]]</f>
        <v>0</v>
      </c>
      <c r="M651" s="54">
        <f>STOCK[[#This Row],[Precio Final]]*10%</f>
        <v>2</v>
      </c>
      <c r="N651" s="54">
        <v>10</v>
      </c>
      <c r="O651" s="54">
        <v>0</v>
      </c>
      <c r="P651" s="54">
        <v>7</v>
      </c>
      <c r="Q651" s="72">
        <v>0</v>
      </c>
      <c r="R651" s="54">
        <v>0</v>
      </c>
      <c r="S651" s="54">
        <v>4</v>
      </c>
      <c r="T651" s="53">
        <f>STOCK[[#This Row],[Costo Unitario (USD)]]+STOCK[[#This Row],[Costo Envío (USD)]]+STOCK[[#This Row],[Comisión 10%]]</f>
        <v>13</v>
      </c>
      <c r="U651" s="54">
        <f>STOCK[[#This Row],[Costo total]]*1.5</f>
        <v>19.5</v>
      </c>
      <c r="V651" s="54">
        <v>20</v>
      </c>
      <c r="W651" s="54">
        <f>STOCK[[#This Row],[Precio Final]]-STOCK[[#This Row],[Costo total]]</f>
        <v>7</v>
      </c>
      <c r="X651" s="54">
        <f>STOCK[[#This Row],[Ganancia Unitaria]]*STOCK[[#This Row],[Salidas]]</f>
        <v>14</v>
      </c>
      <c r="AA651" s="54">
        <f>STOCK[[#This Row],[Costo total]]*STOCK[[#This Row],[Entradas]]</f>
        <v>26</v>
      </c>
      <c r="AB651" s="54">
        <f>STOCK[[#This Row],[Stock Actual]]*STOCK[[#This Row],[Costo total]]</f>
        <v>0</v>
      </c>
    </row>
    <row r="652" s="53" customFormat="1" ht="50" customHeight="1" spans="2:28">
      <c r="B652" s="66"/>
      <c r="E652" s="67"/>
      <c r="H652" s="53">
        <f>STOCK[[#This Row],[Precio Final]]</f>
        <v>0</v>
      </c>
      <c r="I652" s="53">
        <f>STOCK[[#This Row],[Precio Venta Ideal (x1.5)]]</f>
        <v>0</v>
      </c>
      <c r="J652" s="71"/>
      <c r="K652" s="71">
        <f>SUMIFS(VENTAS[Cantidad],VENTAS[Código del producto Vendido],STOCK[[#This Row],[Code]])</f>
        <v>0</v>
      </c>
      <c r="L652" s="71">
        <f>STOCK[[#This Row],[Entradas]]-STOCK[[#This Row],[Salidas]]</f>
        <v>0</v>
      </c>
      <c r="M652" s="53">
        <f>STOCK[[#This Row],[Precio Final]]*10%</f>
        <v>0</v>
      </c>
      <c r="Q652" s="71">
        <v>0</v>
      </c>
      <c r="R652" s="53">
        <v>0</v>
      </c>
      <c r="T652" s="53">
        <f>STOCK[[#This Row],[Costo Unitario (USD)]]+STOCK[[#This Row],[Costo Envío (USD)]]+STOCK[[#This Row],[Comisión 10%]]</f>
        <v>0</v>
      </c>
      <c r="U652" s="53">
        <f>STOCK[[#This Row],[Costo total]]*1.5</f>
        <v>0</v>
      </c>
      <c r="W652" s="53">
        <f>STOCK[[#This Row],[Precio Final]]-STOCK[[#This Row],[Costo total]]</f>
        <v>0</v>
      </c>
      <c r="X652" s="53">
        <f>STOCK[[#This Row],[Ganancia Unitaria]]*STOCK[[#This Row],[Salidas]]</f>
        <v>0</v>
      </c>
      <c r="AA652" s="53">
        <f>STOCK[[#This Row],[Costo total]]*STOCK[[#This Row],[Entradas]]</f>
        <v>0</v>
      </c>
      <c r="AB652" s="53">
        <f>STOCK[[#This Row],[Stock Actual]]*STOCK[[#This Row],[Costo total]]</f>
        <v>0</v>
      </c>
    </row>
    <row r="653" s="54" customFormat="1" ht="50" customHeight="1" spans="1:28">
      <c r="A653" s="54" t="s">
        <v>1313</v>
      </c>
      <c r="B653" s="66"/>
      <c r="C653" s="54" t="s">
        <v>32</v>
      </c>
      <c r="D653" s="54" t="s">
        <v>780</v>
      </c>
      <c r="E653" s="68" t="s">
        <v>1314</v>
      </c>
      <c r="F653" s="54" t="s">
        <v>62</v>
      </c>
      <c r="G653" s="54" t="s">
        <v>704</v>
      </c>
      <c r="H653" s="54">
        <f>STOCK[[#This Row],[Precio Final]]</f>
        <v>20</v>
      </c>
      <c r="I653" s="54">
        <f>STOCK[[#This Row],[Precio Venta Ideal (x1.5)]]</f>
        <v>15</v>
      </c>
      <c r="J653" s="72">
        <v>1</v>
      </c>
      <c r="K653" s="72">
        <f>SUMIFS(VENTAS[Cantidad],VENTAS[Código del producto Vendido],STOCK[[#This Row],[Code]])</f>
        <v>0</v>
      </c>
      <c r="L653" s="72">
        <f>STOCK[[#This Row],[Entradas]]-STOCK[[#This Row],[Salidas]]</f>
        <v>1</v>
      </c>
      <c r="M653" s="54">
        <f>STOCK[[#This Row],[Precio Final]]*10%</f>
        <v>2</v>
      </c>
      <c r="N653" s="54">
        <v>0</v>
      </c>
      <c r="O653" s="54">
        <v>13.94</v>
      </c>
      <c r="P653" s="54">
        <v>6</v>
      </c>
      <c r="Q653" s="72">
        <v>0</v>
      </c>
      <c r="R653" s="54">
        <v>0</v>
      </c>
      <c r="S653" s="54">
        <v>2</v>
      </c>
      <c r="T653" s="53">
        <f>STOCK[[#This Row],[Costo Unitario (USD)]]+STOCK[[#This Row],[Costo Envío (USD)]]+STOCK[[#This Row],[Comisión 10%]]</f>
        <v>10</v>
      </c>
      <c r="U653" s="54">
        <f>STOCK[[#This Row],[Costo total]]*1.5</f>
        <v>15</v>
      </c>
      <c r="V653" s="54">
        <v>20</v>
      </c>
      <c r="W653" s="54">
        <f>STOCK[[#This Row],[Precio Final]]-STOCK[[#This Row],[Costo total]]</f>
        <v>10</v>
      </c>
      <c r="X653" s="54">
        <f>STOCK[[#This Row],[Ganancia Unitaria]]*STOCK[[#This Row],[Salidas]]</f>
        <v>0</v>
      </c>
      <c r="AA653" s="54">
        <f>STOCK[[#This Row],[Costo total]]*STOCK[[#This Row],[Entradas]]</f>
        <v>10</v>
      </c>
      <c r="AB653" s="54">
        <f>STOCK[[#This Row],[Stock Actual]]*STOCK[[#This Row],[Costo total]]</f>
        <v>10</v>
      </c>
    </row>
    <row r="654" s="53" customFormat="1" ht="50" customHeight="1" spans="1:28">
      <c r="A654" s="53" t="s">
        <v>1315</v>
      </c>
      <c r="B654" s="66"/>
      <c r="C654" s="53" t="s">
        <v>32</v>
      </c>
      <c r="D654" s="53" t="s">
        <v>174</v>
      </c>
      <c r="E654" s="67" t="s">
        <v>1316</v>
      </c>
      <c r="F654" s="53" t="s">
        <v>62</v>
      </c>
      <c r="G654" s="53" t="s">
        <v>704</v>
      </c>
      <c r="H654" s="53">
        <f>STOCK[[#This Row],[Precio Final]]</f>
        <v>40</v>
      </c>
      <c r="I654" s="53">
        <f>STOCK[[#This Row],[Precio Venta Ideal (x1.5)]]</f>
        <v>51</v>
      </c>
      <c r="J654" s="71">
        <v>2</v>
      </c>
      <c r="K654" s="71">
        <f>SUMIFS(VENTAS[Cantidad],VENTAS[Código del producto Vendido],STOCK[[#This Row],[Code]])</f>
        <v>2</v>
      </c>
      <c r="L654" s="71">
        <f>STOCK[[#This Row],[Entradas]]-STOCK[[#This Row],[Salidas]]</f>
        <v>0</v>
      </c>
      <c r="M654" s="53">
        <f>STOCK[[#This Row],[Precio Final]]*10%</f>
        <v>4</v>
      </c>
      <c r="N654" s="53">
        <v>0</v>
      </c>
      <c r="O654" s="53">
        <v>58.06</v>
      </c>
      <c r="P654" s="53">
        <v>24</v>
      </c>
      <c r="Q654" s="71">
        <v>0</v>
      </c>
      <c r="R654" s="53">
        <v>0</v>
      </c>
      <c r="S654" s="53">
        <v>6</v>
      </c>
      <c r="T654" s="53">
        <f>STOCK[[#This Row],[Costo Unitario (USD)]]+STOCK[[#This Row],[Costo Envío (USD)]]+STOCK[[#This Row],[Comisión 10%]]</f>
        <v>34</v>
      </c>
      <c r="U654" s="53">
        <f>STOCK[[#This Row],[Costo total]]*1.5</f>
        <v>51</v>
      </c>
      <c r="V654" s="53">
        <v>40</v>
      </c>
      <c r="W654" s="53">
        <f>STOCK[[#This Row],[Precio Final]]-STOCK[[#This Row],[Costo total]]</f>
        <v>6</v>
      </c>
      <c r="X654" s="53">
        <f>STOCK[[#This Row],[Ganancia Unitaria]]*STOCK[[#This Row],[Salidas]]</f>
        <v>12</v>
      </c>
      <c r="AA654" s="53">
        <f>STOCK[[#This Row],[Costo total]]*STOCK[[#This Row],[Entradas]]</f>
        <v>68</v>
      </c>
      <c r="AB654" s="53">
        <f>STOCK[[#This Row],[Stock Actual]]*STOCK[[#This Row],[Costo total]]</f>
        <v>0</v>
      </c>
    </row>
    <row r="655" s="54" customFormat="1" ht="50" customHeight="1" spans="1:28">
      <c r="A655" s="54" t="s">
        <v>1317</v>
      </c>
      <c r="B655" s="66"/>
      <c r="C655" s="54" t="s">
        <v>32</v>
      </c>
      <c r="D655" s="54" t="s">
        <v>174</v>
      </c>
      <c r="E655" s="68" t="s">
        <v>1318</v>
      </c>
      <c r="F655" s="54" t="s">
        <v>1319</v>
      </c>
      <c r="G655" s="54" t="s">
        <v>704</v>
      </c>
      <c r="H655" s="54">
        <f>STOCK[[#This Row],[Precio Final]]</f>
        <v>40</v>
      </c>
      <c r="I655" s="54">
        <f>STOCK[[#This Row],[Precio Venta Ideal (x1.5)]]</f>
        <v>51</v>
      </c>
      <c r="J655" s="72">
        <v>0</v>
      </c>
      <c r="K655" s="72">
        <f>SUMIFS(VENTAS[Cantidad],VENTAS[Código del producto Vendido],STOCK[[#This Row],[Code]])</f>
        <v>0</v>
      </c>
      <c r="L655" s="72">
        <f>STOCK[[#This Row],[Entradas]]-STOCK[[#This Row],[Salidas]]</f>
        <v>0</v>
      </c>
      <c r="M655" s="54">
        <f>STOCK[[#This Row],[Precio Final]]*10%</f>
        <v>4</v>
      </c>
      <c r="N655" s="54">
        <v>0</v>
      </c>
      <c r="O655" s="54">
        <v>23.03</v>
      </c>
      <c r="P655" s="54">
        <v>24</v>
      </c>
      <c r="Q655" s="72">
        <v>0</v>
      </c>
      <c r="R655" s="54">
        <v>0</v>
      </c>
      <c r="S655" s="54">
        <v>6</v>
      </c>
      <c r="T655" s="53">
        <f>STOCK[[#This Row],[Costo Unitario (USD)]]+STOCK[[#This Row],[Costo Envío (USD)]]+STOCK[[#This Row],[Comisión 10%]]</f>
        <v>34</v>
      </c>
      <c r="U655" s="54">
        <f>STOCK[[#This Row],[Costo total]]*1.5</f>
        <v>51</v>
      </c>
      <c r="V655" s="54">
        <v>40</v>
      </c>
      <c r="W655" s="54">
        <f>STOCK[[#This Row],[Precio Final]]-STOCK[[#This Row],[Costo total]]</f>
        <v>6</v>
      </c>
      <c r="X655" s="54">
        <f>STOCK[[#This Row],[Ganancia Unitaria]]*STOCK[[#This Row],[Salidas]]</f>
        <v>0</v>
      </c>
      <c r="AA655" s="54">
        <f>STOCK[[#This Row],[Costo total]]*STOCK[[#This Row],[Entradas]]</f>
        <v>0</v>
      </c>
      <c r="AB655" s="54">
        <f>STOCK[[#This Row],[Stock Actual]]*STOCK[[#This Row],[Costo total]]</f>
        <v>0</v>
      </c>
    </row>
    <row r="656" s="53" customFormat="1" ht="50" customHeight="1" spans="1:28">
      <c r="A656" s="53" t="s">
        <v>1320</v>
      </c>
      <c r="B656" s="66"/>
      <c r="C656" s="53" t="s">
        <v>32</v>
      </c>
      <c r="D656" s="53" t="s">
        <v>174</v>
      </c>
      <c r="E656" s="67" t="s">
        <v>1321</v>
      </c>
      <c r="F656" s="53" t="s">
        <v>778</v>
      </c>
      <c r="G656" s="53" t="s">
        <v>704</v>
      </c>
      <c r="H656" s="53">
        <f>STOCK[[#This Row],[Precio Final]]</f>
        <v>40</v>
      </c>
      <c r="I656" s="53">
        <f>STOCK[[#This Row],[Precio Venta Ideal (x1.5)]]</f>
        <v>43.125</v>
      </c>
      <c r="J656" s="71">
        <v>1</v>
      </c>
      <c r="K656" s="71">
        <f>SUMIFS(VENTAS[Cantidad],VENTAS[Código del producto Vendido],STOCK[[#This Row],[Code]])</f>
        <v>1</v>
      </c>
      <c r="L656" s="71">
        <f>STOCK[[#This Row],[Entradas]]-STOCK[[#This Row],[Salidas]]</f>
        <v>0</v>
      </c>
      <c r="M656" s="53">
        <f>STOCK[[#This Row],[Precio Final]]*10%</f>
        <v>4</v>
      </c>
      <c r="N656" s="53">
        <v>0</v>
      </c>
      <c r="O656" s="53">
        <v>23.03</v>
      </c>
      <c r="P656" s="53">
        <v>18.75</v>
      </c>
      <c r="Q656" s="71">
        <v>0</v>
      </c>
      <c r="R656" s="53">
        <v>0</v>
      </c>
      <c r="S656" s="53">
        <v>6</v>
      </c>
      <c r="T656" s="53">
        <f>STOCK[[#This Row],[Costo Unitario (USD)]]+STOCK[[#This Row],[Costo Envío (USD)]]+STOCK[[#This Row],[Comisión 10%]]</f>
        <v>28.75</v>
      </c>
      <c r="U656" s="53">
        <f>STOCK[[#This Row],[Costo total]]*1.5</f>
        <v>43.125</v>
      </c>
      <c r="V656" s="53">
        <v>40</v>
      </c>
      <c r="W656" s="53">
        <f>STOCK[[#This Row],[Precio Final]]-STOCK[[#This Row],[Costo total]]</f>
        <v>11.25</v>
      </c>
      <c r="X656" s="53">
        <f>STOCK[[#This Row],[Ganancia Unitaria]]*STOCK[[#This Row],[Salidas]]</f>
        <v>11.25</v>
      </c>
      <c r="AA656" s="53">
        <f>STOCK[[#This Row],[Costo total]]*STOCK[[#This Row],[Entradas]]</f>
        <v>28.75</v>
      </c>
      <c r="AB656" s="53">
        <f>STOCK[[#This Row],[Stock Actual]]*STOCK[[#This Row],[Costo total]]</f>
        <v>0</v>
      </c>
    </row>
    <row r="657" s="54" customFormat="1" ht="50" customHeight="1" spans="1:28">
      <c r="A657" s="54" t="s">
        <v>1322</v>
      </c>
      <c r="B657" s="66"/>
      <c r="C657" s="54" t="s">
        <v>32</v>
      </c>
      <c r="D657" s="54" t="s">
        <v>780</v>
      </c>
      <c r="E657" s="68" t="s">
        <v>1323</v>
      </c>
      <c r="F657" s="54" t="s">
        <v>42</v>
      </c>
      <c r="G657" s="54" t="s">
        <v>704</v>
      </c>
      <c r="H657" s="54">
        <f>STOCK[[#This Row],[Precio Final]]</f>
        <v>25</v>
      </c>
      <c r="I657" s="54">
        <f>STOCK[[#This Row],[Precio Venta Ideal (x1.5)]]</f>
        <v>32.25</v>
      </c>
      <c r="J657" s="72">
        <v>1</v>
      </c>
      <c r="K657" s="72">
        <f>SUMIFS(VENTAS[Cantidad],VENTAS[Código del producto Vendido],STOCK[[#This Row],[Code]])</f>
        <v>0</v>
      </c>
      <c r="L657" s="72">
        <f>STOCK[[#This Row],[Entradas]]-STOCK[[#This Row],[Salidas]]</f>
        <v>1</v>
      </c>
      <c r="M657" s="54">
        <f>STOCK[[#This Row],[Precio Final]]*10%</f>
        <v>2.5</v>
      </c>
      <c r="N657" s="54">
        <v>0</v>
      </c>
      <c r="O657" s="54">
        <v>15.15</v>
      </c>
      <c r="P657" s="54">
        <v>16</v>
      </c>
      <c r="Q657" s="72">
        <v>0</v>
      </c>
      <c r="R657" s="54">
        <v>0</v>
      </c>
      <c r="S657" s="54">
        <v>3</v>
      </c>
      <c r="T657" s="53">
        <f>STOCK[[#This Row],[Costo Unitario (USD)]]+STOCK[[#This Row],[Costo Envío (USD)]]+STOCK[[#This Row],[Comisión 10%]]</f>
        <v>21.5</v>
      </c>
      <c r="U657" s="54">
        <f>STOCK[[#This Row],[Costo total]]*1.5</f>
        <v>32.25</v>
      </c>
      <c r="V657" s="54">
        <v>25</v>
      </c>
      <c r="W657" s="54">
        <f>STOCK[[#This Row],[Precio Final]]-STOCK[[#This Row],[Costo total]]</f>
        <v>3.5</v>
      </c>
      <c r="X657" s="54">
        <f>STOCK[[#This Row],[Ganancia Unitaria]]*STOCK[[#This Row],[Salidas]]</f>
        <v>0</v>
      </c>
      <c r="AA657" s="54">
        <f>STOCK[[#This Row],[Costo total]]*STOCK[[#This Row],[Entradas]]</f>
        <v>21.5</v>
      </c>
      <c r="AB657" s="54">
        <f>STOCK[[#This Row],[Stock Actual]]*STOCK[[#This Row],[Costo total]]</f>
        <v>21.5</v>
      </c>
    </row>
    <row r="658" s="53" customFormat="1" ht="50" customHeight="1" spans="1:28">
      <c r="A658" s="53" t="s">
        <v>1324</v>
      </c>
      <c r="B658" s="66"/>
      <c r="C658" s="53" t="s">
        <v>32</v>
      </c>
      <c r="D658" s="54" t="s">
        <v>780</v>
      </c>
      <c r="E658" s="67" t="s">
        <v>1325</v>
      </c>
      <c r="F658" s="53" t="s">
        <v>42</v>
      </c>
      <c r="G658" s="53" t="s">
        <v>704</v>
      </c>
      <c r="H658" s="53">
        <f>STOCK[[#This Row],[Precio Final]]</f>
        <v>25</v>
      </c>
      <c r="I658" s="53">
        <f>STOCK[[#This Row],[Precio Venta Ideal (x1.5)]]</f>
        <v>21</v>
      </c>
      <c r="J658" s="71">
        <v>1</v>
      </c>
      <c r="K658" s="71">
        <f>SUMIFS(VENTAS[Cantidad],VENTAS[Código del producto Vendido],STOCK[[#This Row],[Code]])</f>
        <v>0</v>
      </c>
      <c r="L658" s="71">
        <f>STOCK[[#This Row],[Entradas]]-STOCK[[#This Row],[Salidas]]</f>
        <v>1</v>
      </c>
      <c r="M658" s="53">
        <f>STOCK[[#This Row],[Precio Final]]*10%</f>
        <v>2.5</v>
      </c>
      <c r="N658" s="53">
        <v>0</v>
      </c>
      <c r="O658" s="53">
        <v>15.15</v>
      </c>
      <c r="P658" s="53">
        <v>8.5</v>
      </c>
      <c r="Q658" s="71">
        <v>0</v>
      </c>
      <c r="R658" s="53">
        <v>0</v>
      </c>
      <c r="S658" s="53">
        <v>3</v>
      </c>
      <c r="T658" s="53">
        <f>STOCK[[#This Row],[Costo Unitario (USD)]]+STOCK[[#This Row],[Costo Envío (USD)]]+STOCK[[#This Row],[Comisión 10%]]</f>
        <v>14</v>
      </c>
      <c r="U658" s="53">
        <f>STOCK[[#This Row],[Costo total]]*1.5</f>
        <v>21</v>
      </c>
      <c r="V658" s="53">
        <v>25</v>
      </c>
      <c r="W658" s="53">
        <f>STOCK[[#This Row],[Precio Final]]-STOCK[[#This Row],[Costo total]]</f>
        <v>11</v>
      </c>
      <c r="X658" s="53">
        <f>STOCK[[#This Row],[Ganancia Unitaria]]*STOCK[[#This Row],[Salidas]]</f>
        <v>0</v>
      </c>
      <c r="AA658" s="53">
        <f>STOCK[[#This Row],[Costo total]]*STOCK[[#This Row],[Entradas]]</f>
        <v>14</v>
      </c>
      <c r="AB658" s="53">
        <f>STOCK[[#This Row],[Stock Actual]]*STOCK[[#This Row],[Costo total]]</f>
        <v>14</v>
      </c>
    </row>
    <row r="659" s="54" customFormat="1" ht="50" customHeight="1" spans="1:28">
      <c r="A659" s="54" t="s">
        <v>1326</v>
      </c>
      <c r="B659" s="66"/>
      <c r="C659" s="54" t="s">
        <v>32</v>
      </c>
      <c r="D659" s="54" t="s">
        <v>780</v>
      </c>
      <c r="E659" s="68" t="s">
        <v>1327</v>
      </c>
      <c r="F659" s="54" t="s">
        <v>62</v>
      </c>
      <c r="G659" s="54" t="s">
        <v>704</v>
      </c>
      <c r="H659" s="54">
        <f>STOCK[[#This Row],[Precio Final]]</f>
        <v>25</v>
      </c>
      <c r="I659" s="54">
        <f>STOCK[[#This Row],[Precio Venta Ideal (x1.5)]]</f>
        <v>32.25</v>
      </c>
      <c r="J659" s="72">
        <v>3</v>
      </c>
      <c r="K659" s="72">
        <f>SUMIFS(VENTAS[Cantidad],VENTAS[Código del producto Vendido],STOCK[[#This Row],[Code]])</f>
        <v>3</v>
      </c>
      <c r="L659" s="72">
        <f>STOCK[[#This Row],[Entradas]]-STOCK[[#This Row],[Salidas]]</f>
        <v>0</v>
      </c>
      <c r="M659" s="54">
        <f>STOCK[[#This Row],[Precio Final]]*10%</f>
        <v>2.5</v>
      </c>
      <c r="N659" s="54">
        <v>0</v>
      </c>
      <c r="O659" s="54">
        <v>30.3</v>
      </c>
      <c r="P659" s="54">
        <v>16</v>
      </c>
      <c r="Q659" s="72">
        <v>0</v>
      </c>
      <c r="R659" s="54">
        <v>0</v>
      </c>
      <c r="S659" s="54">
        <v>3</v>
      </c>
      <c r="T659" s="53">
        <f>STOCK[[#This Row],[Costo Unitario (USD)]]+STOCK[[#This Row],[Costo Envío (USD)]]+STOCK[[#This Row],[Comisión 10%]]</f>
        <v>21.5</v>
      </c>
      <c r="U659" s="54">
        <f>STOCK[[#This Row],[Costo total]]*1.5</f>
        <v>32.25</v>
      </c>
      <c r="V659" s="54">
        <v>25</v>
      </c>
      <c r="W659" s="54">
        <f>STOCK[[#This Row],[Precio Final]]-STOCK[[#This Row],[Costo total]]</f>
        <v>3.5</v>
      </c>
      <c r="X659" s="54">
        <f>STOCK[[#This Row],[Ganancia Unitaria]]*STOCK[[#This Row],[Salidas]]</f>
        <v>10.5</v>
      </c>
      <c r="AA659" s="54">
        <f>STOCK[[#This Row],[Costo total]]*STOCK[[#This Row],[Entradas]]</f>
        <v>64.5</v>
      </c>
      <c r="AB659" s="54">
        <f>STOCK[[#This Row],[Stock Actual]]*STOCK[[#This Row],[Costo total]]</f>
        <v>0</v>
      </c>
    </row>
    <row r="660" s="53" customFormat="1" ht="50" customHeight="1" spans="1:28">
      <c r="A660" s="53" t="s">
        <v>1328</v>
      </c>
      <c r="B660" s="66"/>
      <c r="C660" s="53" t="s">
        <v>32</v>
      </c>
      <c r="D660" s="53" t="s">
        <v>174</v>
      </c>
      <c r="E660" s="67" t="s">
        <v>1329</v>
      </c>
      <c r="F660" s="53" t="s">
        <v>1330</v>
      </c>
      <c r="G660" s="53" t="s">
        <v>36</v>
      </c>
      <c r="H660" s="53">
        <f>STOCK[[#This Row],[Precio Final]]</f>
        <v>20</v>
      </c>
      <c r="I660" s="53">
        <f>STOCK[[#This Row],[Precio Venta Ideal (x1.5)]]</f>
        <v>22.86</v>
      </c>
      <c r="J660" s="71">
        <v>1</v>
      </c>
      <c r="K660" s="71">
        <f>SUMIFS(VENTAS[Cantidad],VENTAS[Código del producto Vendido],STOCK[[#This Row],[Code]])</f>
        <v>1</v>
      </c>
      <c r="L660" s="71">
        <f>STOCK[[#This Row],[Entradas]]-STOCK[[#This Row],[Salidas]]</f>
        <v>0</v>
      </c>
      <c r="M660" s="53">
        <f>STOCK[[#This Row],[Precio Final]]*10%</f>
        <v>2</v>
      </c>
      <c r="N660" s="53">
        <v>0</v>
      </c>
      <c r="O660" s="53">
        <v>14.25</v>
      </c>
      <c r="P660" s="53">
        <v>11.53</v>
      </c>
      <c r="Q660" s="71">
        <v>0</v>
      </c>
      <c r="R660" s="53">
        <v>0</v>
      </c>
      <c r="S660" s="53">
        <v>1.71</v>
      </c>
      <c r="T660" s="53">
        <f>STOCK[[#This Row],[Costo Unitario (USD)]]+STOCK[[#This Row],[Costo Envío (USD)]]+STOCK[[#This Row],[Comisión 10%]]</f>
        <v>15.24</v>
      </c>
      <c r="U660" s="53">
        <f>STOCK[[#This Row],[Costo total]]*1.5</f>
        <v>22.86</v>
      </c>
      <c r="V660" s="53">
        <v>20</v>
      </c>
      <c r="W660" s="53">
        <f>STOCK[[#This Row],[Precio Final]]-STOCK[[#This Row],[Costo total]]</f>
        <v>4.76</v>
      </c>
      <c r="X660" s="53">
        <f>STOCK[[#This Row],[Ganancia Unitaria]]*STOCK[[#This Row],[Salidas]]</f>
        <v>4.76</v>
      </c>
      <c r="AA660" s="53">
        <f>STOCK[[#This Row],[Costo total]]*STOCK[[#This Row],[Entradas]]</f>
        <v>15.24</v>
      </c>
      <c r="AB660" s="53">
        <f>STOCK[[#This Row],[Stock Actual]]*STOCK[[#This Row],[Costo total]]</f>
        <v>0</v>
      </c>
    </row>
    <row r="661" s="54" customFormat="1" ht="50" customHeight="1" spans="1:28">
      <c r="A661" s="54" t="s">
        <v>1331</v>
      </c>
      <c r="B661" s="66"/>
      <c r="C661" s="54" t="s">
        <v>32</v>
      </c>
      <c r="D661" s="54" t="s">
        <v>174</v>
      </c>
      <c r="E661" s="68" t="s">
        <v>1332</v>
      </c>
      <c r="F661" s="54" t="s">
        <v>40</v>
      </c>
      <c r="G661" s="54" t="s">
        <v>36</v>
      </c>
      <c r="H661" s="54">
        <f>STOCK[[#This Row],[Precio Final]]</f>
        <v>20</v>
      </c>
      <c r="I661" s="54">
        <f>STOCK[[#This Row],[Precio Venta Ideal (x1.5)]]</f>
        <v>22.86</v>
      </c>
      <c r="J661" s="72">
        <v>1</v>
      </c>
      <c r="K661" s="72">
        <f>SUMIFS(VENTAS[Cantidad],VENTAS[Código del producto Vendido],STOCK[[#This Row],[Code]])</f>
        <v>1</v>
      </c>
      <c r="L661" s="72">
        <f>STOCK[[#This Row],[Entradas]]-STOCK[[#This Row],[Salidas]]</f>
        <v>0</v>
      </c>
      <c r="M661" s="54">
        <f>STOCK[[#This Row],[Precio Final]]*10%</f>
        <v>2</v>
      </c>
      <c r="N661" s="54">
        <v>0</v>
      </c>
      <c r="O661" s="54">
        <v>14.25</v>
      </c>
      <c r="P661" s="54">
        <v>11.53</v>
      </c>
      <c r="Q661" s="72">
        <v>0</v>
      </c>
      <c r="R661" s="54">
        <v>0</v>
      </c>
      <c r="S661" s="54">
        <v>1.71</v>
      </c>
      <c r="T661" s="53">
        <f>STOCK[[#This Row],[Costo Unitario (USD)]]+STOCK[[#This Row],[Costo Envío (USD)]]+STOCK[[#This Row],[Comisión 10%]]</f>
        <v>15.24</v>
      </c>
      <c r="U661" s="54">
        <f>STOCK[[#This Row],[Costo total]]*1.5</f>
        <v>22.86</v>
      </c>
      <c r="V661" s="54">
        <v>20</v>
      </c>
      <c r="W661" s="54">
        <f>STOCK[[#This Row],[Precio Final]]-STOCK[[#This Row],[Costo total]]</f>
        <v>4.76</v>
      </c>
      <c r="X661" s="54">
        <f>STOCK[[#This Row],[Ganancia Unitaria]]*STOCK[[#This Row],[Salidas]]</f>
        <v>4.76</v>
      </c>
      <c r="AA661" s="54">
        <f>STOCK[[#This Row],[Costo total]]*STOCK[[#This Row],[Entradas]]</f>
        <v>15.24</v>
      </c>
      <c r="AB661" s="54">
        <f>STOCK[[#This Row],[Stock Actual]]*STOCK[[#This Row],[Costo total]]</f>
        <v>0</v>
      </c>
    </row>
    <row r="662" s="53" customFormat="1" ht="50" customHeight="1" spans="1:28">
      <c r="A662" s="53" t="s">
        <v>1333</v>
      </c>
      <c r="B662" s="66"/>
      <c r="C662" s="53" t="s">
        <v>32</v>
      </c>
      <c r="D662" s="53" t="s">
        <v>174</v>
      </c>
      <c r="E662" s="67" t="s">
        <v>1334</v>
      </c>
      <c r="F662" s="53" t="s">
        <v>49</v>
      </c>
      <c r="G662" s="53" t="s">
        <v>36</v>
      </c>
      <c r="H662" s="53">
        <f>STOCK[[#This Row],[Precio Final]]</f>
        <v>20</v>
      </c>
      <c r="I662" s="53">
        <f>STOCK[[#This Row],[Precio Venta Ideal (x1.5)]]</f>
        <v>24.36</v>
      </c>
      <c r="J662" s="71">
        <v>1</v>
      </c>
      <c r="K662" s="71">
        <f>SUMIFS(VENTAS[Cantidad],VENTAS[Código del producto Vendido],STOCK[[#This Row],[Code]])</f>
        <v>1</v>
      </c>
      <c r="L662" s="71">
        <f>STOCK[[#This Row],[Entradas]]-STOCK[[#This Row],[Salidas]]</f>
        <v>0</v>
      </c>
      <c r="M662" s="53">
        <f>STOCK[[#This Row],[Precio Final]]*10%</f>
        <v>2</v>
      </c>
      <c r="N662" s="53">
        <v>0</v>
      </c>
      <c r="O662" s="53">
        <v>14.25</v>
      </c>
      <c r="P662" s="53">
        <v>12.53</v>
      </c>
      <c r="Q662" s="71">
        <v>0</v>
      </c>
      <c r="R662" s="53">
        <v>0</v>
      </c>
      <c r="S662" s="53">
        <v>1.71</v>
      </c>
      <c r="T662" s="53">
        <f>STOCK[[#This Row],[Costo Unitario (USD)]]+STOCK[[#This Row],[Costo Envío (USD)]]+STOCK[[#This Row],[Comisión 10%]]</f>
        <v>16.24</v>
      </c>
      <c r="U662" s="53">
        <f>STOCK[[#This Row],[Costo total]]*1.5</f>
        <v>24.36</v>
      </c>
      <c r="V662" s="53">
        <v>20</v>
      </c>
      <c r="W662" s="53">
        <f>STOCK[[#This Row],[Precio Final]]-STOCK[[#This Row],[Costo total]]</f>
        <v>3.76</v>
      </c>
      <c r="X662" s="53">
        <f>STOCK[[#This Row],[Ganancia Unitaria]]*STOCK[[#This Row],[Salidas]]</f>
        <v>3.76</v>
      </c>
      <c r="AA662" s="53">
        <f>STOCK[[#This Row],[Costo total]]*STOCK[[#This Row],[Entradas]]</f>
        <v>16.24</v>
      </c>
      <c r="AB662" s="53">
        <f>STOCK[[#This Row],[Stock Actual]]*STOCK[[#This Row],[Costo total]]</f>
        <v>0</v>
      </c>
    </row>
    <row r="663" s="54" customFormat="1" ht="50" customHeight="1" spans="1:28">
      <c r="A663" s="54" t="s">
        <v>1335</v>
      </c>
      <c r="B663" s="66"/>
      <c r="C663" s="54" t="s">
        <v>32</v>
      </c>
      <c r="D663" s="54" t="s">
        <v>174</v>
      </c>
      <c r="E663" s="68" t="s">
        <v>1336</v>
      </c>
      <c r="F663" s="54" t="s">
        <v>62</v>
      </c>
      <c r="G663" s="54" t="s">
        <v>36</v>
      </c>
      <c r="H663" s="54">
        <f>STOCK[[#This Row],[Precio Final]]</f>
        <v>20</v>
      </c>
      <c r="I663" s="54">
        <f>STOCK[[#This Row],[Precio Venta Ideal (x1.5)]]</f>
        <v>24.36</v>
      </c>
      <c r="J663" s="72">
        <v>1</v>
      </c>
      <c r="K663" s="72">
        <f>SUMIFS(VENTAS[Cantidad],VENTAS[Código del producto Vendido],STOCK[[#This Row],[Code]])</f>
        <v>1</v>
      </c>
      <c r="L663" s="72">
        <f>STOCK[[#This Row],[Entradas]]-STOCK[[#This Row],[Salidas]]</f>
        <v>0</v>
      </c>
      <c r="M663" s="54">
        <f>STOCK[[#This Row],[Precio Final]]*10%</f>
        <v>2</v>
      </c>
      <c r="N663" s="54">
        <v>0</v>
      </c>
      <c r="O663" s="54">
        <v>14.25</v>
      </c>
      <c r="P663" s="54">
        <v>12.53</v>
      </c>
      <c r="Q663" s="72">
        <v>0</v>
      </c>
      <c r="R663" s="54">
        <v>0</v>
      </c>
      <c r="S663" s="54">
        <v>1.71</v>
      </c>
      <c r="T663" s="53">
        <f>STOCK[[#This Row],[Costo Unitario (USD)]]+STOCK[[#This Row],[Costo Envío (USD)]]+STOCK[[#This Row],[Comisión 10%]]</f>
        <v>16.24</v>
      </c>
      <c r="U663" s="54">
        <f>STOCK[[#This Row],[Costo total]]*1.5</f>
        <v>24.36</v>
      </c>
      <c r="V663" s="54">
        <v>20</v>
      </c>
      <c r="W663" s="54">
        <f>STOCK[[#This Row],[Precio Final]]-STOCK[[#This Row],[Costo total]]</f>
        <v>3.76</v>
      </c>
      <c r="X663" s="54">
        <f>STOCK[[#This Row],[Ganancia Unitaria]]*STOCK[[#This Row],[Salidas]]</f>
        <v>3.76</v>
      </c>
      <c r="AA663" s="54">
        <f>STOCK[[#This Row],[Costo total]]*STOCK[[#This Row],[Entradas]]</f>
        <v>16.24</v>
      </c>
      <c r="AB663" s="54">
        <f>STOCK[[#This Row],[Stock Actual]]*STOCK[[#This Row],[Costo total]]</f>
        <v>0</v>
      </c>
    </row>
    <row r="664" s="53" customFormat="1" ht="50" customHeight="1" spans="1:28">
      <c r="A664" s="53" t="s">
        <v>1337</v>
      </c>
      <c r="B664" s="66"/>
      <c r="C664" s="53" t="s">
        <v>32</v>
      </c>
      <c r="D664" s="53" t="s">
        <v>174</v>
      </c>
      <c r="E664" s="67" t="s">
        <v>1338</v>
      </c>
      <c r="F664" s="53" t="s">
        <v>46</v>
      </c>
      <c r="G664" s="53" t="s">
        <v>36</v>
      </c>
      <c r="H664" s="53">
        <f>STOCK[[#This Row],[Precio Final]]</f>
        <v>25</v>
      </c>
      <c r="I664" s="53">
        <f>STOCK[[#This Row],[Precio Venta Ideal (x1.5)]]</f>
        <v>28.305</v>
      </c>
      <c r="J664" s="71">
        <v>2</v>
      </c>
      <c r="K664" s="71">
        <f>SUMIFS(VENTAS[Cantidad],VENTAS[Código del producto Vendido],STOCK[[#This Row],[Code]])</f>
        <v>2</v>
      </c>
      <c r="L664" s="71">
        <f>STOCK[[#This Row],[Entradas]]-STOCK[[#This Row],[Salidas]]</f>
        <v>0</v>
      </c>
      <c r="M664" s="53">
        <f>STOCK[[#This Row],[Precio Final]]*10%</f>
        <v>2.5</v>
      </c>
      <c r="N664" s="53">
        <v>0</v>
      </c>
      <c r="O664" s="53">
        <v>3.78</v>
      </c>
      <c r="P664" s="53">
        <v>14.66</v>
      </c>
      <c r="Q664" s="71">
        <v>0</v>
      </c>
      <c r="R664" s="53">
        <v>0</v>
      </c>
      <c r="S664" s="53">
        <v>1.71</v>
      </c>
      <c r="T664" s="53">
        <f>STOCK[[#This Row],[Costo Unitario (USD)]]+STOCK[[#This Row],[Costo Envío (USD)]]+STOCK[[#This Row],[Comisión 10%]]</f>
        <v>18.87</v>
      </c>
      <c r="U664" s="53">
        <f>STOCK[[#This Row],[Costo total]]*1.5</f>
        <v>28.305</v>
      </c>
      <c r="V664" s="53">
        <v>25</v>
      </c>
      <c r="W664" s="53">
        <f>STOCK[[#This Row],[Precio Final]]-STOCK[[#This Row],[Costo total]]</f>
        <v>6.13</v>
      </c>
      <c r="X664" s="53">
        <f>STOCK[[#This Row],[Ganancia Unitaria]]*STOCK[[#This Row],[Salidas]]</f>
        <v>12.26</v>
      </c>
      <c r="AA664" s="53">
        <f>STOCK[[#This Row],[Costo total]]*STOCK[[#This Row],[Entradas]]</f>
        <v>37.74</v>
      </c>
      <c r="AB664" s="53">
        <f>STOCK[[#This Row],[Stock Actual]]*STOCK[[#This Row],[Costo total]]</f>
        <v>0</v>
      </c>
    </row>
    <row r="665" s="54" customFormat="1" ht="50" customHeight="1" spans="1:28">
      <c r="A665" s="54" t="s">
        <v>1339</v>
      </c>
      <c r="B665" s="66"/>
      <c r="C665" s="54" t="s">
        <v>32</v>
      </c>
      <c r="D665" s="54" t="s">
        <v>174</v>
      </c>
      <c r="E665" s="68" t="s">
        <v>1340</v>
      </c>
      <c r="F665" s="54" t="s">
        <v>46</v>
      </c>
      <c r="G665" s="54" t="s">
        <v>36</v>
      </c>
      <c r="H665" s="54">
        <f>STOCK[[#This Row],[Precio Final]]</f>
        <v>25</v>
      </c>
      <c r="I665" s="54">
        <f>STOCK[[#This Row],[Precio Venta Ideal (x1.5)]]</f>
        <v>28.305</v>
      </c>
      <c r="J665" s="72">
        <v>2</v>
      </c>
      <c r="K665" s="72">
        <f>SUMIFS(VENTAS[Cantidad],VENTAS[Código del producto Vendido],STOCK[[#This Row],[Code]])</f>
        <v>1</v>
      </c>
      <c r="L665" s="72">
        <f>STOCK[[#This Row],[Entradas]]-STOCK[[#This Row],[Salidas]]</f>
        <v>1</v>
      </c>
      <c r="M665" s="54">
        <f>STOCK[[#This Row],[Precio Final]]*10%</f>
        <v>2.5</v>
      </c>
      <c r="N665" s="54">
        <v>0</v>
      </c>
      <c r="O665" s="54">
        <v>0</v>
      </c>
      <c r="P665" s="54">
        <v>14.66</v>
      </c>
      <c r="Q665" s="72">
        <v>0</v>
      </c>
      <c r="R665" s="54">
        <v>0</v>
      </c>
      <c r="S665" s="54">
        <v>1.71</v>
      </c>
      <c r="T665" s="53">
        <f>STOCK[[#This Row],[Costo Unitario (USD)]]+STOCK[[#This Row],[Costo Envío (USD)]]+STOCK[[#This Row],[Comisión 10%]]</f>
        <v>18.87</v>
      </c>
      <c r="U665" s="54">
        <f>STOCK[[#This Row],[Costo total]]*1.5</f>
        <v>28.305</v>
      </c>
      <c r="V665" s="54">
        <v>25</v>
      </c>
      <c r="W665" s="54">
        <f>STOCK[[#This Row],[Precio Final]]-STOCK[[#This Row],[Costo total]]</f>
        <v>6.13</v>
      </c>
      <c r="X665" s="54">
        <f>STOCK[[#This Row],[Ganancia Unitaria]]*STOCK[[#This Row],[Salidas]]</f>
        <v>6.13</v>
      </c>
      <c r="AA665" s="54">
        <f>STOCK[[#This Row],[Costo total]]*STOCK[[#This Row],[Entradas]]</f>
        <v>37.74</v>
      </c>
      <c r="AB665" s="54">
        <f>STOCK[[#This Row],[Stock Actual]]*STOCK[[#This Row],[Costo total]]</f>
        <v>18.87</v>
      </c>
    </row>
    <row r="666" s="53" customFormat="1" ht="50" customHeight="1" spans="1:28">
      <c r="A666" s="53" t="s">
        <v>1341</v>
      </c>
      <c r="B666" s="66"/>
      <c r="C666" s="53" t="s">
        <v>32</v>
      </c>
      <c r="D666" s="53" t="s">
        <v>174</v>
      </c>
      <c r="E666" s="67" t="s">
        <v>1342</v>
      </c>
      <c r="F666" s="53" t="s">
        <v>49</v>
      </c>
      <c r="G666" s="53" t="s">
        <v>36</v>
      </c>
      <c r="H666" s="53">
        <f>STOCK[[#This Row],[Precio Final]]</f>
        <v>25</v>
      </c>
      <c r="I666" s="53">
        <f>STOCK[[#This Row],[Precio Venta Ideal (x1.5)]]</f>
        <v>27.225</v>
      </c>
      <c r="J666" s="71">
        <v>2</v>
      </c>
      <c r="K666" s="71">
        <f>SUMIFS(VENTAS[Cantidad],VENTAS[Código del producto Vendido],STOCK[[#This Row],[Code]])</f>
        <v>2</v>
      </c>
      <c r="L666" s="71">
        <f>STOCK[[#This Row],[Entradas]]-STOCK[[#This Row],[Salidas]]</f>
        <v>0</v>
      </c>
      <c r="M666" s="53">
        <f>STOCK[[#This Row],[Precio Final]]*10%</f>
        <v>2.5</v>
      </c>
      <c r="N666" s="53">
        <v>0</v>
      </c>
      <c r="O666" s="53">
        <v>0</v>
      </c>
      <c r="P666" s="53">
        <v>13.94</v>
      </c>
      <c r="Q666" s="71">
        <v>0</v>
      </c>
      <c r="R666" s="53">
        <v>0</v>
      </c>
      <c r="S666" s="53">
        <v>1.71</v>
      </c>
      <c r="T666" s="53">
        <f>STOCK[[#This Row],[Costo Unitario (USD)]]+STOCK[[#This Row],[Costo Envío (USD)]]+STOCK[[#This Row],[Comisión 10%]]</f>
        <v>18.15</v>
      </c>
      <c r="U666" s="53">
        <f>STOCK[[#This Row],[Costo total]]*1.5</f>
        <v>27.225</v>
      </c>
      <c r="V666" s="53">
        <v>25</v>
      </c>
      <c r="W666" s="53">
        <f>STOCK[[#This Row],[Precio Final]]-STOCK[[#This Row],[Costo total]]</f>
        <v>6.85</v>
      </c>
      <c r="X666" s="53">
        <f>STOCK[[#This Row],[Ganancia Unitaria]]*STOCK[[#This Row],[Salidas]]</f>
        <v>13.7</v>
      </c>
      <c r="AA666" s="53">
        <f>STOCK[[#This Row],[Costo total]]*STOCK[[#This Row],[Entradas]]</f>
        <v>36.3</v>
      </c>
      <c r="AB666" s="53">
        <f>STOCK[[#This Row],[Stock Actual]]*STOCK[[#This Row],[Costo total]]</f>
        <v>0</v>
      </c>
    </row>
    <row r="667" s="54" customFormat="1" ht="50" customHeight="1" spans="1:28">
      <c r="A667" s="54" t="s">
        <v>1343</v>
      </c>
      <c r="B667" s="66"/>
      <c r="C667" s="54" t="s">
        <v>32</v>
      </c>
      <c r="D667" s="54" t="s">
        <v>174</v>
      </c>
      <c r="E667" s="68" t="s">
        <v>1342</v>
      </c>
      <c r="F667" s="54" t="s">
        <v>40</v>
      </c>
      <c r="G667" s="54" t="s">
        <v>36</v>
      </c>
      <c r="H667" s="54">
        <f>STOCK[[#This Row],[Precio Final]]</f>
        <v>25</v>
      </c>
      <c r="I667" s="54">
        <f>STOCK[[#This Row],[Precio Venta Ideal (x1.5)]]</f>
        <v>27.225</v>
      </c>
      <c r="J667" s="72">
        <v>2</v>
      </c>
      <c r="K667" s="72">
        <f>SUMIFS(VENTAS[Cantidad],VENTAS[Código del producto Vendido],STOCK[[#This Row],[Code]])</f>
        <v>2</v>
      </c>
      <c r="L667" s="72">
        <f>STOCK[[#This Row],[Entradas]]-STOCK[[#This Row],[Salidas]]</f>
        <v>0</v>
      </c>
      <c r="M667" s="54">
        <f>STOCK[[#This Row],[Precio Final]]*10%</f>
        <v>2.5</v>
      </c>
      <c r="N667" s="54">
        <v>0</v>
      </c>
      <c r="O667" s="54">
        <v>0</v>
      </c>
      <c r="P667" s="54">
        <v>13.94</v>
      </c>
      <c r="Q667" s="72">
        <v>0</v>
      </c>
      <c r="R667" s="54">
        <v>0</v>
      </c>
      <c r="S667" s="54">
        <v>1.71</v>
      </c>
      <c r="T667" s="53">
        <f>STOCK[[#This Row],[Costo Unitario (USD)]]+STOCK[[#This Row],[Costo Envío (USD)]]+STOCK[[#This Row],[Comisión 10%]]</f>
        <v>18.15</v>
      </c>
      <c r="U667" s="54">
        <f>STOCK[[#This Row],[Costo total]]*1.5</f>
        <v>27.225</v>
      </c>
      <c r="V667" s="54">
        <v>25</v>
      </c>
      <c r="W667" s="54">
        <f>STOCK[[#This Row],[Precio Final]]-STOCK[[#This Row],[Costo total]]</f>
        <v>6.85</v>
      </c>
      <c r="X667" s="54">
        <f>STOCK[[#This Row],[Ganancia Unitaria]]*STOCK[[#This Row],[Salidas]]</f>
        <v>13.7</v>
      </c>
      <c r="AA667" s="54">
        <f>STOCK[[#This Row],[Costo total]]*STOCK[[#This Row],[Entradas]]</f>
        <v>36.3</v>
      </c>
      <c r="AB667" s="54">
        <f>STOCK[[#This Row],[Stock Actual]]*STOCK[[#This Row],[Costo total]]</f>
        <v>0</v>
      </c>
    </row>
    <row r="668" s="53" customFormat="1" ht="50" customHeight="1" spans="1:28">
      <c r="A668" s="53" t="s">
        <v>1344</v>
      </c>
      <c r="B668" s="66" t="s">
        <v>1345</v>
      </c>
      <c r="C668" s="53" t="s">
        <v>32</v>
      </c>
      <c r="D668" s="53" t="s">
        <v>174</v>
      </c>
      <c r="E668" s="67" t="s">
        <v>1346</v>
      </c>
      <c r="F668" s="53" t="s">
        <v>1347</v>
      </c>
      <c r="G668" s="53" t="s">
        <v>36</v>
      </c>
      <c r="H668" s="53">
        <f>STOCK[[#This Row],[Precio Final]]</f>
        <v>18</v>
      </c>
      <c r="I668" s="53">
        <f>STOCK[[#This Row],[Precio Venta Ideal (x1.5)]]</f>
        <v>19.2</v>
      </c>
      <c r="J668" s="71">
        <v>0</v>
      </c>
      <c r="K668" s="71">
        <f>SUMIFS(VENTAS[Cantidad],VENTAS[Código del producto Vendido],STOCK[[#This Row],[Code]])</f>
        <v>0</v>
      </c>
      <c r="L668" s="71">
        <f>STOCK[[#This Row],[Entradas]]-STOCK[[#This Row],[Salidas]]</f>
        <v>0</v>
      </c>
      <c r="M668" s="53">
        <f>STOCK[[#This Row],[Precio Final]]*10%</f>
        <v>1.8</v>
      </c>
      <c r="N668" s="53">
        <v>0</v>
      </c>
      <c r="O668" s="53">
        <v>28.5</v>
      </c>
      <c r="P668" s="53">
        <v>8</v>
      </c>
      <c r="Q668" s="71">
        <v>0</v>
      </c>
      <c r="R668" s="53">
        <v>0</v>
      </c>
      <c r="S668" s="53">
        <v>3</v>
      </c>
      <c r="T668" s="53">
        <f>STOCK[[#This Row],[Costo Unitario (USD)]]+STOCK[[#This Row],[Costo Envío (USD)]]+STOCK[[#This Row],[Comisión 10%]]</f>
        <v>12.8</v>
      </c>
      <c r="U668" s="53">
        <f>STOCK[[#This Row],[Costo total]]*1.5</f>
        <v>19.2</v>
      </c>
      <c r="V668" s="53">
        <v>18</v>
      </c>
      <c r="W668" s="53">
        <f>STOCK[[#This Row],[Precio Final]]-STOCK[[#This Row],[Costo total]]</f>
        <v>5.2</v>
      </c>
      <c r="X668" s="53">
        <f>STOCK[[#This Row],[Ganancia Unitaria]]*STOCK[[#This Row],[Salidas]]</f>
        <v>0</v>
      </c>
      <c r="AA668" s="53">
        <f>STOCK[[#This Row],[Costo total]]*STOCK[[#This Row],[Entradas]]</f>
        <v>0</v>
      </c>
      <c r="AB668" s="53">
        <f>STOCK[[#This Row],[Stock Actual]]*STOCK[[#This Row],[Costo total]]</f>
        <v>0</v>
      </c>
    </row>
    <row r="669" s="54" customFormat="1" ht="50" customHeight="1" spans="1:28">
      <c r="A669" s="54" t="s">
        <v>1348</v>
      </c>
      <c r="B669" s="66"/>
      <c r="C669" s="54" t="s">
        <v>32</v>
      </c>
      <c r="D669" s="54" t="s">
        <v>174</v>
      </c>
      <c r="E669" s="68" t="s">
        <v>1349</v>
      </c>
      <c r="F669" s="54" t="s">
        <v>62</v>
      </c>
      <c r="G669" s="54" t="s">
        <v>36</v>
      </c>
      <c r="H669" s="54">
        <f>STOCK[[#This Row],[Precio Final]]</f>
        <v>22</v>
      </c>
      <c r="I669" s="54">
        <f>STOCK[[#This Row],[Precio Venta Ideal (x1.5)]]</f>
        <v>25.8</v>
      </c>
      <c r="J669" s="72">
        <v>1</v>
      </c>
      <c r="K669" s="72">
        <f>SUMIFS(VENTAS[Cantidad],VENTAS[Código del producto Vendido],STOCK[[#This Row],[Code]])</f>
        <v>1</v>
      </c>
      <c r="L669" s="72">
        <f>STOCK[[#This Row],[Entradas]]-STOCK[[#This Row],[Salidas]]</f>
        <v>0</v>
      </c>
      <c r="M669" s="54">
        <f>STOCK[[#This Row],[Precio Final]]*10%</f>
        <v>2.2</v>
      </c>
      <c r="N669" s="54">
        <v>0</v>
      </c>
      <c r="O669" s="54">
        <v>19.38</v>
      </c>
      <c r="P669" s="54">
        <v>12</v>
      </c>
      <c r="Q669" s="72">
        <v>0</v>
      </c>
      <c r="R669" s="54">
        <v>0</v>
      </c>
      <c r="S669" s="54">
        <v>3</v>
      </c>
      <c r="T669" s="53">
        <f>STOCK[[#This Row],[Costo Unitario (USD)]]+STOCK[[#This Row],[Costo Envío (USD)]]+STOCK[[#This Row],[Comisión 10%]]</f>
        <v>17.2</v>
      </c>
      <c r="U669" s="54">
        <f>STOCK[[#This Row],[Costo total]]*1.5</f>
        <v>25.8</v>
      </c>
      <c r="V669" s="54">
        <v>22</v>
      </c>
      <c r="W669" s="54">
        <f>STOCK[[#This Row],[Precio Final]]-STOCK[[#This Row],[Costo total]]</f>
        <v>4.8</v>
      </c>
      <c r="X669" s="54">
        <f>STOCK[[#This Row],[Ganancia Unitaria]]*STOCK[[#This Row],[Salidas]]</f>
        <v>4.8</v>
      </c>
      <c r="AA669" s="54">
        <f>STOCK[[#This Row],[Costo total]]*STOCK[[#This Row],[Entradas]]</f>
        <v>17.2</v>
      </c>
      <c r="AB669" s="54">
        <f>STOCK[[#This Row],[Stock Actual]]*STOCK[[#This Row],[Costo total]]</f>
        <v>0</v>
      </c>
    </row>
    <row r="670" s="53" customFormat="1" ht="50" customHeight="1" spans="1:28">
      <c r="A670" s="53" t="s">
        <v>1350</v>
      </c>
      <c r="B670" s="66"/>
      <c r="C670" s="53" t="s">
        <v>32</v>
      </c>
      <c r="D670" s="53" t="s">
        <v>174</v>
      </c>
      <c r="E670" s="67" t="s">
        <v>1349</v>
      </c>
      <c r="F670" s="53" t="s">
        <v>40</v>
      </c>
      <c r="G670" s="53" t="s">
        <v>704</v>
      </c>
      <c r="H670" s="53">
        <f>STOCK[[#This Row],[Precio Final]]</f>
        <v>22</v>
      </c>
      <c r="I670" s="53">
        <f>STOCK[[#This Row],[Precio Venta Ideal (x1.5)]]</f>
        <v>25.8</v>
      </c>
      <c r="J670" s="71">
        <v>1</v>
      </c>
      <c r="K670" s="71">
        <f>SUMIFS(VENTAS[Cantidad],VENTAS[Código del producto Vendido],STOCK[[#This Row],[Code]])</f>
        <v>1</v>
      </c>
      <c r="L670" s="71">
        <f>STOCK[[#This Row],[Entradas]]-STOCK[[#This Row],[Salidas]]</f>
        <v>0</v>
      </c>
      <c r="M670" s="53">
        <f>STOCK[[#This Row],[Precio Final]]*10%</f>
        <v>2.2</v>
      </c>
      <c r="N670" s="53">
        <v>0</v>
      </c>
      <c r="O670" s="53">
        <v>19.38</v>
      </c>
      <c r="P670" s="53">
        <v>12</v>
      </c>
      <c r="Q670" s="71">
        <v>0</v>
      </c>
      <c r="R670" s="53">
        <v>0</v>
      </c>
      <c r="S670" s="53">
        <v>3</v>
      </c>
      <c r="T670" s="53">
        <f>STOCK[[#This Row],[Costo Unitario (USD)]]+STOCK[[#This Row],[Costo Envío (USD)]]+STOCK[[#This Row],[Comisión 10%]]</f>
        <v>17.2</v>
      </c>
      <c r="U670" s="53">
        <f>STOCK[[#This Row],[Costo total]]*1.5</f>
        <v>25.8</v>
      </c>
      <c r="V670" s="53">
        <v>22</v>
      </c>
      <c r="W670" s="53">
        <f>STOCK[[#This Row],[Precio Final]]-STOCK[[#This Row],[Costo total]]</f>
        <v>4.8</v>
      </c>
      <c r="X670" s="53">
        <f>STOCK[[#This Row],[Ganancia Unitaria]]*STOCK[[#This Row],[Salidas]]</f>
        <v>4.8</v>
      </c>
      <c r="AA670" s="53">
        <f>STOCK[[#This Row],[Costo total]]*STOCK[[#This Row],[Entradas]]</f>
        <v>17.2</v>
      </c>
      <c r="AB670" s="53">
        <f>STOCK[[#This Row],[Stock Actual]]*STOCK[[#This Row],[Costo total]]</f>
        <v>0</v>
      </c>
    </row>
    <row r="671" s="54" customFormat="1" ht="50" customHeight="1" spans="1:28">
      <c r="A671" s="54" t="s">
        <v>1351</v>
      </c>
      <c r="B671" s="66"/>
      <c r="C671" s="54" t="s">
        <v>32</v>
      </c>
      <c r="D671" s="54" t="s">
        <v>174</v>
      </c>
      <c r="E671" s="68" t="s">
        <v>1352</v>
      </c>
      <c r="F671" s="54" t="s">
        <v>40</v>
      </c>
      <c r="G671" s="54" t="s">
        <v>704</v>
      </c>
      <c r="H671" s="54">
        <f>STOCK[[#This Row],[Precio Final]]</f>
        <v>18</v>
      </c>
      <c r="I671" s="54">
        <f>STOCK[[#This Row],[Precio Venta Ideal (x1.5)]]</f>
        <v>17.7</v>
      </c>
      <c r="J671" s="72">
        <v>0</v>
      </c>
      <c r="K671" s="72">
        <f>SUMIFS(VENTAS[Cantidad],VENTAS[Código del producto Vendido],STOCK[[#This Row],[Code]])</f>
        <v>0</v>
      </c>
      <c r="L671" s="72">
        <f>STOCK[[#This Row],[Entradas]]-STOCK[[#This Row],[Salidas]]</f>
        <v>0</v>
      </c>
      <c r="M671" s="54">
        <f>STOCK[[#This Row],[Precio Final]]*10%</f>
        <v>1.8</v>
      </c>
      <c r="N671" s="54">
        <v>0</v>
      </c>
      <c r="O671" s="54">
        <v>9.38</v>
      </c>
      <c r="P671" s="54">
        <v>8</v>
      </c>
      <c r="Q671" s="72">
        <v>0</v>
      </c>
      <c r="R671" s="54">
        <v>0</v>
      </c>
      <c r="S671" s="54">
        <v>2</v>
      </c>
      <c r="T671" s="53">
        <f>STOCK[[#This Row],[Costo Unitario (USD)]]+STOCK[[#This Row],[Costo Envío (USD)]]+STOCK[[#This Row],[Comisión 10%]]</f>
        <v>11.8</v>
      </c>
      <c r="U671" s="54">
        <f>STOCK[[#This Row],[Costo total]]*1.5</f>
        <v>17.7</v>
      </c>
      <c r="V671" s="54">
        <v>18</v>
      </c>
      <c r="W671" s="54">
        <f>STOCK[[#This Row],[Precio Final]]-STOCK[[#This Row],[Costo total]]</f>
        <v>6.2</v>
      </c>
      <c r="X671" s="54">
        <f>STOCK[[#This Row],[Ganancia Unitaria]]*STOCK[[#This Row],[Salidas]]</f>
        <v>0</v>
      </c>
      <c r="AA671" s="54">
        <f>STOCK[[#This Row],[Costo total]]*STOCK[[#This Row],[Entradas]]</f>
        <v>0</v>
      </c>
      <c r="AB671" s="54">
        <f>STOCK[[#This Row],[Stock Actual]]*STOCK[[#This Row],[Costo total]]</f>
        <v>0</v>
      </c>
    </row>
    <row r="672" s="53" customFormat="1" ht="50" customHeight="1" spans="1:28">
      <c r="A672" s="53" t="s">
        <v>1353</v>
      </c>
      <c r="B672" s="66"/>
      <c r="C672" s="53" t="s">
        <v>32</v>
      </c>
      <c r="D672" s="53" t="s">
        <v>174</v>
      </c>
      <c r="E672" s="67" t="s">
        <v>1354</v>
      </c>
      <c r="F672" s="53" t="s">
        <v>62</v>
      </c>
      <c r="G672" s="53" t="s">
        <v>704</v>
      </c>
      <c r="H672" s="53">
        <f>STOCK[[#This Row],[Precio Final]]</f>
        <v>22</v>
      </c>
      <c r="I672" s="53">
        <f>STOCK[[#This Row],[Precio Venta Ideal (x1.5)]]</f>
        <v>33.3</v>
      </c>
      <c r="J672" s="71">
        <v>2</v>
      </c>
      <c r="K672" s="71">
        <f>SUMIFS(VENTAS[Cantidad],VENTAS[Código del producto Vendido],STOCK[[#This Row],[Code]])</f>
        <v>2</v>
      </c>
      <c r="L672" s="71">
        <f>STOCK[[#This Row],[Entradas]]-STOCK[[#This Row],[Salidas]]</f>
        <v>0</v>
      </c>
      <c r="M672" s="53">
        <f>STOCK[[#This Row],[Precio Final]]*10%</f>
        <v>2.2</v>
      </c>
      <c r="N672" s="53">
        <v>0</v>
      </c>
      <c r="O672" s="53">
        <v>17.5</v>
      </c>
      <c r="P672" s="53">
        <v>16</v>
      </c>
      <c r="Q672" s="71">
        <v>0</v>
      </c>
      <c r="R672" s="53">
        <v>0</v>
      </c>
      <c r="S672" s="53">
        <v>4</v>
      </c>
      <c r="T672" s="53">
        <f>STOCK[[#This Row],[Costo Unitario (USD)]]+STOCK[[#This Row],[Costo Envío (USD)]]+STOCK[[#This Row],[Comisión 10%]]</f>
        <v>22.2</v>
      </c>
      <c r="U672" s="53">
        <f>STOCK[[#This Row],[Costo total]]*1.5</f>
        <v>33.3</v>
      </c>
      <c r="V672" s="53">
        <v>22</v>
      </c>
      <c r="W672" s="53">
        <f>STOCK[[#This Row],[Precio Final]]-STOCK[[#This Row],[Costo total]]</f>
        <v>-0.199999999999999</v>
      </c>
      <c r="X672" s="53">
        <f>STOCK[[#This Row],[Ganancia Unitaria]]*STOCK[[#This Row],[Salidas]]</f>
        <v>-0.399999999999999</v>
      </c>
      <c r="AA672" s="53">
        <f>STOCK[[#This Row],[Costo total]]*STOCK[[#This Row],[Entradas]]</f>
        <v>44.4</v>
      </c>
      <c r="AB672" s="53">
        <f>STOCK[[#This Row],[Stock Actual]]*STOCK[[#This Row],[Costo total]]</f>
        <v>0</v>
      </c>
    </row>
    <row r="673" s="54" customFormat="1" ht="50" customHeight="1" spans="1:28">
      <c r="A673" s="54" t="s">
        <v>1355</v>
      </c>
      <c r="B673" s="66"/>
      <c r="C673" s="54" t="s">
        <v>32</v>
      </c>
      <c r="D673" s="54" t="s">
        <v>174</v>
      </c>
      <c r="E673" s="68" t="s">
        <v>1356</v>
      </c>
      <c r="F673" s="54" t="s">
        <v>40</v>
      </c>
      <c r="G673" s="54" t="s">
        <v>704</v>
      </c>
      <c r="H673" s="54">
        <f>STOCK[[#This Row],[Precio Final]]</f>
        <v>45</v>
      </c>
      <c r="I673" s="54">
        <f>STOCK[[#This Row],[Precio Venta Ideal (x1.5)]]</f>
        <v>50.25</v>
      </c>
      <c r="J673" s="72">
        <v>0</v>
      </c>
      <c r="K673" s="72">
        <f>SUMIFS(VENTAS[Cantidad],VENTAS[Código del producto Vendido],STOCK[[#This Row],[Code]])</f>
        <v>0</v>
      </c>
      <c r="L673" s="72">
        <f>STOCK[[#This Row],[Entradas]]-STOCK[[#This Row],[Salidas]]</f>
        <v>0</v>
      </c>
      <c r="M673" s="54">
        <f>STOCK[[#This Row],[Precio Final]]*10%</f>
        <v>4.5</v>
      </c>
      <c r="N673" s="54">
        <v>0</v>
      </c>
      <c r="O673" s="54">
        <v>28.13</v>
      </c>
      <c r="P673" s="54">
        <v>25</v>
      </c>
      <c r="Q673" s="72">
        <v>0</v>
      </c>
      <c r="R673" s="54">
        <v>0</v>
      </c>
      <c r="S673" s="54">
        <v>4</v>
      </c>
      <c r="T673" s="53">
        <f>STOCK[[#This Row],[Costo Unitario (USD)]]+STOCK[[#This Row],[Costo Envío (USD)]]+STOCK[[#This Row],[Comisión 10%]]</f>
        <v>33.5</v>
      </c>
      <c r="U673" s="54">
        <f>STOCK[[#This Row],[Costo total]]*1.5</f>
        <v>50.25</v>
      </c>
      <c r="V673" s="54">
        <v>45</v>
      </c>
      <c r="W673" s="54">
        <f>STOCK[[#This Row],[Precio Final]]-STOCK[[#This Row],[Costo total]]</f>
        <v>11.5</v>
      </c>
      <c r="X673" s="54">
        <f>STOCK[[#This Row],[Ganancia Unitaria]]*STOCK[[#This Row],[Salidas]]</f>
        <v>0</v>
      </c>
      <c r="AA673" s="54">
        <f>STOCK[[#This Row],[Costo total]]*STOCK[[#This Row],[Entradas]]</f>
        <v>0</v>
      </c>
      <c r="AB673" s="54">
        <f>STOCK[[#This Row],[Stock Actual]]*STOCK[[#This Row],[Costo total]]</f>
        <v>0</v>
      </c>
    </row>
    <row r="674" s="53" customFormat="1" ht="50" customHeight="1" spans="1:28">
      <c r="A674" s="53" t="s">
        <v>1357</v>
      </c>
      <c r="B674" s="66"/>
      <c r="C674" s="53" t="s">
        <v>32</v>
      </c>
      <c r="D674" s="53" t="s">
        <v>780</v>
      </c>
      <c r="E674" s="67" t="s">
        <v>1358</v>
      </c>
      <c r="F674" s="53" t="s">
        <v>1047</v>
      </c>
      <c r="G674" s="53" t="s">
        <v>704</v>
      </c>
      <c r="H674" s="53">
        <f>STOCK[[#This Row],[Precio Final]]</f>
        <v>30</v>
      </c>
      <c r="I674" s="53">
        <f>STOCK[[#This Row],[Precio Venta Ideal (x1.5)]]</f>
        <v>39</v>
      </c>
      <c r="J674" s="71">
        <v>1</v>
      </c>
      <c r="K674" s="71">
        <f>SUMIFS(VENTAS[Cantidad],VENTAS[Código del producto Vendido],STOCK[[#This Row],[Code]])</f>
        <v>0</v>
      </c>
      <c r="L674" s="71">
        <f>STOCK[[#This Row],[Entradas]]-STOCK[[#This Row],[Salidas]]</f>
        <v>1</v>
      </c>
      <c r="M674" s="53">
        <f>STOCK[[#This Row],[Precio Final]]*10%</f>
        <v>3</v>
      </c>
      <c r="N674" s="53">
        <v>0</v>
      </c>
      <c r="O674" s="53">
        <v>0</v>
      </c>
      <c r="P674" s="53">
        <v>19</v>
      </c>
      <c r="Q674" s="71">
        <v>0</v>
      </c>
      <c r="R674" s="53">
        <v>0</v>
      </c>
      <c r="S674" s="53">
        <v>4</v>
      </c>
      <c r="T674" s="53">
        <f>STOCK[[#This Row],[Costo Unitario (USD)]]+STOCK[[#This Row],[Costo Envío (USD)]]+STOCK[[#This Row],[Comisión 10%]]</f>
        <v>26</v>
      </c>
      <c r="U674" s="53">
        <f>STOCK[[#This Row],[Costo total]]*1.5</f>
        <v>39</v>
      </c>
      <c r="V674" s="53">
        <v>30</v>
      </c>
      <c r="W674" s="53">
        <f>STOCK[[#This Row],[Precio Final]]-STOCK[[#This Row],[Costo total]]</f>
        <v>4</v>
      </c>
      <c r="X674" s="53">
        <f>STOCK[[#This Row],[Ganancia Unitaria]]*STOCK[[#This Row],[Salidas]]</f>
        <v>0</v>
      </c>
      <c r="AA674" s="53">
        <f>STOCK[[#This Row],[Costo total]]*STOCK[[#This Row],[Entradas]]</f>
        <v>26</v>
      </c>
      <c r="AB674" s="53">
        <f>STOCK[[#This Row],[Stock Actual]]*STOCK[[#This Row],[Costo total]]</f>
        <v>26</v>
      </c>
    </row>
    <row r="675" s="54" customFormat="1" ht="50" customHeight="1" spans="1:28">
      <c r="A675" s="54" t="s">
        <v>1359</v>
      </c>
      <c r="B675" s="66"/>
      <c r="C675" s="54" t="s">
        <v>32</v>
      </c>
      <c r="D675" s="54" t="s">
        <v>174</v>
      </c>
      <c r="E675" s="68" t="s">
        <v>1360</v>
      </c>
      <c r="F675" s="54" t="s">
        <v>1047</v>
      </c>
      <c r="G675" s="54" t="s">
        <v>704</v>
      </c>
      <c r="H675" s="54">
        <f>STOCK[[#This Row],[Precio Final]]</f>
        <v>25</v>
      </c>
      <c r="I675" s="54">
        <f>STOCK[[#This Row],[Precio Venta Ideal (x1.5)]]</f>
        <v>26.925</v>
      </c>
      <c r="J675" s="72">
        <v>1</v>
      </c>
      <c r="K675" s="72">
        <f>SUMIFS(VENTAS[Cantidad],VENTAS[Código del producto Vendido],STOCK[[#This Row],[Code]])</f>
        <v>1</v>
      </c>
      <c r="L675" s="72">
        <f>STOCK[[#This Row],[Entradas]]-STOCK[[#This Row],[Salidas]]</f>
        <v>0</v>
      </c>
      <c r="M675" s="54">
        <f>STOCK[[#This Row],[Precio Final]]*10%</f>
        <v>2.5</v>
      </c>
      <c r="N675" s="54">
        <v>0</v>
      </c>
      <c r="O675" s="54">
        <v>12.44</v>
      </c>
      <c r="P675" s="54">
        <v>12.45</v>
      </c>
      <c r="Q675" s="72">
        <v>0</v>
      </c>
      <c r="R675" s="54">
        <v>0</v>
      </c>
      <c r="S675" s="54">
        <v>3</v>
      </c>
      <c r="T675" s="53">
        <f>STOCK[[#This Row],[Costo Unitario (USD)]]+STOCK[[#This Row],[Costo Envío (USD)]]+STOCK[[#This Row],[Comisión 10%]]</f>
        <v>17.95</v>
      </c>
      <c r="U675" s="54">
        <f>STOCK[[#This Row],[Costo total]]*1.5</f>
        <v>26.925</v>
      </c>
      <c r="V675" s="54">
        <v>25</v>
      </c>
      <c r="W675" s="54">
        <f>STOCK[[#This Row],[Precio Final]]-STOCK[[#This Row],[Costo total]]</f>
        <v>7.05</v>
      </c>
      <c r="X675" s="54">
        <f>STOCK[[#This Row],[Ganancia Unitaria]]*STOCK[[#This Row],[Salidas]]</f>
        <v>7.05</v>
      </c>
      <c r="AA675" s="54">
        <f>STOCK[[#This Row],[Costo total]]*STOCK[[#This Row],[Entradas]]</f>
        <v>17.95</v>
      </c>
      <c r="AB675" s="54">
        <f>STOCK[[#This Row],[Stock Actual]]*STOCK[[#This Row],[Costo total]]</f>
        <v>0</v>
      </c>
    </row>
    <row r="676" s="53" customFormat="1" ht="50" customHeight="1" spans="1:28">
      <c r="A676" s="53" t="s">
        <v>1361</v>
      </c>
      <c r="B676" s="66"/>
      <c r="C676" s="53" t="s">
        <v>32</v>
      </c>
      <c r="D676" s="53" t="s">
        <v>1362</v>
      </c>
      <c r="E676" s="67" t="s">
        <v>1363</v>
      </c>
      <c r="F676" s="53" t="s">
        <v>46</v>
      </c>
      <c r="G676" s="53" t="s">
        <v>704</v>
      </c>
      <c r="H676" s="53">
        <f>STOCK[[#This Row],[Precio Final]]</f>
        <v>25</v>
      </c>
      <c r="I676" s="53">
        <f>STOCK[[#This Row],[Precio Venta Ideal (x1.5)]]</f>
        <v>26.925</v>
      </c>
      <c r="J676" s="71">
        <v>1</v>
      </c>
      <c r="K676" s="71">
        <f>SUMIFS(VENTAS[Cantidad],VENTAS[Código del producto Vendido],STOCK[[#This Row],[Code]])</f>
        <v>0</v>
      </c>
      <c r="L676" s="71">
        <f>STOCK[[#This Row],[Entradas]]-STOCK[[#This Row],[Salidas]]</f>
        <v>1</v>
      </c>
      <c r="M676" s="53">
        <f>STOCK[[#This Row],[Precio Final]]*10%</f>
        <v>2.5</v>
      </c>
      <c r="N676" s="53">
        <v>0</v>
      </c>
      <c r="O676" s="53">
        <v>12.44</v>
      </c>
      <c r="P676" s="53">
        <v>12.45</v>
      </c>
      <c r="Q676" s="71">
        <v>0</v>
      </c>
      <c r="R676" s="53">
        <v>0</v>
      </c>
      <c r="S676" s="53">
        <v>3</v>
      </c>
      <c r="T676" s="53">
        <f>STOCK[[#This Row],[Costo Unitario (USD)]]+STOCK[[#This Row],[Costo Envío (USD)]]+STOCK[[#This Row],[Comisión 10%]]</f>
        <v>17.95</v>
      </c>
      <c r="U676" s="53">
        <f>STOCK[[#This Row],[Costo total]]*1.5</f>
        <v>26.925</v>
      </c>
      <c r="V676" s="53">
        <v>25</v>
      </c>
      <c r="W676" s="53">
        <f>STOCK[[#This Row],[Precio Final]]-STOCK[[#This Row],[Costo total]]</f>
        <v>7.05</v>
      </c>
      <c r="X676" s="53">
        <f>STOCK[[#This Row],[Ganancia Unitaria]]*STOCK[[#This Row],[Salidas]]</f>
        <v>0</v>
      </c>
      <c r="AA676" s="53">
        <f>STOCK[[#This Row],[Costo total]]*STOCK[[#This Row],[Entradas]]</f>
        <v>17.95</v>
      </c>
      <c r="AB676" s="53">
        <f>STOCK[[#This Row],[Stock Actual]]*STOCK[[#This Row],[Costo total]]</f>
        <v>17.95</v>
      </c>
    </row>
    <row r="677" s="54" customFormat="1" ht="50" customHeight="1" spans="1:28">
      <c r="A677" s="54" t="s">
        <v>1364</v>
      </c>
      <c r="B677" s="66"/>
      <c r="C677" s="54" t="s">
        <v>32</v>
      </c>
      <c r="D677" s="54" t="s">
        <v>780</v>
      </c>
      <c r="E677" s="67" t="s">
        <v>1363</v>
      </c>
      <c r="F677" s="54" t="s">
        <v>49</v>
      </c>
      <c r="G677" s="54" t="s">
        <v>704</v>
      </c>
      <c r="H677" s="54">
        <f>STOCK[[#This Row],[Precio Final]]</f>
        <v>25</v>
      </c>
      <c r="I677" s="54">
        <f>STOCK[[#This Row],[Precio Venta Ideal (x1.5)]]</f>
        <v>26.925</v>
      </c>
      <c r="J677" s="72">
        <v>1</v>
      </c>
      <c r="K677" s="72">
        <f>SUMIFS(VENTAS[Cantidad],VENTAS[Código del producto Vendido],STOCK[[#This Row],[Code]])</f>
        <v>0</v>
      </c>
      <c r="L677" s="72">
        <f>STOCK[[#This Row],[Entradas]]-STOCK[[#This Row],[Salidas]]</f>
        <v>1</v>
      </c>
      <c r="M677" s="54">
        <f>STOCK[[#This Row],[Precio Final]]*10%</f>
        <v>2.5</v>
      </c>
      <c r="N677" s="54">
        <v>0</v>
      </c>
      <c r="O677" s="54">
        <v>12.44</v>
      </c>
      <c r="P677" s="54">
        <v>12.45</v>
      </c>
      <c r="Q677" s="72">
        <v>0</v>
      </c>
      <c r="R677" s="54">
        <v>0</v>
      </c>
      <c r="S677" s="54">
        <v>3</v>
      </c>
      <c r="T677" s="53">
        <f>STOCK[[#This Row],[Costo Unitario (USD)]]+STOCK[[#This Row],[Costo Envío (USD)]]+STOCK[[#This Row],[Comisión 10%]]</f>
        <v>17.95</v>
      </c>
      <c r="U677" s="54">
        <f>STOCK[[#This Row],[Costo total]]*1.5</f>
        <v>26.925</v>
      </c>
      <c r="V677" s="54">
        <v>25</v>
      </c>
      <c r="W677" s="54">
        <f>STOCK[[#This Row],[Precio Final]]-STOCK[[#This Row],[Costo total]]</f>
        <v>7.05</v>
      </c>
      <c r="X677" s="54">
        <f>STOCK[[#This Row],[Ganancia Unitaria]]*STOCK[[#This Row],[Salidas]]</f>
        <v>0</v>
      </c>
      <c r="AA677" s="54">
        <f>STOCK[[#This Row],[Costo total]]*STOCK[[#This Row],[Entradas]]</f>
        <v>17.95</v>
      </c>
      <c r="AB677" s="54">
        <f>STOCK[[#This Row],[Stock Actual]]*STOCK[[#This Row],[Costo total]]</f>
        <v>17.95</v>
      </c>
    </row>
    <row r="678" s="53" customFormat="1" ht="50" customHeight="1" spans="1:28">
      <c r="A678" s="53" t="s">
        <v>1365</v>
      </c>
      <c r="B678" s="66"/>
      <c r="C678" s="53" t="s">
        <v>32</v>
      </c>
      <c r="D678" s="53" t="s">
        <v>44</v>
      </c>
      <c r="E678" s="67" t="s">
        <v>1366</v>
      </c>
      <c r="F678" s="53" t="s">
        <v>49</v>
      </c>
      <c r="G678" s="53" t="s">
        <v>36</v>
      </c>
      <c r="H678" s="53">
        <f>STOCK[[#This Row],[Precio Final]]</f>
        <v>25</v>
      </c>
      <c r="I678" s="53">
        <f>STOCK[[#This Row],[Precio Venta Ideal (x1.5)]]</f>
        <v>31.995</v>
      </c>
      <c r="J678" s="71">
        <v>2</v>
      </c>
      <c r="K678" s="71">
        <f>SUMIFS(VENTAS[Cantidad],VENTAS[Código del producto Vendido],STOCK[[#This Row],[Code]])</f>
        <v>1</v>
      </c>
      <c r="L678" s="71">
        <f>STOCK[[#This Row],[Entradas]]-STOCK[[#This Row],[Salidas]]</f>
        <v>1</v>
      </c>
      <c r="M678" s="53">
        <f>STOCK[[#This Row],[Precio Final]]*10%</f>
        <v>2.5</v>
      </c>
      <c r="N678" s="53">
        <v>0</v>
      </c>
      <c r="O678" s="53">
        <v>31.43</v>
      </c>
      <c r="P678" s="53">
        <v>13.83</v>
      </c>
      <c r="Q678" s="71">
        <v>0</v>
      </c>
      <c r="R678" s="53">
        <v>0</v>
      </c>
      <c r="S678" s="53">
        <v>5</v>
      </c>
      <c r="T678" s="53">
        <f>STOCK[[#This Row],[Costo Unitario (USD)]]+STOCK[[#This Row],[Costo Envío (USD)]]+STOCK[[#This Row],[Comisión 10%]]</f>
        <v>21.33</v>
      </c>
      <c r="U678" s="53">
        <f>STOCK[[#This Row],[Costo total]]*1.5</f>
        <v>31.995</v>
      </c>
      <c r="V678" s="53">
        <v>25</v>
      </c>
      <c r="W678" s="53">
        <f>STOCK[[#This Row],[Precio Final]]-STOCK[[#This Row],[Costo total]]</f>
        <v>3.67</v>
      </c>
      <c r="X678" s="53">
        <f>STOCK[[#This Row],[Ganancia Unitaria]]*STOCK[[#This Row],[Salidas]]</f>
        <v>3.67</v>
      </c>
      <c r="AA678" s="53">
        <f>STOCK[[#This Row],[Costo total]]*STOCK[[#This Row],[Entradas]]</f>
        <v>42.66</v>
      </c>
      <c r="AB678" s="53">
        <f>STOCK[[#This Row],[Stock Actual]]*STOCK[[#This Row],[Costo total]]</f>
        <v>21.33</v>
      </c>
    </row>
    <row r="679" s="54" customFormat="1" ht="50" customHeight="1" spans="1:29">
      <c r="A679" s="54" t="s">
        <v>1367</v>
      </c>
      <c r="B679" s="66"/>
      <c r="C679" s="54" t="s">
        <v>32</v>
      </c>
      <c r="D679" s="54" t="s">
        <v>44</v>
      </c>
      <c r="E679" s="68" t="s">
        <v>1366</v>
      </c>
      <c r="F679" s="54" t="s">
        <v>1047</v>
      </c>
      <c r="G679" s="54" t="s">
        <v>36</v>
      </c>
      <c r="H679" s="54">
        <f>STOCK[[#This Row],[Precio Final]]</f>
        <v>25</v>
      </c>
      <c r="I679" s="54">
        <f>STOCK[[#This Row],[Precio Venta Ideal (x1.5)]]</f>
        <v>31.995</v>
      </c>
      <c r="J679" s="72">
        <v>2</v>
      </c>
      <c r="K679" s="72">
        <f>SUMIFS(VENTAS[Cantidad],VENTAS[Código del producto Vendido],STOCK[[#This Row],[Code]])</f>
        <v>0</v>
      </c>
      <c r="L679" s="72">
        <f>STOCK[[#This Row],[Entradas]]-STOCK[[#This Row],[Salidas]]</f>
        <v>2</v>
      </c>
      <c r="M679" s="54">
        <f>STOCK[[#This Row],[Precio Final]]*10%</f>
        <v>2.5</v>
      </c>
      <c r="N679" s="54">
        <v>0</v>
      </c>
      <c r="O679" s="54">
        <v>31.43</v>
      </c>
      <c r="P679" s="54">
        <v>13.83</v>
      </c>
      <c r="Q679" s="72">
        <v>0</v>
      </c>
      <c r="R679" s="54">
        <v>0</v>
      </c>
      <c r="S679" s="54">
        <v>5</v>
      </c>
      <c r="T679" s="53">
        <f>STOCK[[#This Row],[Costo Unitario (USD)]]+STOCK[[#This Row],[Costo Envío (USD)]]+STOCK[[#This Row],[Comisión 10%]]</f>
        <v>21.33</v>
      </c>
      <c r="U679" s="54">
        <f>STOCK[[#This Row],[Costo total]]*1.5</f>
        <v>31.995</v>
      </c>
      <c r="V679" s="54">
        <v>25</v>
      </c>
      <c r="W679" s="54">
        <f>STOCK[[#This Row],[Precio Final]]-STOCK[[#This Row],[Costo total]]</f>
        <v>3.67</v>
      </c>
      <c r="X679" s="54">
        <f>STOCK[[#This Row],[Ganancia Unitaria]]*STOCK[[#This Row],[Salidas]]</f>
        <v>0</v>
      </c>
      <c r="AA679" s="54">
        <f>STOCK[[#This Row],[Costo total]]*STOCK[[#This Row],[Entradas]]</f>
        <v>42.66</v>
      </c>
      <c r="AB679" s="54">
        <f>STOCK[[#This Row],[Stock Actual]]*STOCK[[#This Row],[Costo total]]</f>
        <v>42.66</v>
      </c>
      <c r="AC679" s="54">
        <v>22</v>
      </c>
    </row>
    <row r="680" s="53" customFormat="1" ht="50" customHeight="1" spans="1:28">
      <c r="A680" s="53" t="s">
        <v>1368</v>
      </c>
      <c r="B680" s="66"/>
      <c r="C680" s="53" t="s">
        <v>32</v>
      </c>
      <c r="D680" s="53" t="s">
        <v>152</v>
      </c>
      <c r="E680" s="67" t="s">
        <v>1369</v>
      </c>
      <c r="F680" s="53" t="s">
        <v>88</v>
      </c>
      <c r="G680" s="53" t="s">
        <v>36</v>
      </c>
      <c r="H680" s="53">
        <f>STOCK[[#This Row],[Precio Final]]</f>
        <v>20</v>
      </c>
      <c r="I680" s="53">
        <f>STOCK[[#This Row],[Precio Venta Ideal (x1.5)]]</f>
        <v>22.11</v>
      </c>
      <c r="J680" s="71">
        <v>2</v>
      </c>
      <c r="K680" s="71">
        <f>SUMIFS(VENTAS[Cantidad],VENTAS[Código del producto Vendido],STOCK[[#This Row],[Code]])</f>
        <v>2</v>
      </c>
      <c r="L680" s="71">
        <f>STOCK[[#This Row],[Entradas]]-STOCK[[#This Row],[Salidas]]</f>
        <v>0</v>
      </c>
      <c r="M680" s="53">
        <f>STOCK[[#This Row],[Precio Final]]*10%</f>
        <v>2</v>
      </c>
      <c r="N680" s="53">
        <v>0</v>
      </c>
      <c r="O680" s="53">
        <v>12.64</v>
      </c>
      <c r="P680" s="53">
        <v>10.74</v>
      </c>
      <c r="Q680" s="71">
        <v>0</v>
      </c>
      <c r="R680" s="53">
        <v>0</v>
      </c>
      <c r="S680" s="53">
        <v>2</v>
      </c>
      <c r="T680" s="53">
        <f>STOCK[[#This Row],[Costo Unitario (USD)]]+STOCK[[#This Row],[Costo Envío (USD)]]+STOCK[[#This Row],[Comisión 10%]]</f>
        <v>14.74</v>
      </c>
      <c r="U680" s="53">
        <f>STOCK[[#This Row],[Costo total]]*1.5</f>
        <v>22.11</v>
      </c>
      <c r="V680" s="53">
        <v>20</v>
      </c>
      <c r="W680" s="53">
        <f>STOCK[[#This Row],[Precio Final]]-STOCK[[#This Row],[Costo total]]</f>
        <v>5.26</v>
      </c>
      <c r="X680" s="53">
        <f>STOCK[[#This Row],[Ganancia Unitaria]]*STOCK[[#This Row],[Salidas]]</f>
        <v>10.52</v>
      </c>
      <c r="AA680" s="53">
        <f>STOCK[[#This Row],[Costo total]]*STOCK[[#This Row],[Entradas]]</f>
        <v>29.48</v>
      </c>
      <c r="AB680" s="53">
        <f>STOCK[[#This Row],[Stock Actual]]*STOCK[[#This Row],[Costo total]]</f>
        <v>0</v>
      </c>
    </row>
    <row r="681" s="54" customFormat="1" ht="50" customHeight="1" spans="1:28">
      <c r="A681" s="54" t="s">
        <v>1370</v>
      </c>
      <c r="B681" s="66"/>
      <c r="C681" s="54" t="s">
        <v>32</v>
      </c>
      <c r="D681" s="54" t="s">
        <v>935</v>
      </c>
      <c r="E681" s="68" t="s">
        <v>1369</v>
      </c>
      <c r="F681" s="54" t="s">
        <v>211</v>
      </c>
      <c r="G681" s="54" t="s">
        <v>36</v>
      </c>
      <c r="H681" s="54">
        <f>STOCK[[#This Row],[Precio Final]]</f>
        <v>20</v>
      </c>
      <c r="I681" s="54">
        <f>STOCK[[#This Row],[Precio Venta Ideal (x1.5)]]</f>
        <v>22.11</v>
      </c>
      <c r="J681" s="72">
        <v>1</v>
      </c>
      <c r="K681" s="72">
        <f>SUMIFS(VENTAS[Cantidad],VENTAS[Código del producto Vendido],STOCK[[#This Row],[Code]])</f>
        <v>1</v>
      </c>
      <c r="L681" s="72">
        <f>STOCK[[#This Row],[Entradas]]-STOCK[[#This Row],[Salidas]]</f>
        <v>0</v>
      </c>
      <c r="M681" s="54">
        <f>STOCK[[#This Row],[Precio Final]]*10%</f>
        <v>2</v>
      </c>
      <c r="N681" s="54">
        <v>0</v>
      </c>
      <c r="O681" s="54">
        <v>25.28</v>
      </c>
      <c r="P681" s="54">
        <v>10.74</v>
      </c>
      <c r="Q681" s="72">
        <v>0</v>
      </c>
      <c r="R681" s="54">
        <v>0</v>
      </c>
      <c r="S681" s="54">
        <v>2</v>
      </c>
      <c r="T681" s="53">
        <f>STOCK[[#This Row],[Costo Unitario (USD)]]+STOCK[[#This Row],[Costo Envío (USD)]]+STOCK[[#This Row],[Comisión 10%]]</f>
        <v>14.74</v>
      </c>
      <c r="U681" s="54">
        <f>STOCK[[#This Row],[Costo total]]*1.5</f>
        <v>22.11</v>
      </c>
      <c r="V681" s="54">
        <v>20</v>
      </c>
      <c r="W681" s="54">
        <f>STOCK[[#This Row],[Precio Final]]-STOCK[[#This Row],[Costo total]]</f>
        <v>5.26</v>
      </c>
      <c r="X681" s="54">
        <f>STOCK[[#This Row],[Ganancia Unitaria]]*STOCK[[#This Row],[Salidas]]</f>
        <v>5.26</v>
      </c>
      <c r="AA681" s="54">
        <f>STOCK[[#This Row],[Costo total]]*STOCK[[#This Row],[Entradas]]</f>
        <v>14.74</v>
      </c>
      <c r="AB681" s="54">
        <f>STOCK[[#This Row],[Stock Actual]]*STOCK[[#This Row],[Costo total]]</f>
        <v>0</v>
      </c>
    </row>
    <row r="682" s="53" customFormat="1" ht="50" customHeight="1" spans="1:28">
      <c r="A682" s="53" t="s">
        <v>1371</v>
      </c>
      <c r="B682" s="66"/>
      <c r="C682" s="53" t="s">
        <v>32</v>
      </c>
      <c r="D682" s="53" t="s">
        <v>351</v>
      </c>
      <c r="E682" s="67" t="s">
        <v>1372</v>
      </c>
      <c r="F682" s="53" t="s">
        <v>525</v>
      </c>
      <c r="G682" s="53" t="s">
        <v>36</v>
      </c>
      <c r="H682" s="53">
        <f>STOCK[[#This Row],[Precio Final]]</f>
        <v>8</v>
      </c>
      <c r="I682" s="53">
        <f>STOCK[[#This Row],[Precio Venta Ideal (x1.5)]]</f>
        <v>8.43</v>
      </c>
      <c r="J682" s="71">
        <v>3</v>
      </c>
      <c r="K682" s="71">
        <f>SUMIFS(VENTAS[Cantidad],VENTAS[Código del producto Vendido],STOCK[[#This Row],[Code]])</f>
        <v>0</v>
      </c>
      <c r="L682" s="71">
        <f>STOCK[[#This Row],[Entradas]]-STOCK[[#This Row],[Salidas]]</f>
        <v>3</v>
      </c>
      <c r="M682" s="53">
        <f>STOCK[[#This Row],[Precio Final]]*10%</f>
        <v>0.8</v>
      </c>
      <c r="N682" s="53">
        <v>0</v>
      </c>
      <c r="O682" s="53">
        <v>4.77</v>
      </c>
      <c r="P682" s="53">
        <v>2.82</v>
      </c>
      <c r="Q682" s="71">
        <v>0</v>
      </c>
      <c r="R682" s="53">
        <v>0</v>
      </c>
      <c r="S682" s="53">
        <v>2</v>
      </c>
      <c r="T682" s="53">
        <f>STOCK[[#This Row],[Costo Unitario (USD)]]+STOCK[[#This Row],[Costo Envío (USD)]]+STOCK[[#This Row],[Comisión 10%]]</f>
        <v>5.62</v>
      </c>
      <c r="U682" s="53">
        <f>STOCK[[#This Row],[Costo total]]*1.5</f>
        <v>8.43</v>
      </c>
      <c r="V682" s="53">
        <v>8</v>
      </c>
      <c r="W682" s="53">
        <f>STOCK[[#This Row],[Precio Final]]-STOCK[[#This Row],[Costo total]]</f>
        <v>2.38</v>
      </c>
      <c r="X682" s="53">
        <f>STOCK[[#This Row],[Ganancia Unitaria]]*STOCK[[#This Row],[Salidas]]</f>
        <v>0</v>
      </c>
      <c r="AA682" s="53">
        <f>STOCK[[#This Row],[Costo total]]*STOCK[[#This Row],[Entradas]]</f>
        <v>16.86</v>
      </c>
      <c r="AB682" s="53">
        <f>STOCK[[#This Row],[Stock Actual]]*STOCK[[#This Row],[Costo total]]</f>
        <v>16.86</v>
      </c>
    </row>
    <row r="683" s="54" customFormat="1" ht="50" customHeight="1" spans="1:28">
      <c r="A683" s="54" t="s">
        <v>1373</v>
      </c>
      <c r="B683" s="66"/>
      <c r="C683" s="54" t="s">
        <v>32</v>
      </c>
      <c r="D683" s="54" t="s">
        <v>351</v>
      </c>
      <c r="E683" s="68" t="s">
        <v>1374</v>
      </c>
      <c r="F683" s="54" t="s">
        <v>525</v>
      </c>
      <c r="G683" s="54" t="s">
        <v>36</v>
      </c>
      <c r="H683" s="54">
        <f>STOCK[[#This Row],[Precio Final]]</f>
        <v>7</v>
      </c>
      <c r="I683" s="54">
        <f>STOCK[[#This Row],[Precio Venta Ideal (x1.5)]]</f>
        <v>8.505</v>
      </c>
      <c r="J683" s="72">
        <v>3</v>
      </c>
      <c r="K683" s="72">
        <f>SUMIFS(VENTAS[Cantidad],VENTAS[Código del producto Vendido],STOCK[[#This Row],[Code]])</f>
        <v>0</v>
      </c>
      <c r="L683" s="72">
        <f>STOCK[[#This Row],[Entradas]]-STOCK[[#This Row],[Salidas]]</f>
        <v>3</v>
      </c>
      <c r="M683" s="54">
        <f>STOCK[[#This Row],[Precio Final]]*10%</f>
        <v>0.7</v>
      </c>
      <c r="N683" s="54">
        <v>0</v>
      </c>
      <c r="O683" s="54">
        <v>14.13</v>
      </c>
      <c r="P683" s="54">
        <v>2.97</v>
      </c>
      <c r="Q683" s="72">
        <v>0</v>
      </c>
      <c r="R683" s="54">
        <v>0</v>
      </c>
      <c r="S683" s="54">
        <v>2</v>
      </c>
      <c r="T683" s="53">
        <f>STOCK[[#This Row],[Costo Unitario (USD)]]+STOCK[[#This Row],[Costo Envío (USD)]]+STOCK[[#This Row],[Comisión 10%]]</f>
        <v>5.67</v>
      </c>
      <c r="U683" s="54">
        <f>STOCK[[#This Row],[Costo total]]*1.5</f>
        <v>8.505</v>
      </c>
      <c r="V683" s="54">
        <v>7</v>
      </c>
      <c r="W683" s="54">
        <f>STOCK[[#This Row],[Precio Final]]-STOCK[[#This Row],[Costo total]]</f>
        <v>1.33</v>
      </c>
      <c r="X683" s="54">
        <f>STOCK[[#This Row],[Ganancia Unitaria]]*STOCK[[#This Row],[Salidas]]</f>
        <v>0</v>
      </c>
      <c r="AA683" s="54">
        <f>STOCK[[#This Row],[Costo total]]*STOCK[[#This Row],[Entradas]]</f>
        <v>17.01</v>
      </c>
      <c r="AB683" s="54">
        <f>STOCK[[#This Row],[Stock Actual]]*STOCK[[#This Row],[Costo total]]</f>
        <v>17.01</v>
      </c>
    </row>
    <row r="684" s="53" customFormat="1" ht="50" customHeight="1" spans="1:28">
      <c r="A684" s="53" t="s">
        <v>1375</v>
      </c>
      <c r="B684" s="66"/>
      <c r="C684" s="53" t="s">
        <v>32</v>
      </c>
      <c r="D684" s="53" t="s">
        <v>174</v>
      </c>
      <c r="E684" s="67" t="s">
        <v>1376</v>
      </c>
      <c r="F684" s="53" t="s">
        <v>62</v>
      </c>
      <c r="G684" s="53" t="s">
        <v>36</v>
      </c>
      <c r="H684" s="53">
        <f>STOCK[[#This Row],[Precio Final]]</f>
        <v>25</v>
      </c>
      <c r="I684" s="53">
        <f>STOCK[[#This Row],[Precio Venta Ideal (x1.5)]]</f>
        <v>20.25</v>
      </c>
      <c r="J684" s="71">
        <v>1</v>
      </c>
      <c r="K684" s="71">
        <f>SUMIFS(VENTAS[Cantidad],VENTAS[Código del producto Vendido],STOCK[[#This Row],[Code]])</f>
        <v>0</v>
      </c>
      <c r="L684" s="71">
        <f>STOCK[[#This Row],[Entradas]]-STOCK[[#This Row],[Salidas]]</f>
        <v>1</v>
      </c>
      <c r="M684" s="53">
        <f>STOCK[[#This Row],[Precio Final]]*10%</f>
        <v>2.5</v>
      </c>
      <c r="N684" s="53">
        <v>0</v>
      </c>
      <c r="O684" s="53">
        <v>15.5</v>
      </c>
      <c r="P684" s="53">
        <v>9</v>
      </c>
      <c r="Q684" s="71">
        <v>0</v>
      </c>
      <c r="R684" s="53">
        <v>0</v>
      </c>
      <c r="S684" s="53">
        <v>2</v>
      </c>
      <c r="T684" s="53">
        <f>STOCK[[#This Row],[Costo Unitario (USD)]]+STOCK[[#This Row],[Costo Envío (USD)]]+STOCK[[#This Row],[Comisión 10%]]</f>
        <v>13.5</v>
      </c>
      <c r="U684" s="53">
        <f>STOCK[[#This Row],[Costo total]]*1.5</f>
        <v>20.25</v>
      </c>
      <c r="V684" s="53">
        <v>25</v>
      </c>
      <c r="W684" s="53">
        <f>STOCK[[#This Row],[Precio Final]]-STOCK[[#This Row],[Costo total]]</f>
        <v>11.5</v>
      </c>
      <c r="X684" s="53">
        <f>STOCK[[#This Row],[Ganancia Unitaria]]*STOCK[[#This Row],[Salidas]]</f>
        <v>0</v>
      </c>
      <c r="AA684" s="53">
        <f>STOCK[[#This Row],[Costo total]]*STOCK[[#This Row],[Entradas]]</f>
        <v>13.5</v>
      </c>
      <c r="AB684" s="53">
        <f>STOCK[[#This Row],[Stock Actual]]*STOCK[[#This Row],[Costo total]]</f>
        <v>13.5</v>
      </c>
    </row>
    <row r="685" s="54" customFormat="1" ht="50" customHeight="1" spans="1:28">
      <c r="A685" s="54" t="s">
        <v>1377</v>
      </c>
      <c r="B685" s="66"/>
      <c r="C685" s="54" t="s">
        <v>32</v>
      </c>
      <c r="D685" s="54" t="s">
        <v>546</v>
      </c>
      <c r="E685" s="68" t="s">
        <v>1378</v>
      </c>
      <c r="F685" s="54" t="s">
        <v>1379</v>
      </c>
      <c r="G685" s="54" t="s">
        <v>704</v>
      </c>
      <c r="H685" s="54">
        <f>STOCK[[#This Row],[Precio Final]]</f>
        <v>12</v>
      </c>
      <c r="I685" s="54">
        <f>STOCK[[#This Row],[Precio Venta Ideal (x1.5)]]</f>
        <v>12.3</v>
      </c>
      <c r="J685" s="72">
        <v>0</v>
      </c>
      <c r="K685" s="72">
        <f>SUMIFS(VENTAS[Cantidad],VENTAS[Código del producto Vendido],STOCK[[#This Row],[Code]])</f>
        <v>0</v>
      </c>
      <c r="L685" s="72">
        <f>STOCK[[#This Row],[Entradas]]-STOCK[[#This Row],[Salidas]]</f>
        <v>0</v>
      </c>
      <c r="M685" s="54">
        <f>STOCK[[#This Row],[Precio Final]]*10%</f>
        <v>1.2</v>
      </c>
      <c r="N685" s="54">
        <v>0</v>
      </c>
      <c r="O685" s="54">
        <v>0</v>
      </c>
      <c r="P685" s="54">
        <v>5</v>
      </c>
      <c r="Q685" s="72">
        <v>0</v>
      </c>
      <c r="R685" s="54">
        <v>0</v>
      </c>
      <c r="S685" s="54">
        <v>2</v>
      </c>
      <c r="T685" s="53">
        <f>STOCK[[#This Row],[Costo Unitario (USD)]]+STOCK[[#This Row],[Costo Envío (USD)]]+STOCK[[#This Row],[Comisión 10%]]</f>
        <v>8.2</v>
      </c>
      <c r="U685" s="54">
        <f>STOCK[[#This Row],[Costo total]]*1.5</f>
        <v>12.3</v>
      </c>
      <c r="V685" s="54">
        <v>12</v>
      </c>
      <c r="W685" s="54">
        <f>STOCK[[#This Row],[Precio Final]]-STOCK[[#This Row],[Costo total]]</f>
        <v>3.8</v>
      </c>
      <c r="X685" s="54">
        <f>STOCK[[#This Row],[Ganancia Unitaria]]*STOCK[[#This Row],[Salidas]]</f>
        <v>0</v>
      </c>
      <c r="AA685" s="54">
        <f>STOCK[[#This Row],[Costo total]]*STOCK[[#This Row],[Entradas]]</f>
        <v>0</v>
      </c>
      <c r="AB685" s="54">
        <f>STOCK[[#This Row],[Stock Actual]]*STOCK[[#This Row],[Costo total]]</f>
        <v>0</v>
      </c>
    </row>
    <row r="686" s="53" customFormat="1" ht="50" customHeight="1" spans="1:28">
      <c r="A686" s="53" t="s">
        <v>1380</v>
      </c>
      <c r="B686" s="66"/>
      <c r="C686" s="53" t="s">
        <v>32</v>
      </c>
      <c r="D686" s="53" t="s">
        <v>288</v>
      </c>
      <c r="E686" s="67" t="s">
        <v>1381</v>
      </c>
      <c r="F686" s="53" t="s">
        <v>62</v>
      </c>
      <c r="G686" s="53" t="s">
        <v>1296</v>
      </c>
      <c r="H686" s="53">
        <f>STOCK[[#This Row],[Precio Final]]</f>
        <v>25</v>
      </c>
      <c r="I686" s="53">
        <f>STOCK[[#This Row],[Precio Venta Ideal (x1.5)]]</f>
        <v>26.25</v>
      </c>
      <c r="J686" s="71">
        <v>3</v>
      </c>
      <c r="K686" s="71">
        <f>SUMIFS(VENTAS[Cantidad],VENTAS[Código del producto Vendido],STOCK[[#This Row],[Code]])</f>
        <v>1</v>
      </c>
      <c r="L686" s="71">
        <f>STOCK[[#This Row],[Entradas]]-STOCK[[#This Row],[Salidas]]</f>
        <v>2</v>
      </c>
      <c r="M686" s="53">
        <f>STOCK[[#This Row],[Precio Final]]*10%</f>
        <v>2.5</v>
      </c>
      <c r="N686" s="53">
        <v>0</v>
      </c>
      <c r="O686" s="53">
        <v>0</v>
      </c>
      <c r="P686" s="53">
        <v>10</v>
      </c>
      <c r="Q686" s="71">
        <v>0</v>
      </c>
      <c r="R686" s="53">
        <v>0</v>
      </c>
      <c r="S686" s="53">
        <v>5</v>
      </c>
      <c r="T686" s="53">
        <f>STOCK[[#This Row],[Costo Unitario (USD)]]+STOCK[[#This Row],[Costo Envío (USD)]]+STOCK[[#This Row],[Comisión 10%]]</f>
        <v>17.5</v>
      </c>
      <c r="U686" s="53">
        <f>STOCK[[#This Row],[Costo total]]*1.5</f>
        <v>26.25</v>
      </c>
      <c r="V686" s="53">
        <v>25</v>
      </c>
      <c r="W686" s="53">
        <f>STOCK[[#This Row],[Precio Final]]-STOCK[[#This Row],[Costo total]]</f>
        <v>7.5</v>
      </c>
      <c r="X686" s="53">
        <f>STOCK[[#This Row],[Ganancia Unitaria]]*STOCK[[#This Row],[Salidas]]</f>
        <v>7.5</v>
      </c>
      <c r="AA686" s="53">
        <f>STOCK[[#This Row],[Costo total]]*STOCK[[#This Row],[Entradas]]</f>
        <v>52.5</v>
      </c>
      <c r="AB686" s="53">
        <f>STOCK[[#This Row],[Stock Actual]]*STOCK[[#This Row],[Costo total]]</f>
        <v>35</v>
      </c>
    </row>
    <row r="687" s="54" customFormat="1" ht="50" customHeight="1" spans="1:28">
      <c r="A687" s="54" t="s">
        <v>1382</v>
      </c>
      <c r="B687" s="66"/>
      <c r="C687" s="54" t="s">
        <v>32</v>
      </c>
      <c r="D687" s="54" t="s">
        <v>546</v>
      </c>
      <c r="E687" s="68" t="s">
        <v>1383</v>
      </c>
      <c r="F687" s="54" t="s">
        <v>1384</v>
      </c>
      <c r="G687" s="54" t="s">
        <v>704</v>
      </c>
      <c r="H687" s="54">
        <f>STOCK[[#This Row],[Precio Final]]</f>
        <v>12</v>
      </c>
      <c r="I687" s="54">
        <f>STOCK[[#This Row],[Precio Venta Ideal (x1.5)]]</f>
        <v>12.3</v>
      </c>
      <c r="J687" s="72">
        <v>0</v>
      </c>
      <c r="K687" s="72">
        <f>SUMIFS(VENTAS[Cantidad],VENTAS[Código del producto Vendido],STOCK[[#This Row],[Code]])</f>
        <v>0</v>
      </c>
      <c r="L687" s="72">
        <f>STOCK[[#This Row],[Entradas]]-STOCK[[#This Row],[Salidas]]</f>
        <v>0</v>
      </c>
      <c r="M687" s="54">
        <f>STOCK[[#This Row],[Precio Final]]*10%</f>
        <v>1.2</v>
      </c>
      <c r="N687" s="54">
        <v>0</v>
      </c>
      <c r="O687" s="54">
        <v>0</v>
      </c>
      <c r="P687" s="54">
        <v>5</v>
      </c>
      <c r="Q687" s="72">
        <v>0</v>
      </c>
      <c r="R687" s="54">
        <v>0</v>
      </c>
      <c r="S687" s="54">
        <v>2</v>
      </c>
      <c r="T687" s="53">
        <f>STOCK[[#This Row],[Costo Unitario (USD)]]+STOCK[[#This Row],[Costo Envío (USD)]]+STOCK[[#This Row],[Comisión 10%]]</f>
        <v>8.2</v>
      </c>
      <c r="U687" s="54">
        <f>STOCK[[#This Row],[Costo total]]*1.5</f>
        <v>12.3</v>
      </c>
      <c r="V687" s="54">
        <v>12</v>
      </c>
      <c r="W687" s="54">
        <f>STOCK[[#This Row],[Precio Final]]-STOCK[[#This Row],[Costo total]]</f>
        <v>3.8</v>
      </c>
      <c r="X687" s="54">
        <f>STOCK[[#This Row],[Ganancia Unitaria]]*STOCK[[#This Row],[Salidas]]</f>
        <v>0</v>
      </c>
      <c r="AA687" s="54">
        <f>STOCK[[#This Row],[Costo total]]*STOCK[[#This Row],[Entradas]]</f>
        <v>0</v>
      </c>
      <c r="AB687" s="54">
        <f>STOCK[[#This Row],[Stock Actual]]*STOCK[[#This Row],[Costo total]]</f>
        <v>0</v>
      </c>
    </row>
    <row r="688" s="53" customFormat="1" ht="50" customHeight="1" spans="1:28">
      <c r="A688" s="53" t="s">
        <v>1385</v>
      </c>
      <c r="B688" s="66"/>
      <c r="C688" s="53" t="s">
        <v>32</v>
      </c>
      <c r="D688" s="53" t="s">
        <v>546</v>
      </c>
      <c r="E688" s="67" t="s">
        <v>1386</v>
      </c>
      <c r="F688" s="53" t="s">
        <v>62</v>
      </c>
      <c r="G688" s="53" t="s">
        <v>36</v>
      </c>
      <c r="H688" s="53">
        <f>STOCK[[#This Row],[Precio Final]]</f>
        <v>3</v>
      </c>
      <c r="I688" s="53">
        <f>STOCK[[#This Row],[Precio Venta Ideal (x1.5)]]</f>
        <v>3.15</v>
      </c>
      <c r="J688" s="71">
        <v>2</v>
      </c>
      <c r="K688" s="71">
        <f>SUMIFS(VENTAS[Cantidad],VENTAS[Código del producto Vendido],STOCK[[#This Row],[Code]])</f>
        <v>2</v>
      </c>
      <c r="L688" s="71">
        <f>STOCK[[#This Row],[Entradas]]-STOCK[[#This Row],[Salidas]]</f>
        <v>0</v>
      </c>
      <c r="M688" s="53">
        <f>STOCK[[#This Row],[Precio Final]]*10%</f>
        <v>0.3</v>
      </c>
      <c r="N688" s="53">
        <v>0</v>
      </c>
      <c r="O688" s="53">
        <v>0</v>
      </c>
      <c r="P688" s="53">
        <v>1.3</v>
      </c>
      <c r="Q688" s="71">
        <v>0</v>
      </c>
      <c r="R688" s="53">
        <v>0</v>
      </c>
      <c r="S688" s="53">
        <v>0.5</v>
      </c>
      <c r="T688" s="53">
        <f>STOCK[[#This Row],[Costo Unitario (USD)]]+STOCK[[#This Row],[Costo Envío (USD)]]+STOCK[[#This Row],[Comisión 10%]]</f>
        <v>2.1</v>
      </c>
      <c r="U688" s="53">
        <f>STOCK[[#This Row],[Costo total]]*1.5</f>
        <v>3.15</v>
      </c>
      <c r="V688" s="53">
        <v>3</v>
      </c>
      <c r="W688" s="53">
        <f>STOCK[[#This Row],[Precio Final]]-STOCK[[#This Row],[Costo total]]</f>
        <v>0.9</v>
      </c>
      <c r="X688" s="53">
        <f>STOCK[[#This Row],[Ganancia Unitaria]]*STOCK[[#This Row],[Salidas]]</f>
        <v>1.8</v>
      </c>
      <c r="AA688" s="53">
        <f>STOCK[[#This Row],[Costo total]]*STOCK[[#This Row],[Entradas]]</f>
        <v>4.2</v>
      </c>
      <c r="AB688" s="53">
        <f>STOCK[[#This Row],[Stock Actual]]*STOCK[[#This Row],[Costo total]]</f>
        <v>0</v>
      </c>
    </row>
    <row r="689" s="54" customFormat="1" ht="50" customHeight="1" spans="1:28">
      <c r="A689" s="54" t="s">
        <v>1387</v>
      </c>
      <c r="B689" s="66"/>
      <c r="C689" s="54" t="s">
        <v>32</v>
      </c>
      <c r="D689" s="54" t="s">
        <v>1388</v>
      </c>
      <c r="E689" s="68" t="s">
        <v>1389</v>
      </c>
      <c r="F689" s="54" t="s">
        <v>62</v>
      </c>
      <c r="G689" s="54" t="s">
        <v>704</v>
      </c>
      <c r="H689" s="54">
        <f>STOCK[[#This Row],[Precio Final]]</f>
        <v>19</v>
      </c>
      <c r="I689" s="54">
        <f>STOCK[[#This Row],[Precio Venta Ideal (x1.5)]]</f>
        <v>19.35</v>
      </c>
      <c r="J689" s="72">
        <v>1</v>
      </c>
      <c r="K689" s="72">
        <f>SUMIFS(VENTAS[Cantidad],VENTAS[Código del producto Vendido],STOCK[[#This Row],[Code]])</f>
        <v>0</v>
      </c>
      <c r="L689" s="72">
        <f>STOCK[[#This Row],[Entradas]]-STOCK[[#This Row],[Salidas]]</f>
        <v>1</v>
      </c>
      <c r="M689" s="54">
        <f>STOCK[[#This Row],[Precio Final]]*10%</f>
        <v>1.9</v>
      </c>
      <c r="N689" s="54">
        <v>0</v>
      </c>
      <c r="O689" s="54">
        <v>0</v>
      </c>
      <c r="P689" s="54">
        <v>9</v>
      </c>
      <c r="Q689" s="72">
        <v>0</v>
      </c>
      <c r="R689" s="54">
        <v>0</v>
      </c>
      <c r="S689" s="54">
        <v>2</v>
      </c>
      <c r="T689" s="53">
        <f>STOCK[[#This Row],[Costo Unitario (USD)]]+STOCK[[#This Row],[Costo Envío (USD)]]+STOCK[[#This Row],[Comisión 10%]]</f>
        <v>12.9</v>
      </c>
      <c r="U689" s="54">
        <f>STOCK[[#This Row],[Costo total]]*1.5</f>
        <v>19.35</v>
      </c>
      <c r="V689" s="54">
        <v>19</v>
      </c>
      <c r="W689" s="54">
        <f>STOCK[[#This Row],[Precio Final]]-STOCK[[#This Row],[Costo total]]</f>
        <v>6.1</v>
      </c>
      <c r="X689" s="54">
        <f>STOCK[[#This Row],[Ganancia Unitaria]]*STOCK[[#This Row],[Salidas]]</f>
        <v>0</v>
      </c>
      <c r="AA689" s="54">
        <f>STOCK[[#This Row],[Costo total]]*STOCK[[#This Row],[Entradas]]</f>
        <v>12.9</v>
      </c>
      <c r="AB689" s="54">
        <f>STOCK[[#This Row],[Stock Actual]]*STOCK[[#This Row],[Costo total]]</f>
        <v>12.9</v>
      </c>
    </row>
    <row r="690" s="53" customFormat="1" ht="50" customHeight="1" spans="1:28">
      <c r="A690" s="53" t="s">
        <v>1390</v>
      </c>
      <c r="B690" s="66"/>
      <c r="C690" s="53" t="s">
        <v>32</v>
      </c>
      <c r="D690" s="53" t="s">
        <v>152</v>
      </c>
      <c r="E690" s="67" t="s">
        <v>1391</v>
      </c>
      <c r="F690" s="53" t="s">
        <v>62</v>
      </c>
      <c r="G690" s="53" t="s">
        <v>1296</v>
      </c>
      <c r="H690" s="53">
        <f>STOCK[[#This Row],[Precio Final]]</f>
        <v>18</v>
      </c>
      <c r="I690" s="53">
        <f>STOCK[[#This Row],[Precio Venta Ideal (x1.5)]]</f>
        <v>19.68</v>
      </c>
      <c r="J690" s="71">
        <v>1</v>
      </c>
      <c r="K690" s="71">
        <f>SUMIFS(VENTAS[Cantidad],VENTAS[Código del producto Vendido],STOCK[[#This Row],[Code]])</f>
        <v>1</v>
      </c>
      <c r="L690" s="71">
        <f>STOCK[[#This Row],[Entradas]]-STOCK[[#This Row],[Salidas]]</f>
        <v>0</v>
      </c>
      <c r="M690" s="53">
        <f>STOCK[[#This Row],[Precio Final]]*10%</f>
        <v>1.8</v>
      </c>
      <c r="N690" s="53">
        <v>0</v>
      </c>
      <c r="O690" s="53">
        <v>0</v>
      </c>
      <c r="P690" s="53">
        <v>9.32</v>
      </c>
      <c r="Q690" s="71">
        <v>0</v>
      </c>
      <c r="R690" s="53">
        <v>0</v>
      </c>
      <c r="S690" s="53">
        <v>2</v>
      </c>
      <c r="T690" s="53">
        <f>STOCK[[#This Row],[Costo Unitario (USD)]]+STOCK[[#This Row],[Costo Envío (USD)]]+STOCK[[#This Row],[Comisión 10%]]</f>
        <v>13.12</v>
      </c>
      <c r="U690" s="53">
        <f>STOCK[[#This Row],[Costo total]]*1.5</f>
        <v>19.68</v>
      </c>
      <c r="V690" s="53">
        <v>18</v>
      </c>
      <c r="W690" s="53">
        <f>STOCK[[#This Row],[Precio Final]]-STOCK[[#This Row],[Costo total]]</f>
        <v>4.88</v>
      </c>
      <c r="X690" s="53">
        <f>STOCK[[#This Row],[Ganancia Unitaria]]*STOCK[[#This Row],[Salidas]]</f>
        <v>4.88</v>
      </c>
      <c r="AA690" s="53">
        <f>STOCK[[#This Row],[Costo total]]*STOCK[[#This Row],[Entradas]]</f>
        <v>13.12</v>
      </c>
      <c r="AB690" s="53">
        <f>STOCK[[#This Row],[Stock Actual]]*STOCK[[#This Row],[Costo total]]</f>
        <v>0</v>
      </c>
    </row>
    <row r="691" s="54" customFormat="1" ht="50" customHeight="1" spans="1:28">
      <c r="A691" s="54" t="s">
        <v>1392</v>
      </c>
      <c r="B691" s="66"/>
      <c r="C691" s="54" t="s">
        <v>32</v>
      </c>
      <c r="D691" s="54" t="s">
        <v>152</v>
      </c>
      <c r="E691" s="68" t="s">
        <v>1393</v>
      </c>
      <c r="F691" s="54" t="s">
        <v>49</v>
      </c>
      <c r="G691" s="54" t="s">
        <v>1296</v>
      </c>
      <c r="H691" s="54">
        <f>STOCK[[#This Row],[Precio Final]]</f>
        <v>20</v>
      </c>
      <c r="I691" s="54">
        <f>STOCK[[#This Row],[Precio Venta Ideal (x1.5)]]</f>
        <v>24</v>
      </c>
      <c r="J691" s="72">
        <v>0</v>
      </c>
      <c r="K691" s="72">
        <f>SUMIFS(VENTAS[Cantidad],VENTAS[Código del producto Vendido],STOCK[[#This Row],[Code]])</f>
        <v>0</v>
      </c>
      <c r="L691" s="72">
        <f>STOCK[[#This Row],[Entradas]]-STOCK[[#This Row],[Salidas]]</f>
        <v>0</v>
      </c>
      <c r="M691" s="54">
        <f>STOCK[[#This Row],[Precio Final]]*10%</f>
        <v>2</v>
      </c>
      <c r="N691" s="54">
        <v>0</v>
      </c>
      <c r="O691" s="54">
        <v>0</v>
      </c>
      <c r="P691" s="54">
        <v>12</v>
      </c>
      <c r="Q691" s="72">
        <v>0</v>
      </c>
      <c r="R691" s="54">
        <v>0</v>
      </c>
      <c r="S691" s="54">
        <v>2</v>
      </c>
      <c r="T691" s="53">
        <f>STOCK[[#This Row],[Costo Unitario (USD)]]+STOCK[[#This Row],[Costo Envío (USD)]]+STOCK[[#This Row],[Comisión 10%]]</f>
        <v>16</v>
      </c>
      <c r="U691" s="54">
        <f>STOCK[[#This Row],[Costo total]]*1.5</f>
        <v>24</v>
      </c>
      <c r="V691" s="54">
        <v>20</v>
      </c>
      <c r="W691" s="54">
        <f>STOCK[[#This Row],[Precio Final]]-STOCK[[#This Row],[Costo total]]</f>
        <v>4</v>
      </c>
      <c r="X691" s="54">
        <f>STOCK[[#This Row],[Ganancia Unitaria]]*STOCK[[#This Row],[Salidas]]</f>
        <v>0</v>
      </c>
      <c r="AA691" s="54">
        <f>STOCK[[#This Row],[Costo total]]*STOCK[[#This Row],[Entradas]]</f>
        <v>0</v>
      </c>
      <c r="AB691" s="54">
        <f>STOCK[[#This Row],[Stock Actual]]*STOCK[[#This Row],[Costo total]]</f>
        <v>0</v>
      </c>
    </row>
    <row r="692" s="53" customFormat="1" ht="50" customHeight="1" spans="1:28">
      <c r="A692" s="53" t="s">
        <v>1394</v>
      </c>
      <c r="B692" s="66"/>
      <c r="C692" s="53" t="s">
        <v>32</v>
      </c>
      <c r="D692" s="53" t="s">
        <v>152</v>
      </c>
      <c r="E692" s="67" t="s">
        <v>1391</v>
      </c>
      <c r="F692" s="53" t="s">
        <v>40</v>
      </c>
      <c r="G692" s="53" t="s">
        <v>1296</v>
      </c>
      <c r="H692" s="53">
        <f>STOCK[[#This Row],[Precio Final]]</f>
        <v>18</v>
      </c>
      <c r="I692" s="53">
        <f>STOCK[[#This Row],[Precio Venta Ideal (x1.5)]]</f>
        <v>19.68</v>
      </c>
      <c r="J692" s="71">
        <v>1</v>
      </c>
      <c r="K692" s="71">
        <f>SUMIFS(VENTAS[Cantidad],VENTAS[Código del producto Vendido],STOCK[[#This Row],[Code]])</f>
        <v>1</v>
      </c>
      <c r="L692" s="71">
        <f>STOCK[[#This Row],[Entradas]]-STOCK[[#This Row],[Salidas]]</f>
        <v>0</v>
      </c>
      <c r="M692" s="53">
        <f>STOCK[[#This Row],[Precio Final]]*10%</f>
        <v>1.8</v>
      </c>
      <c r="N692" s="53">
        <v>0</v>
      </c>
      <c r="O692" s="53">
        <v>0</v>
      </c>
      <c r="P692" s="53">
        <v>9.32</v>
      </c>
      <c r="Q692" s="71">
        <v>0</v>
      </c>
      <c r="R692" s="53">
        <v>0</v>
      </c>
      <c r="S692" s="53">
        <v>2</v>
      </c>
      <c r="T692" s="53">
        <f>STOCK[[#This Row],[Costo Unitario (USD)]]+STOCK[[#This Row],[Costo Envío (USD)]]+STOCK[[#This Row],[Comisión 10%]]</f>
        <v>13.12</v>
      </c>
      <c r="U692" s="53">
        <f>STOCK[[#This Row],[Costo total]]*1.5</f>
        <v>19.68</v>
      </c>
      <c r="V692" s="53">
        <v>18</v>
      </c>
      <c r="W692" s="53">
        <f>STOCK[[#This Row],[Precio Final]]-STOCK[[#This Row],[Costo total]]</f>
        <v>4.88</v>
      </c>
      <c r="X692" s="53">
        <f>STOCK[[#This Row],[Ganancia Unitaria]]*STOCK[[#This Row],[Salidas]]</f>
        <v>4.88</v>
      </c>
      <c r="AA692" s="53">
        <f>STOCK[[#This Row],[Costo total]]*STOCK[[#This Row],[Entradas]]</f>
        <v>13.12</v>
      </c>
      <c r="AB692" s="53">
        <f>STOCK[[#This Row],[Stock Actual]]*STOCK[[#This Row],[Costo total]]</f>
        <v>0</v>
      </c>
    </row>
    <row r="693" s="54" customFormat="1" ht="50" customHeight="1" spans="1:28">
      <c r="A693" s="54" t="s">
        <v>1395</v>
      </c>
      <c r="B693" s="66"/>
      <c r="C693" s="54" t="s">
        <v>32</v>
      </c>
      <c r="D693" s="54" t="s">
        <v>174</v>
      </c>
      <c r="E693" s="68" t="s">
        <v>1396</v>
      </c>
      <c r="F693" s="54" t="s">
        <v>49</v>
      </c>
      <c r="G693" s="54" t="s">
        <v>704</v>
      </c>
      <c r="H693" s="54">
        <f>STOCK[[#This Row],[Precio Final]]</f>
        <v>18</v>
      </c>
      <c r="I693" s="54">
        <f>STOCK[[#This Row],[Precio Venta Ideal (x1.5)]]</f>
        <v>19.68</v>
      </c>
      <c r="J693" s="72">
        <v>0</v>
      </c>
      <c r="K693" s="72">
        <f>SUMIFS(VENTAS[Cantidad],VENTAS[Código del producto Vendido],STOCK[[#This Row],[Code]])</f>
        <v>0</v>
      </c>
      <c r="L693" s="72">
        <f>STOCK[[#This Row],[Entradas]]-STOCK[[#This Row],[Salidas]]</f>
        <v>0</v>
      </c>
      <c r="M693" s="54">
        <f>STOCK[[#This Row],[Precio Final]]*10%</f>
        <v>1.8</v>
      </c>
      <c r="N693" s="54">
        <v>0</v>
      </c>
      <c r="O693" s="54">
        <v>0</v>
      </c>
      <c r="P693" s="54">
        <v>9.32</v>
      </c>
      <c r="Q693" s="72">
        <v>0</v>
      </c>
      <c r="R693" s="54">
        <v>0</v>
      </c>
      <c r="S693" s="54">
        <v>2</v>
      </c>
      <c r="T693" s="53">
        <f>STOCK[[#This Row],[Costo Unitario (USD)]]+STOCK[[#This Row],[Costo Envío (USD)]]+STOCK[[#This Row],[Comisión 10%]]</f>
        <v>13.12</v>
      </c>
      <c r="U693" s="54">
        <f>STOCK[[#This Row],[Costo total]]*1.5</f>
        <v>19.68</v>
      </c>
      <c r="V693" s="54">
        <v>18</v>
      </c>
      <c r="W693" s="54">
        <f>STOCK[[#This Row],[Precio Final]]-STOCK[[#This Row],[Costo total]]</f>
        <v>4.88</v>
      </c>
      <c r="X693" s="54">
        <f>STOCK[[#This Row],[Ganancia Unitaria]]*STOCK[[#This Row],[Salidas]]</f>
        <v>0</v>
      </c>
      <c r="AA693" s="54">
        <f>STOCK[[#This Row],[Costo total]]*STOCK[[#This Row],[Entradas]]</f>
        <v>0</v>
      </c>
      <c r="AB693" s="54">
        <f>STOCK[[#This Row],[Stock Actual]]*STOCK[[#This Row],[Costo total]]</f>
        <v>0</v>
      </c>
    </row>
    <row r="694" s="53" customFormat="1" ht="50" customHeight="1" spans="1:28">
      <c r="A694" s="53" t="s">
        <v>1397</v>
      </c>
      <c r="B694" s="66"/>
      <c r="C694" s="53" t="s">
        <v>32</v>
      </c>
      <c r="D694" s="53" t="s">
        <v>174</v>
      </c>
      <c r="E694" s="67" t="s">
        <v>1398</v>
      </c>
      <c r="F694" s="53" t="s">
        <v>62</v>
      </c>
      <c r="G694" s="53" t="s">
        <v>1296</v>
      </c>
      <c r="H694" s="53">
        <f>STOCK[[#This Row],[Precio Final]]</f>
        <v>12</v>
      </c>
      <c r="I694" s="53">
        <f>STOCK[[#This Row],[Precio Venta Ideal (x1.5)]]</f>
        <v>15.3</v>
      </c>
      <c r="J694" s="71">
        <v>3</v>
      </c>
      <c r="K694" s="71">
        <f>SUMIFS(VENTAS[Cantidad],VENTAS[Código del producto Vendido],STOCK[[#This Row],[Code]])</f>
        <v>1</v>
      </c>
      <c r="L694" s="71">
        <f>STOCK[[#This Row],[Entradas]]-STOCK[[#This Row],[Salidas]]</f>
        <v>2</v>
      </c>
      <c r="M694" s="53">
        <f>STOCK[[#This Row],[Precio Final]]*10%</f>
        <v>1.2</v>
      </c>
      <c r="N694" s="53">
        <v>0</v>
      </c>
      <c r="O694" s="53">
        <v>22.5</v>
      </c>
      <c r="P694" s="53">
        <v>7</v>
      </c>
      <c r="Q694" s="71">
        <v>0</v>
      </c>
      <c r="R694" s="53">
        <v>0</v>
      </c>
      <c r="S694" s="53">
        <v>2</v>
      </c>
      <c r="T694" s="53">
        <f>STOCK[[#This Row],[Costo Unitario (USD)]]+STOCK[[#This Row],[Costo Envío (USD)]]+STOCK[[#This Row],[Comisión 10%]]</f>
        <v>10.2</v>
      </c>
      <c r="U694" s="53">
        <f>STOCK[[#This Row],[Costo total]]*1.5</f>
        <v>15.3</v>
      </c>
      <c r="V694" s="53">
        <v>12</v>
      </c>
      <c r="W694" s="53">
        <f>STOCK[[#This Row],[Precio Final]]-STOCK[[#This Row],[Costo total]]</f>
        <v>1.8</v>
      </c>
      <c r="X694" s="53">
        <f>STOCK[[#This Row],[Ganancia Unitaria]]*STOCK[[#This Row],[Salidas]]</f>
        <v>1.8</v>
      </c>
      <c r="AA694" s="53">
        <f>STOCK[[#This Row],[Costo total]]*STOCK[[#This Row],[Entradas]]</f>
        <v>30.6</v>
      </c>
      <c r="AB694" s="53">
        <f>STOCK[[#This Row],[Stock Actual]]*STOCK[[#This Row],[Costo total]]</f>
        <v>20.4</v>
      </c>
    </row>
    <row r="695" s="54" customFormat="1" ht="50" customHeight="1" spans="1:28">
      <c r="A695" s="54" t="s">
        <v>1399</v>
      </c>
      <c r="B695" s="66"/>
      <c r="C695" s="54" t="s">
        <v>32</v>
      </c>
      <c r="D695" s="54" t="s">
        <v>174</v>
      </c>
      <c r="E695" s="67" t="s">
        <v>1398</v>
      </c>
      <c r="F695" s="54" t="s">
        <v>49</v>
      </c>
      <c r="G695" s="54" t="s">
        <v>1296</v>
      </c>
      <c r="H695" s="54">
        <f>STOCK[[#This Row],[Precio Final]]</f>
        <v>12</v>
      </c>
      <c r="I695" s="54">
        <f>STOCK[[#This Row],[Precio Venta Ideal (x1.5)]]</f>
        <v>15.3</v>
      </c>
      <c r="J695" s="72">
        <v>4</v>
      </c>
      <c r="K695" s="72">
        <f>SUMIFS(VENTAS[Cantidad],VENTAS[Código del producto Vendido],STOCK[[#This Row],[Code]])</f>
        <v>2</v>
      </c>
      <c r="L695" s="72">
        <f>STOCK[[#This Row],[Entradas]]-STOCK[[#This Row],[Salidas]]</f>
        <v>2</v>
      </c>
      <c r="M695" s="54">
        <f>STOCK[[#This Row],[Precio Final]]*10%</f>
        <v>1.2</v>
      </c>
      <c r="N695" s="54">
        <v>0</v>
      </c>
      <c r="O695" s="54">
        <v>22.5</v>
      </c>
      <c r="P695" s="54">
        <v>7</v>
      </c>
      <c r="Q695" s="72">
        <v>0</v>
      </c>
      <c r="R695" s="54">
        <v>0</v>
      </c>
      <c r="S695" s="54">
        <v>2</v>
      </c>
      <c r="T695" s="53">
        <f>STOCK[[#This Row],[Costo Unitario (USD)]]+STOCK[[#This Row],[Costo Envío (USD)]]+STOCK[[#This Row],[Comisión 10%]]</f>
        <v>10.2</v>
      </c>
      <c r="U695" s="54">
        <f>STOCK[[#This Row],[Costo total]]*1.5</f>
        <v>15.3</v>
      </c>
      <c r="V695" s="54">
        <v>12</v>
      </c>
      <c r="W695" s="54">
        <f>STOCK[[#This Row],[Precio Final]]-STOCK[[#This Row],[Costo total]]</f>
        <v>1.8</v>
      </c>
      <c r="X695" s="54">
        <f>STOCK[[#This Row],[Ganancia Unitaria]]*STOCK[[#This Row],[Salidas]]</f>
        <v>3.6</v>
      </c>
      <c r="AA695" s="54">
        <f>STOCK[[#This Row],[Costo total]]*STOCK[[#This Row],[Entradas]]</f>
        <v>40.8</v>
      </c>
      <c r="AB695" s="54">
        <f>STOCK[[#This Row],[Stock Actual]]*STOCK[[#This Row],[Costo total]]</f>
        <v>20.4</v>
      </c>
    </row>
    <row r="696" s="53" customFormat="1" ht="50" customHeight="1" spans="1:28">
      <c r="A696" s="53" t="s">
        <v>1400</v>
      </c>
      <c r="B696" s="66"/>
      <c r="C696" s="53" t="s">
        <v>32</v>
      </c>
      <c r="D696" s="53" t="s">
        <v>174</v>
      </c>
      <c r="E696" s="67" t="s">
        <v>1401</v>
      </c>
      <c r="F696" s="53" t="s">
        <v>49</v>
      </c>
      <c r="G696" s="53" t="s">
        <v>1296</v>
      </c>
      <c r="H696" s="53">
        <f>STOCK[[#This Row],[Precio Final]]</f>
        <v>12</v>
      </c>
      <c r="I696" s="53">
        <f>STOCK[[#This Row],[Precio Venta Ideal (x1.5)]]</f>
        <v>15.3</v>
      </c>
      <c r="J696" s="71">
        <v>3</v>
      </c>
      <c r="K696" s="71">
        <f>SUMIFS(VENTAS[Cantidad],VENTAS[Código del producto Vendido],STOCK[[#This Row],[Code]])</f>
        <v>2</v>
      </c>
      <c r="L696" s="71">
        <f>STOCK[[#This Row],[Entradas]]-STOCK[[#This Row],[Salidas]]</f>
        <v>1</v>
      </c>
      <c r="M696" s="53">
        <f>STOCK[[#This Row],[Precio Final]]*10%</f>
        <v>1.2</v>
      </c>
      <c r="N696" s="53">
        <v>0</v>
      </c>
      <c r="O696" s="53">
        <v>22.5</v>
      </c>
      <c r="P696" s="53">
        <v>7</v>
      </c>
      <c r="Q696" s="71">
        <v>0</v>
      </c>
      <c r="R696" s="53">
        <v>0</v>
      </c>
      <c r="S696" s="53">
        <v>2</v>
      </c>
      <c r="T696" s="53">
        <f>STOCK[[#This Row],[Costo Unitario (USD)]]+STOCK[[#This Row],[Costo Envío (USD)]]+STOCK[[#This Row],[Comisión 10%]]</f>
        <v>10.2</v>
      </c>
      <c r="U696" s="53">
        <f>STOCK[[#This Row],[Costo total]]*1.5</f>
        <v>15.3</v>
      </c>
      <c r="V696" s="53">
        <v>12</v>
      </c>
      <c r="W696" s="53">
        <f>STOCK[[#This Row],[Precio Final]]-STOCK[[#This Row],[Costo total]]</f>
        <v>1.8</v>
      </c>
      <c r="X696" s="53">
        <f>STOCK[[#This Row],[Ganancia Unitaria]]*STOCK[[#This Row],[Salidas]]</f>
        <v>3.6</v>
      </c>
      <c r="AA696" s="53">
        <f>STOCK[[#This Row],[Costo total]]*STOCK[[#This Row],[Entradas]]</f>
        <v>30.6</v>
      </c>
      <c r="AB696" s="53">
        <f>STOCK[[#This Row],[Stock Actual]]*STOCK[[#This Row],[Costo total]]</f>
        <v>10.2</v>
      </c>
    </row>
    <row r="697" s="54" customFormat="1" ht="50" customHeight="1" spans="1:28">
      <c r="A697" s="54" t="s">
        <v>1402</v>
      </c>
      <c r="B697" s="66"/>
      <c r="C697" s="54" t="s">
        <v>32</v>
      </c>
      <c r="D697" s="54" t="s">
        <v>152</v>
      </c>
      <c r="E697" s="68" t="s">
        <v>1403</v>
      </c>
      <c r="F697" s="54" t="s">
        <v>40</v>
      </c>
      <c r="G697" s="54" t="s">
        <v>1296</v>
      </c>
      <c r="H697" s="54">
        <f>STOCK[[#This Row],[Precio Final]]</f>
        <v>12</v>
      </c>
      <c r="I697" s="54">
        <f>STOCK[[#This Row],[Precio Venta Ideal (x1.5)]]</f>
        <v>15.3</v>
      </c>
      <c r="J697" s="72">
        <v>0</v>
      </c>
      <c r="K697" s="72">
        <f>SUMIFS(VENTAS[Cantidad],VENTAS[Código del producto Vendido],STOCK[[#This Row],[Code]])</f>
        <v>0</v>
      </c>
      <c r="L697" s="72">
        <f>STOCK[[#This Row],[Entradas]]-STOCK[[#This Row],[Salidas]]</f>
        <v>0</v>
      </c>
      <c r="M697" s="54">
        <f>STOCK[[#This Row],[Precio Final]]*10%</f>
        <v>1.2</v>
      </c>
      <c r="N697" s="54">
        <v>0</v>
      </c>
      <c r="O697" s="54">
        <v>0</v>
      </c>
      <c r="P697" s="54">
        <v>7</v>
      </c>
      <c r="Q697" s="72">
        <v>0</v>
      </c>
      <c r="R697" s="54">
        <v>0</v>
      </c>
      <c r="S697" s="54">
        <v>2</v>
      </c>
      <c r="T697" s="53">
        <f>STOCK[[#This Row],[Costo Unitario (USD)]]+STOCK[[#This Row],[Costo Envío (USD)]]+STOCK[[#This Row],[Comisión 10%]]</f>
        <v>10.2</v>
      </c>
      <c r="U697" s="54">
        <f>STOCK[[#This Row],[Costo total]]*1.5</f>
        <v>15.3</v>
      </c>
      <c r="V697" s="54">
        <v>12</v>
      </c>
      <c r="W697" s="54">
        <f>STOCK[[#This Row],[Precio Final]]-STOCK[[#This Row],[Costo total]]</f>
        <v>1.8</v>
      </c>
      <c r="X697" s="54">
        <f>STOCK[[#This Row],[Ganancia Unitaria]]*STOCK[[#This Row],[Salidas]]</f>
        <v>0</v>
      </c>
      <c r="AA697" s="54">
        <f>STOCK[[#This Row],[Costo total]]*STOCK[[#This Row],[Entradas]]</f>
        <v>0</v>
      </c>
      <c r="AB697" s="54">
        <f>STOCK[[#This Row],[Stock Actual]]*STOCK[[#This Row],[Costo total]]</f>
        <v>0</v>
      </c>
    </row>
    <row r="698" s="53" customFormat="1" ht="50" customHeight="1" spans="1:28">
      <c r="A698" s="53" t="s">
        <v>1404</v>
      </c>
      <c r="B698" s="66"/>
      <c r="C698" s="53" t="s">
        <v>32</v>
      </c>
      <c r="D698" s="53" t="s">
        <v>174</v>
      </c>
      <c r="E698" s="67" t="s">
        <v>1405</v>
      </c>
      <c r="F698" s="53" t="s">
        <v>49</v>
      </c>
      <c r="G698" s="53" t="s">
        <v>1296</v>
      </c>
      <c r="H698" s="53">
        <f>STOCK[[#This Row],[Precio Final]]</f>
        <v>10</v>
      </c>
      <c r="I698" s="53">
        <f>STOCK[[#This Row],[Precio Venta Ideal (x1.5)]]</f>
        <v>9.75</v>
      </c>
      <c r="J698" s="71">
        <v>3</v>
      </c>
      <c r="K698" s="71">
        <f>SUMIFS(VENTAS[Cantidad],VENTAS[Código del producto Vendido],STOCK[[#This Row],[Code]])</f>
        <v>3</v>
      </c>
      <c r="L698" s="71">
        <f>STOCK[[#This Row],[Entradas]]-STOCK[[#This Row],[Salidas]]</f>
        <v>0</v>
      </c>
      <c r="M698" s="53">
        <f>STOCK[[#This Row],[Precio Final]]*10%</f>
        <v>1</v>
      </c>
      <c r="N698" s="53">
        <v>0</v>
      </c>
      <c r="O698" s="53">
        <v>11</v>
      </c>
      <c r="P698" s="53">
        <v>4.5</v>
      </c>
      <c r="Q698" s="71">
        <v>0</v>
      </c>
      <c r="R698" s="53">
        <v>0</v>
      </c>
      <c r="S698" s="53">
        <v>1</v>
      </c>
      <c r="T698" s="53">
        <f>STOCK[[#This Row],[Costo Unitario (USD)]]+STOCK[[#This Row],[Costo Envío (USD)]]+STOCK[[#This Row],[Comisión 10%]]</f>
        <v>6.5</v>
      </c>
      <c r="U698" s="53">
        <f>STOCK[[#This Row],[Costo total]]*1.5</f>
        <v>9.75</v>
      </c>
      <c r="V698" s="53">
        <v>10</v>
      </c>
      <c r="W698" s="53">
        <f>STOCK[[#This Row],[Precio Final]]-STOCK[[#This Row],[Costo total]]</f>
        <v>3.5</v>
      </c>
      <c r="X698" s="53">
        <f>STOCK[[#This Row],[Ganancia Unitaria]]*STOCK[[#This Row],[Salidas]]</f>
        <v>10.5</v>
      </c>
      <c r="Y698" s="53" t="s">
        <v>1406</v>
      </c>
      <c r="AA698" s="53">
        <f>STOCK[[#This Row],[Costo total]]*STOCK[[#This Row],[Entradas]]</f>
        <v>19.5</v>
      </c>
      <c r="AB698" s="53">
        <f>STOCK[[#This Row],[Stock Actual]]*STOCK[[#This Row],[Costo total]]</f>
        <v>0</v>
      </c>
    </row>
    <row r="699" s="54" customFormat="1" ht="50" customHeight="1" spans="1:28">
      <c r="A699" s="54" t="s">
        <v>1407</v>
      </c>
      <c r="B699" s="66"/>
      <c r="C699" s="54" t="s">
        <v>32</v>
      </c>
      <c r="D699" s="54" t="s">
        <v>247</v>
      </c>
      <c r="E699" s="67" t="s">
        <v>1405</v>
      </c>
      <c r="F699" s="54" t="s">
        <v>1408</v>
      </c>
      <c r="G699" s="54" t="s">
        <v>1296</v>
      </c>
      <c r="H699" s="54">
        <f>STOCK[[#This Row],[Precio Final]]</f>
        <v>10</v>
      </c>
      <c r="I699" s="54">
        <f>STOCK[[#This Row],[Precio Venta Ideal (x1.5)]]</f>
        <v>9.75</v>
      </c>
      <c r="J699" s="72">
        <v>1</v>
      </c>
      <c r="K699" s="72">
        <f>SUMIFS(VENTAS[Cantidad],VENTAS[Código del producto Vendido],STOCK[[#This Row],[Code]])</f>
        <v>1</v>
      </c>
      <c r="L699" s="72">
        <f>STOCK[[#This Row],[Entradas]]-STOCK[[#This Row],[Salidas]]</f>
        <v>0</v>
      </c>
      <c r="M699" s="54">
        <f>STOCK[[#This Row],[Precio Final]]*10%</f>
        <v>1</v>
      </c>
      <c r="N699" s="54">
        <v>0</v>
      </c>
      <c r="O699" s="54">
        <v>5.5</v>
      </c>
      <c r="P699" s="54">
        <v>4.5</v>
      </c>
      <c r="Q699" s="72">
        <v>0</v>
      </c>
      <c r="R699" s="54">
        <v>0</v>
      </c>
      <c r="S699" s="54">
        <v>1</v>
      </c>
      <c r="T699" s="53">
        <f>STOCK[[#This Row],[Costo Unitario (USD)]]+STOCK[[#This Row],[Costo Envío (USD)]]+STOCK[[#This Row],[Comisión 10%]]</f>
        <v>6.5</v>
      </c>
      <c r="U699" s="54">
        <f>STOCK[[#This Row],[Costo total]]*1.5</f>
        <v>9.75</v>
      </c>
      <c r="V699" s="54">
        <v>10</v>
      </c>
      <c r="W699" s="54">
        <f>STOCK[[#This Row],[Precio Final]]-STOCK[[#This Row],[Costo total]]</f>
        <v>3.5</v>
      </c>
      <c r="X699" s="54">
        <f>STOCK[[#This Row],[Ganancia Unitaria]]*STOCK[[#This Row],[Salidas]]</f>
        <v>3.5</v>
      </c>
      <c r="AA699" s="54">
        <f>STOCK[[#This Row],[Costo total]]*STOCK[[#This Row],[Entradas]]</f>
        <v>6.5</v>
      </c>
      <c r="AB699" s="54">
        <f>STOCK[[#This Row],[Stock Actual]]*STOCK[[#This Row],[Costo total]]</f>
        <v>0</v>
      </c>
    </row>
    <row r="700" s="53" customFormat="1" ht="50" customHeight="1" spans="1:28">
      <c r="A700" s="53" t="s">
        <v>1409</v>
      </c>
      <c r="B700" s="66"/>
      <c r="C700" s="53" t="s">
        <v>32</v>
      </c>
      <c r="D700" s="53" t="s">
        <v>152</v>
      </c>
      <c r="E700" s="67" t="s">
        <v>1410</v>
      </c>
      <c r="F700" s="53" t="s">
        <v>62</v>
      </c>
      <c r="G700" s="53" t="s">
        <v>1296</v>
      </c>
      <c r="H700" s="53">
        <f>STOCK[[#This Row],[Precio Final]]</f>
        <v>23</v>
      </c>
      <c r="I700" s="53">
        <f>STOCK[[#This Row],[Precio Venta Ideal (x1.5)]]</f>
        <v>24.78</v>
      </c>
      <c r="J700" s="71">
        <v>5</v>
      </c>
      <c r="K700" s="71">
        <f>SUMIFS(VENTAS[Cantidad],VENTAS[Código del producto Vendido],STOCK[[#This Row],[Code]])</f>
        <v>5</v>
      </c>
      <c r="L700" s="71">
        <f>STOCK[[#This Row],[Entradas]]-STOCK[[#This Row],[Salidas]]</f>
        <v>0</v>
      </c>
      <c r="M700" s="53">
        <f>STOCK[[#This Row],[Precio Final]]*10%</f>
        <v>2.3</v>
      </c>
      <c r="N700" s="53">
        <v>0</v>
      </c>
      <c r="O700" s="53">
        <v>31</v>
      </c>
      <c r="P700" s="53">
        <v>10.22</v>
      </c>
      <c r="Q700" s="71">
        <v>0</v>
      </c>
      <c r="R700" s="53">
        <v>0</v>
      </c>
      <c r="S700" s="53">
        <v>4</v>
      </c>
      <c r="T700" s="53">
        <f>STOCK[[#This Row],[Costo Unitario (USD)]]+STOCK[[#This Row],[Costo Envío (USD)]]+STOCK[[#This Row],[Comisión 10%]]</f>
        <v>16.52</v>
      </c>
      <c r="U700" s="53">
        <f>STOCK[[#This Row],[Costo total]]*1.5</f>
        <v>24.78</v>
      </c>
      <c r="V700" s="53">
        <v>23</v>
      </c>
      <c r="W700" s="53">
        <f>STOCK[[#This Row],[Precio Final]]-STOCK[[#This Row],[Costo total]]</f>
        <v>6.48</v>
      </c>
      <c r="X700" s="53">
        <f>STOCK[[#This Row],[Ganancia Unitaria]]*STOCK[[#This Row],[Salidas]]</f>
        <v>32.4</v>
      </c>
      <c r="AA700" s="53">
        <f>STOCK[[#This Row],[Costo total]]*STOCK[[#This Row],[Entradas]]</f>
        <v>82.6</v>
      </c>
      <c r="AB700" s="53">
        <f>STOCK[[#This Row],[Stock Actual]]*STOCK[[#This Row],[Costo total]]</f>
        <v>0</v>
      </c>
    </row>
    <row r="701" s="54" customFormat="1" ht="50" customHeight="1" spans="1:28">
      <c r="A701" s="54" t="s">
        <v>1411</v>
      </c>
      <c r="B701" s="66"/>
      <c r="C701" s="54" t="s">
        <v>32</v>
      </c>
      <c r="D701" s="54" t="s">
        <v>152</v>
      </c>
      <c r="E701" s="68" t="s">
        <v>1412</v>
      </c>
      <c r="F701" s="54" t="s">
        <v>1305</v>
      </c>
      <c r="G701" s="54" t="s">
        <v>1296</v>
      </c>
      <c r="H701" s="54">
        <f>STOCK[[#This Row],[Precio Final]]</f>
        <v>23</v>
      </c>
      <c r="I701" s="54">
        <f>STOCK[[#This Row],[Precio Venta Ideal (x1.5)]]</f>
        <v>24.78</v>
      </c>
      <c r="J701" s="72">
        <v>1</v>
      </c>
      <c r="K701" s="72">
        <f>SUMIFS(VENTAS[Cantidad],VENTAS[Código del producto Vendido],STOCK[[#This Row],[Code]])</f>
        <v>1</v>
      </c>
      <c r="L701" s="72">
        <f>STOCK[[#This Row],[Entradas]]-STOCK[[#This Row],[Salidas]]</f>
        <v>0</v>
      </c>
      <c r="M701" s="54">
        <f>STOCK[[#This Row],[Precio Final]]*10%</f>
        <v>2.3</v>
      </c>
      <c r="N701" s="54">
        <v>0</v>
      </c>
      <c r="O701" s="54">
        <v>31</v>
      </c>
      <c r="P701" s="54">
        <v>10.22</v>
      </c>
      <c r="Q701" s="72">
        <v>0</v>
      </c>
      <c r="R701" s="54">
        <v>0</v>
      </c>
      <c r="S701" s="54">
        <v>4</v>
      </c>
      <c r="T701" s="53">
        <f>STOCK[[#This Row],[Costo Unitario (USD)]]+STOCK[[#This Row],[Costo Envío (USD)]]+STOCK[[#This Row],[Comisión 10%]]</f>
        <v>16.52</v>
      </c>
      <c r="U701" s="54">
        <f>STOCK[[#This Row],[Costo total]]*1.5</f>
        <v>24.78</v>
      </c>
      <c r="V701" s="54">
        <v>23</v>
      </c>
      <c r="W701" s="54">
        <f>STOCK[[#This Row],[Precio Final]]-STOCK[[#This Row],[Costo total]]</f>
        <v>6.48</v>
      </c>
      <c r="X701" s="54">
        <f>STOCK[[#This Row],[Ganancia Unitaria]]*STOCK[[#This Row],[Salidas]]</f>
        <v>6.48</v>
      </c>
      <c r="AA701" s="54">
        <f>STOCK[[#This Row],[Costo total]]*STOCK[[#This Row],[Entradas]]</f>
        <v>16.52</v>
      </c>
      <c r="AB701" s="54">
        <f>STOCK[[#This Row],[Stock Actual]]*STOCK[[#This Row],[Costo total]]</f>
        <v>0</v>
      </c>
    </row>
    <row r="702" s="53" customFormat="1" ht="50" customHeight="1" spans="1:29">
      <c r="A702" s="53" t="s">
        <v>1413</v>
      </c>
      <c r="B702" s="66"/>
      <c r="C702" s="53" t="s">
        <v>32</v>
      </c>
      <c r="D702" s="53" t="s">
        <v>196</v>
      </c>
      <c r="E702" s="67" t="s">
        <v>1414</v>
      </c>
      <c r="F702" s="53" t="s">
        <v>1415</v>
      </c>
      <c r="G702" s="53" t="s">
        <v>1296</v>
      </c>
      <c r="H702" s="53">
        <f>STOCK[[#This Row],[Precio Final]]</f>
        <v>35</v>
      </c>
      <c r="I702" s="53">
        <f>STOCK[[#This Row],[Precio Venta Ideal (x1.5)]]</f>
        <v>35.25</v>
      </c>
      <c r="J702" s="71">
        <v>3</v>
      </c>
      <c r="K702" s="71">
        <f>SUMIFS(VENTAS[Cantidad],VENTAS[Código del producto Vendido],STOCK[[#This Row],[Code]])</f>
        <v>1</v>
      </c>
      <c r="L702" s="71">
        <f>STOCK[[#This Row],[Entradas]]-STOCK[[#This Row],[Salidas]]</f>
        <v>2</v>
      </c>
      <c r="M702" s="53">
        <f>STOCK[[#This Row],[Precio Final]]*10%</f>
        <v>3.5</v>
      </c>
      <c r="N702" s="53">
        <v>0</v>
      </c>
      <c r="O702" s="53">
        <v>44</v>
      </c>
      <c r="P702" s="53">
        <v>15</v>
      </c>
      <c r="Q702" s="71">
        <v>0</v>
      </c>
      <c r="R702" s="53">
        <v>0</v>
      </c>
      <c r="S702" s="53">
        <v>5</v>
      </c>
      <c r="T702" s="53">
        <f>STOCK[[#This Row],[Costo Unitario (USD)]]+STOCK[[#This Row],[Costo Envío (USD)]]+STOCK[[#This Row],[Comisión 10%]]</f>
        <v>23.5</v>
      </c>
      <c r="U702" s="53">
        <f>STOCK[[#This Row],[Costo total]]*1.5</f>
        <v>35.25</v>
      </c>
      <c r="V702" s="53">
        <v>35</v>
      </c>
      <c r="W702" s="53">
        <f>STOCK[[#This Row],[Precio Final]]-STOCK[[#This Row],[Costo total]]</f>
        <v>11.5</v>
      </c>
      <c r="X702" s="53">
        <f>STOCK[[#This Row],[Ganancia Unitaria]]*STOCK[[#This Row],[Salidas]]</f>
        <v>11.5</v>
      </c>
      <c r="AA702" s="53">
        <f>STOCK[[#This Row],[Costo total]]*STOCK[[#This Row],[Entradas]]</f>
        <v>70.5</v>
      </c>
      <c r="AB702" s="53">
        <f>STOCK[[#This Row],[Stock Actual]]*STOCK[[#This Row],[Costo total]]</f>
        <v>47</v>
      </c>
      <c r="AC702" s="53">
        <v>30</v>
      </c>
    </row>
    <row r="703" s="54" customFormat="1" ht="50" customHeight="1" spans="1:28">
      <c r="A703" s="54" t="s">
        <v>1416</v>
      </c>
      <c r="B703" s="66"/>
      <c r="C703" s="54" t="s">
        <v>32</v>
      </c>
      <c r="D703" s="54" t="s">
        <v>152</v>
      </c>
      <c r="E703" s="68" t="s">
        <v>1414</v>
      </c>
      <c r="F703" s="54" t="s">
        <v>1417</v>
      </c>
      <c r="G703" s="54" t="s">
        <v>1296</v>
      </c>
      <c r="H703" s="54">
        <f>STOCK[[#This Row],[Precio Final]]</f>
        <v>32</v>
      </c>
      <c r="I703" s="54">
        <f>STOCK[[#This Row],[Precio Venta Ideal (x1.5)]]</f>
        <v>34.8</v>
      </c>
      <c r="J703" s="72">
        <v>3</v>
      </c>
      <c r="K703" s="72">
        <f>SUMIFS(VENTAS[Cantidad],VENTAS[Código del producto Vendido],STOCK[[#This Row],[Code]])</f>
        <v>3</v>
      </c>
      <c r="L703" s="72">
        <f>STOCK[[#This Row],[Entradas]]-STOCK[[#This Row],[Salidas]]</f>
        <v>0</v>
      </c>
      <c r="M703" s="54">
        <f>STOCK[[#This Row],[Precio Final]]*10%</f>
        <v>3.2</v>
      </c>
      <c r="N703" s="54">
        <v>0</v>
      </c>
      <c r="O703" s="54">
        <v>66</v>
      </c>
      <c r="P703" s="54">
        <v>15</v>
      </c>
      <c r="Q703" s="72">
        <v>0</v>
      </c>
      <c r="R703" s="54">
        <v>0</v>
      </c>
      <c r="S703" s="54">
        <v>5</v>
      </c>
      <c r="T703" s="53">
        <f>STOCK[[#This Row],[Costo Unitario (USD)]]+STOCK[[#This Row],[Costo Envío (USD)]]+STOCK[[#This Row],[Comisión 10%]]</f>
        <v>23.2</v>
      </c>
      <c r="U703" s="54">
        <f>STOCK[[#This Row],[Costo total]]*1.5</f>
        <v>34.8</v>
      </c>
      <c r="V703" s="54">
        <v>32</v>
      </c>
      <c r="W703" s="54">
        <f>STOCK[[#This Row],[Precio Final]]-STOCK[[#This Row],[Costo total]]</f>
        <v>8.8</v>
      </c>
      <c r="X703" s="54">
        <f>STOCK[[#This Row],[Ganancia Unitaria]]*STOCK[[#This Row],[Salidas]]</f>
        <v>26.4</v>
      </c>
      <c r="AA703" s="54">
        <f>STOCK[[#This Row],[Costo total]]*STOCK[[#This Row],[Entradas]]</f>
        <v>69.6</v>
      </c>
      <c r="AB703" s="54">
        <f>STOCK[[#This Row],[Stock Actual]]*STOCK[[#This Row],[Costo total]]</f>
        <v>0</v>
      </c>
    </row>
    <row r="704" s="53" customFormat="1" ht="50" customHeight="1" spans="1:28">
      <c r="A704" s="53" t="s">
        <v>1418</v>
      </c>
      <c r="B704" s="66"/>
      <c r="C704" s="53" t="s">
        <v>32</v>
      </c>
      <c r="D704" s="53" t="s">
        <v>44</v>
      </c>
      <c r="E704" s="67" t="s">
        <v>1419</v>
      </c>
      <c r="F704" s="53" t="s">
        <v>49</v>
      </c>
      <c r="G704" s="53" t="s">
        <v>1296</v>
      </c>
      <c r="H704" s="53">
        <f>STOCK[[#This Row],[Precio Final]]</f>
        <v>30</v>
      </c>
      <c r="I704" s="53">
        <f>STOCK[[#This Row],[Precio Venta Ideal (x1.5)]]</f>
        <v>41.385</v>
      </c>
      <c r="J704" s="71">
        <v>2</v>
      </c>
      <c r="K704" s="71">
        <f>SUMIFS(VENTAS[Cantidad],VENTAS[Código del producto Vendido],STOCK[[#This Row],[Code]])</f>
        <v>2</v>
      </c>
      <c r="L704" s="71">
        <f>STOCK[[#This Row],[Entradas]]-STOCK[[#This Row],[Salidas]]</f>
        <v>0</v>
      </c>
      <c r="M704" s="53">
        <f>STOCK[[#This Row],[Precio Final]]*10%</f>
        <v>3</v>
      </c>
      <c r="N704" s="53">
        <v>0</v>
      </c>
      <c r="O704" s="53">
        <v>29.59</v>
      </c>
      <c r="P704" s="53">
        <v>19.59</v>
      </c>
      <c r="Q704" s="71">
        <v>0</v>
      </c>
      <c r="R704" s="53">
        <v>0</v>
      </c>
      <c r="S704" s="53">
        <v>5</v>
      </c>
      <c r="T704" s="53">
        <f>STOCK[[#This Row],[Costo Unitario (USD)]]+STOCK[[#This Row],[Costo Envío (USD)]]+STOCK[[#This Row],[Comisión 10%]]</f>
        <v>27.59</v>
      </c>
      <c r="U704" s="53">
        <f>STOCK[[#This Row],[Costo total]]*1.5</f>
        <v>41.385</v>
      </c>
      <c r="V704" s="53">
        <v>30</v>
      </c>
      <c r="W704" s="53">
        <f>STOCK[[#This Row],[Precio Final]]-STOCK[[#This Row],[Costo total]]</f>
        <v>2.41</v>
      </c>
      <c r="X704" s="53">
        <f>STOCK[[#This Row],[Ganancia Unitaria]]*STOCK[[#This Row],[Salidas]]</f>
        <v>4.82</v>
      </c>
      <c r="AA704" s="53">
        <f>STOCK[[#This Row],[Costo total]]*STOCK[[#This Row],[Entradas]]</f>
        <v>55.18</v>
      </c>
      <c r="AB704" s="53">
        <f>STOCK[[#This Row],[Stock Actual]]*STOCK[[#This Row],[Costo total]]</f>
        <v>0</v>
      </c>
    </row>
    <row r="705" s="54" customFormat="1" ht="50" customHeight="1" spans="1:28">
      <c r="A705" s="54" t="s">
        <v>1420</v>
      </c>
      <c r="B705" s="66"/>
      <c r="C705" s="54" t="s">
        <v>32</v>
      </c>
      <c r="D705" s="54" t="s">
        <v>152</v>
      </c>
      <c r="E705" s="68" t="s">
        <v>1419</v>
      </c>
      <c r="F705" s="54" t="s">
        <v>62</v>
      </c>
      <c r="G705" s="54" t="s">
        <v>1296</v>
      </c>
      <c r="H705" s="54">
        <f>STOCK[[#This Row],[Precio Final]]</f>
        <v>30</v>
      </c>
      <c r="I705" s="54">
        <f>STOCK[[#This Row],[Precio Venta Ideal (x1.5)]]</f>
        <v>41.385</v>
      </c>
      <c r="J705" s="72">
        <v>2</v>
      </c>
      <c r="K705" s="72">
        <f>SUMIFS(VENTAS[Cantidad],VENTAS[Código del producto Vendido],STOCK[[#This Row],[Code]])</f>
        <v>2</v>
      </c>
      <c r="L705" s="72">
        <f>STOCK[[#This Row],[Entradas]]-STOCK[[#This Row],[Salidas]]</f>
        <v>0</v>
      </c>
      <c r="M705" s="54">
        <f>STOCK[[#This Row],[Precio Final]]*10%</f>
        <v>3</v>
      </c>
      <c r="N705" s="54">
        <v>0</v>
      </c>
      <c r="O705" s="54">
        <v>29.59</v>
      </c>
      <c r="P705" s="54">
        <v>19.59</v>
      </c>
      <c r="Q705" s="72">
        <v>0</v>
      </c>
      <c r="R705" s="54">
        <v>0</v>
      </c>
      <c r="S705" s="54">
        <v>5</v>
      </c>
      <c r="T705" s="53">
        <f>STOCK[[#This Row],[Costo Unitario (USD)]]+STOCK[[#This Row],[Costo Envío (USD)]]+STOCK[[#This Row],[Comisión 10%]]</f>
        <v>27.59</v>
      </c>
      <c r="U705" s="54">
        <f>STOCK[[#This Row],[Costo total]]*1.5</f>
        <v>41.385</v>
      </c>
      <c r="V705" s="54">
        <v>30</v>
      </c>
      <c r="W705" s="54">
        <f>STOCK[[#This Row],[Precio Final]]-STOCK[[#This Row],[Costo total]]</f>
        <v>2.41</v>
      </c>
      <c r="X705" s="54">
        <f>STOCK[[#This Row],[Ganancia Unitaria]]*STOCK[[#This Row],[Salidas]]</f>
        <v>4.82</v>
      </c>
      <c r="AA705" s="54">
        <f>STOCK[[#This Row],[Costo total]]*STOCK[[#This Row],[Entradas]]</f>
        <v>55.18</v>
      </c>
      <c r="AB705" s="54">
        <f>STOCK[[#This Row],[Stock Actual]]*STOCK[[#This Row],[Costo total]]</f>
        <v>0</v>
      </c>
    </row>
    <row r="706" s="53" customFormat="1" ht="50" customHeight="1" spans="1:28">
      <c r="A706" s="53" t="s">
        <v>1421</v>
      </c>
      <c r="B706" s="66"/>
      <c r="C706" s="53" t="s">
        <v>32</v>
      </c>
      <c r="D706" s="53" t="s">
        <v>152</v>
      </c>
      <c r="E706" s="67" t="s">
        <v>1422</v>
      </c>
      <c r="F706" s="53" t="s">
        <v>62</v>
      </c>
      <c r="G706" s="53" t="s">
        <v>1296</v>
      </c>
      <c r="H706" s="53">
        <f>STOCK[[#This Row],[Precio Final]]</f>
        <v>20</v>
      </c>
      <c r="I706" s="53">
        <f>STOCK[[#This Row],[Precio Venta Ideal (x1.5)]]</f>
        <v>22.485</v>
      </c>
      <c r="J706" s="71">
        <v>2</v>
      </c>
      <c r="K706" s="71">
        <f>SUMIFS(VENTAS[Cantidad],VENTAS[Código del producto Vendido],STOCK[[#This Row],[Code]])</f>
        <v>2</v>
      </c>
      <c r="L706" s="71">
        <f>STOCK[[#This Row],[Entradas]]-STOCK[[#This Row],[Salidas]]</f>
        <v>0</v>
      </c>
      <c r="M706" s="53">
        <f>STOCK[[#This Row],[Precio Final]]*10%</f>
        <v>2</v>
      </c>
      <c r="N706" s="53">
        <v>0</v>
      </c>
      <c r="O706" s="53">
        <v>30</v>
      </c>
      <c r="P706" s="53">
        <v>9.99</v>
      </c>
      <c r="Q706" s="71">
        <v>0</v>
      </c>
      <c r="R706" s="53">
        <v>0</v>
      </c>
      <c r="S706" s="53">
        <v>3</v>
      </c>
      <c r="T706" s="53">
        <f>STOCK[[#This Row],[Costo Unitario (USD)]]+STOCK[[#This Row],[Costo Envío (USD)]]+STOCK[[#This Row],[Comisión 10%]]</f>
        <v>14.99</v>
      </c>
      <c r="U706" s="53">
        <f>STOCK[[#This Row],[Costo total]]*1.5</f>
        <v>22.485</v>
      </c>
      <c r="V706" s="53">
        <v>20</v>
      </c>
      <c r="W706" s="53">
        <f>STOCK[[#This Row],[Precio Final]]-STOCK[[#This Row],[Costo total]]</f>
        <v>5.01</v>
      </c>
      <c r="X706" s="53">
        <f>STOCK[[#This Row],[Ganancia Unitaria]]*STOCK[[#This Row],[Salidas]]</f>
        <v>10.02</v>
      </c>
      <c r="AA706" s="53">
        <f>STOCK[[#This Row],[Costo total]]*STOCK[[#This Row],[Entradas]]</f>
        <v>29.98</v>
      </c>
      <c r="AB706" s="53">
        <f>STOCK[[#This Row],[Stock Actual]]*STOCK[[#This Row],[Costo total]]</f>
        <v>0</v>
      </c>
    </row>
    <row r="707" s="54" customFormat="1" ht="50" customHeight="1" spans="1:28">
      <c r="A707" s="54" t="s">
        <v>1423</v>
      </c>
      <c r="B707" s="66"/>
      <c r="C707" s="54" t="s">
        <v>32</v>
      </c>
      <c r="D707" s="54" t="s">
        <v>935</v>
      </c>
      <c r="E707" s="68" t="s">
        <v>1424</v>
      </c>
      <c r="F707" s="54" t="s">
        <v>1425</v>
      </c>
      <c r="G707" s="54" t="s">
        <v>704</v>
      </c>
      <c r="H707" s="54">
        <f>STOCK[[#This Row],[Precio Final]]</f>
        <v>30</v>
      </c>
      <c r="I707" s="54">
        <f>STOCK[[#This Row],[Precio Venta Ideal (x1.5)]]</f>
        <v>36</v>
      </c>
      <c r="J707" s="72">
        <v>1</v>
      </c>
      <c r="K707" s="72">
        <f>SUMIFS(VENTAS[Cantidad],VENTAS[Código del producto Vendido],STOCK[[#This Row],[Code]])</f>
        <v>1</v>
      </c>
      <c r="L707" s="72">
        <f>STOCK[[#This Row],[Entradas]]-STOCK[[#This Row],[Salidas]]</f>
        <v>0</v>
      </c>
      <c r="M707" s="54">
        <f>STOCK[[#This Row],[Precio Final]]*10%</f>
        <v>3</v>
      </c>
      <c r="N707" s="54">
        <v>0</v>
      </c>
      <c r="O707" s="54">
        <v>18</v>
      </c>
      <c r="P707" s="54">
        <v>18</v>
      </c>
      <c r="Q707" s="72">
        <v>0</v>
      </c>
      <c r="R707" s="54">
        <v>0</v>
      </c>
      <c r="S707" s="54">
        <v>3</v>
      </c>
      <c r="T707" s="53">
        <f>STOCK[[#This Row],[Costo Unitario (USD)]]+STOCK[[#This Row],[Costo Envío (USD)]]+STOCK[[#This Row],[Comisión 10%]]</f>
        <v>24</v>
      </c>
      <c r="U707" s="54">
        <f>STOCK[[#This Row],[Costo total]]*1.5</f>
        <v>36</v>
      </c>
      <c r="V707" s="54">
        <v>30</v>
      </c>
      <c r="W707" s="54">
        <f>STOCK[[#This Row],[Precio Final]]-STOCK[[#This Row],[Costo total]]</f>
        <v>6</v>
      </c>
      <c r="X707" s="54">
        <f>STOCK[[#This Row],[Ganancia Unitaria]]*STOCK[[#This Row],[Salidas]]</f>
        <v>6</v>
      </c>
      <c r="AA707" s="54">
        <f>STOCK[[#This Row],[Costo total]]*STOCK[[#This Row],[Entradas]]</f>
        <v>24</v>
      </c>
      <c r="AB707" s="54">
        <f>STOCK[[#This Row],[Stock Actual]]*STOCK[[#This Row],[Costo total]]</f>
        <v>0</v>
      </c>
    </row>
    <row r="708" s="53" customFormat="1" ht="50" customHeight="1" spans="1:29">
      <c r="A708" s="53" t="s">
        <v>1426</v>
      </c>
      <c r="B708" s="66"/>
      <c r="C708" s="53" t="s">
        <v>32</v>
      </c>
      <c r="D708" s="53" t="s">
        <v>216</v>
      </c>
      <c r="E708" s="67" t="s">
        <v>1427</v>
      </c>
      <c r="F708" s="53" t="s">
        <v>49</v>
      </c>
      <c r="G708" s="53" t="s">
        <v>1296</v>
      </c>
      <c r="H708" s="53">
        <f>STOCK[[#This Row],[Precio Final]]</f>
        <v>35</v>
      </c>
      <c r="I708" s="53">
        <f>STOCK[[#This Row],[Precio Venta Ideal (x1.5)]]</f>
        <v>30.75</v>
      </c>
      <c r="J708" s="71">
        <v>3</v>
      </c>
      <c r="K708" s="71">
        <f>SUMIFS(VENTAS[Cantidad],VENTAS[Código del producto Vendido],STOCK[[#This Row],[Code]])</f>
        <v>1</v>
      </c>
      <c r="L708" s="71">
        <f>STOCK[[#This Row],[Entradas]]-STOCK[[#This Row],[Salidas]]</f>
        <v>2</v>
      </c>
      <c r="M708" s="53">
        <f>STOCK[[#This Row],[Precio Final]]*10%</f>
        <v>3.5</v>
      </c>
      <c r="N708" s="53">
        <v>0</v>
      </c>
      <c r="O708" s="53">
        <v>54</v>
      </c>
      <c r="P708" s="53">
        <v>12</v>
      </c>
      <c r="Q708" s="71">
        <v>0</v>
      </c>
      <c r="R708" s="53">
        <v>0</v>
      </c>
      <c r="S708" s="53">
        <v>5</v>
      </c>
      <c r="T708" s="53">
        <f>STOCK[[#This Row],[Costo Unitario (USD)]]+STOCK[[#This Row],[Costo Envío (USD)]]+STOCK[[#This Row],[Comisión 10%]]</f>
        <v>20.5</v>
      </c>
      <c r="U708" s="53">
        <f>STOCK[[#This Row],[Costo total]]*1.5</f>
        <v>30.75</v>
      </c>
      <c r="V708" s="53">
        <v>35</v>
      </c>
      <c r="W708" s="53">
        <f>STOCK[[#This Row],[Precio Final]]-STOCK[[#This Row],[Costo total]]</f>
        <v>14.5</v>
      </c>
      <c r="X708" s="53">
        <f>STOCK[[#This Row],[Ganancia Unitaria]]*STOCK[[#This Row],[Salidas]]</f>
        <v>14.5</v>
      </c>
      <c r="AA708" s="53">
        <f>STOCK[[#This Row],[Costo total]]*STOCK[[#This Row],[Entradas]]</f>
        <v>61.5</v>
      </c>
      <c r="AB708" s="53">
        <f>STOCK[[#This Row],[Stock Actual]]*STOCK[[#This Row],[Costo total]]</f>
        <v>41</v>
      </c>
      <c r="AC708" s="53">
        <v>30</v>
      </c>
    </row>
    <row r="709" s="54" customFormat="1" ht="50" customHeight="1" spans="1:28">
      <c r="A709" s="54" t="s">
        <v>1428</v>
      </c>
      <c r="B709" s="66"/>
      <c r="C709" s="54" t="s">
        <v>32</v>
      </c>
      <c r="D709" s="54" t="s">
        <v>44</v>
      </c>
      <c r="E709" s="68" t="s">
        <v>1427</v>
      </c>
      <c r="F709" s="54" t="s">
        <v>62</v>
      </c>
      <c r="G709" s="54" t="s">
        <v>1296</v>
      </c>
      <c r="H709" s="54">
        <f>STOCK[[#This Row],[Precio Final]]</f>
        <v>30</v>
      </c>
      <c r="I709" s="54">
        <f>STOCK[[#This Row],[Precio Venta Ideal (x1.5)]]</f>
        <v>30</v>
      </c>
      <c r="J709" s="72">
        <v>2</v>
      </c>
      <c r="K709" s="72">
        <f>SUMIFS(VENTAS[Cantidad],VENTAS[Código del producto Vendido],STOCK[[#This Row],[Code]])</f>
        <v>2</v>
      </c>
      <c r="L709" s="72">
        <f>STOCK[[#This Row],[Entradas]]-STOCK[[#This Row],[Salidas]]</f>
        <v>0</v>
      </c>
      <c r="M709" s="54">
        <f>STOCK[[#This Row],[Precio Final]]*10%</f>
        <v>3</v>
      </c>
      <c r="N709" s="54">
        <v>0</v>
      </c>
      <c r="O709" s="54">
        <v>18</v>
      </c>
      <c r="P709" s="54">
        <v>12</v>
      </c>
      <c r="Q709" s="72">
        <v>0</v>
      </c>
      <c r="R709" s="54">
        <v>0</v>
      </c>
      <c r="S709" s="54">
        <v>5</v>
      </c>
      <c r="T709" s="53">
        <f>STOCK[[#This Row],[Costo Unitario (USD)]]+STOCK[[#This Row],[Costo Envío (USD)]]+STOCK[[#This Row],[Comisión 10%]]</f>
        <v>20</v>
      </c>
      <c r="U709" s="54">
        <f>STOCK[[#This Row],[Costo total]]*1.5</f>
        <v>30</v>
      </c>
      <c r="V709" s="54">
        <v>30</v>
      </c>
      <c r="W709" s="54">
        <f>STOCK[[#This Row],[Precio Final]]-STOCK[[#This Row],[Costo total]]</f>
        <v>10</v>
      </c>
      <c r="X709" s="54">
        <f>STOCK[[#This Row],[Ganancia Unitaria]]*STOCK[[#This Row],[Salidas]]</f>
        <v>20</v>
      </c>
      <c r="AA709" s="54">
        <f>STOCK[[#This Row],[Costo total]]*STOCK[[#This Row],[Entradas]]</f>
        <v>40</v>
      </c>
      <c r="AB709" s="54">
        <f>STOCK[[#This Row],[Stock Actual]]*STOCK[[#This Row],[Costo total]]</f>
        <v>0</v>
      </c>
    </row>
    <row r="710" s="53" customFormat="1" ht="50" customHeight="1" spans="1:28">
      <c r="A710" s="53" t="s">
        <v>1429</v>
      </c>
      <c r="B710" s="66"/>
      <c r="C710" s="53" t="s">
        <v>32</v>
      </c>
      <c r="D710" s="53" t="s">
        <v>515</v>
      </c>
      <c r="E710" s="67" t="s">
        <v>1430</v>
      </c>
      <c r="F710" s="53" t="s">
        <v>759</v>
      </c>
      <c r="G710" s="53" t="s">
        <v>1296</v>
      </c>
      <c r="H710" s="53">
        <f>STOCK[[#This Row],[Precio Final]]</f>
        <v>18</v>
      </c>
      <c r="I710" s="53">
        <f>STOCK[[#This Row],[Precio Venta Ideal (x1.5)]]</f>
        <v>19.935</v>
      </c>
      <c r="J710" s="71">
        <v>1</v>
      </c>
      <c r="K710" s="71">
        <f>SUMIFS(VENTAS[Cantidad],VENTAS[Código del producto Vendido],STOCK[[#This Row],[Code]])</f>
        <v>1</v>
      </c>
      <c r="L710" s="71">
        <f>STOCK[[#This Row],[Entradas]]-STOCK[[#This Row],[Salidas]]</f>
        <v>0</v>
      </c>
      <c r="M710" s="53">
        <f>STOCK[[#This Row],[Precio Final]]*10%</f>
        <v>1.8</v>
      </c>
      <c r="N710" s="53">
        <v>0</v>
      </c>
      <c r="O710" s="53">
        <v>12.49</v>
      </c>
      <c r="P710" s="53">
        <v>7.49</v>
      </c>
      <c r="Q710" s="71">
        <v>0</v>
      </c>
      <c r="R710" s="53">
        <v>0</v>
      </c>
      <c r="S710" s="53">
        <v>4</v>
      </c>
      <c r="T710" s="53">
        <f>STOCK[[#This Row],[Costo Unitario (USD)]]+STOCK[[#This Row],[Costo Envío (USD)]]+STOCK[[#This Row],[Comisión 10%]]</f>
        <v>13.29</v>
      </c>
      <c r="U710" s="53">
        <f>STOCK[[#This Row],[Costo total]]*1.5</f>
        <v>19.935</v>
      </c>
      <c r="V710" s="53">
        <v>18</v>
      </c>
      <c r="W710" s="53">
        <f>STOCK[[#This Row],[Precio Final]]-STOCK[[#This Row],[Costo total]]</f>
        <v>4.71</v>
      </c>
      <c r="X710" s="53">
        <f>STOCK[[#This Row],[Ganancia Unitaria]]*STOCK[[#This Row],[Salidas]]</f>
        <v>4.71</v>
      </c>
      <c r="Y710" s="53" t="s">
        <v>1431</v>
      </c>
      <c r="AA710" s="53">
        <f>STOCK[[#This Row],[Costo total]]*STOCK[[#This Row],[Entradas]]</f>
        <v>13.29</v>
      </c>
      <c r="AB710" s="53">
        <f>STOCK[[#This Row],[Stock Actual]]*STOCK[[#This Row],[Costo total]]</f>
        <v>0</v>
      </c>
    </row>
    <row r="711" s="54" customFormat="1" ht="50" customHeight="1" spans="1:28">
      <c r="A711" s="54" t="s">
        <v>1432</v>
      </c>
      <c r="B711" s="66"/>
      <c r="C711" s="54" t="s">
        <v>32</v>
      </c>
      <c r="D711" s="53" t="s">
        <v>515</v>
      </c>
      <c r="E711" s="68" t="s">
        <v>1430</v>
      </c>
      <c r="F711" s="54" t="s">
        <v>764</v>
      </c>
      <c r="G711" s="54" t="s">
        <v>1296</v>
      </c>
      <c r="H711" s="54">
        <f>STOCK[[#This Row],[Precio Final]]</f>
        <v>18</v>
      </c>
      <c r="I711" s="54">
        <f>STOCK[[#This Row],[Precio Venta Ideal (x1.5)]]</f>
        <v>19.935</v>
      </c>
      <c r="J711" s="72">
        <v>1</v>
      </c>
      <c r="K711" s="72">
        <f>SUMIFS(VENTAS[Cantidad],VENTAS[Código del producto Vendido],STOCK[[#This Row],[Code]])</f>
        <v>1</v>
      </c>
      <c r="L711" s="72">
        <f>STOCK[[#This Row],[Entradas]]-STOCK[[#This Row],[Salidas]]</f>
        <v>0</v>
      </c>
      <c r="M711" s="54">
        <f>STOCK[[#This Row],[Precio Final]]*10%</f>
        <v>1.8</v>
      </c>
      <c r="N711" s="54">
        <v>0</v>
      </c>
      <c r="O711" s="54">
        <v>12.49</v>
      </c>
      <c r="P711" s="54">
        <v>7.49</v>
      </c>
      <c r="Q711" s="72">
        <v>0</v>
      </c>
      <c r="R711" s="54">
        <v>0</v>
      </c>
      <c r="S711" s="54">
        <v>4</v>
      </c>
      <c r="T711" s="53">
        <f>STOCK[[#This Row],[Costo Unitario (USD)]]+STOCK[[#This Row],[Costo Envío (USD)]]+STOCK[[#This Row],[Comisión 10%]]</f>
        <v>13.29</v>
      </c>
      <c r="U711" s="54">
        <f>STOCK[[#This Row],[Costo total]]*1.5</f>
        <v>19.935</v>
      </c>
      <c r="V711" s="54">
        <v>18</v>
      </c>
      <c r="W711" s="54">
        <f>STOCK[[#This Row],[Precio Final]]-STOCK[[#This Row],[Costo total]]</f>
        <v>4.71</v>
      </c>
      <c r="X711" s="54">
        <f>STOCK[[#This Row],[Ganancia Unitaria]]*STOCK[[#This Row],[Salidas]]</f>
        <v>4.71</v>
      </c>
      <c r="Y711" s="54" t="s">
        <v>1431</v>
      </c>
      <c r="AA711" s="54">
        <f>STOCK[[#This Row],[Costo total]]*STOCK[[#This Row],[Entradas]]</f>
        <v>13.29</v>
      </c>
      <c r="AB711" s="54">
        <f>STOCK[[#This Row],[Stock Actual]]*STOCK[[#This Row],[Costo total]]</f>
        <v>0</v>
      </c>
    </row>
    <row r="712" s="53" customFormat="1" ht="50" customHeight="1" spans="1:28">
      <c r="A712" s="53" t="s">
        <v>1433</v>
      </c>
      <c r="B712" s="66"/>
      <c r="C712" s="53" t="s">
        <v>32</v>
      </c>
      <c r="D712" s="53" t="s">
        <v>515</v>
      </c>
      <c r="E712" s="67" t="s">
        <v>1430</v>
      </c>
      <c r="F712" s="53" t="s">
        <v>540</v>
      </c>
      <c r="G712" s="53" t="s">
        <v>1296</v>
      </c>
      <c r="H712" s="53">
        <f>STOCK[[#This Row],[Precio Final]]</f>
        <v>18</v>
      </c>
      <c r="I712" s="53">
        <f>STOCK[[#This Row],[Precio Venta Ideal (x1.5)]]</f>
        <v>19.935</v>
      </c>
      <c r="J712" s="71">
        <v>1</v>
      </c>
      <c r="K712" s="71">
        <f>SUMIFS(VENTAS[Cantidad],VENTAS[Código del producto Vendido],STOCK[[#This Row],[Code]])</f>
        <v>1</v>
      </c>
      <c r="L712" s="71">
        <f>STOCK[[#This Row],[Entradas]]-STOCK[[#This Row],[Salidas]]</f>
        <v>0</v>
      </c>
      <c r="M712" s="53">
        <f>STOCK[[#This Row],[Precio Final]]*10%</f>
        <v>1.8</v>
      </c>
      <c r="N712" s="53">
        <v>0</v>
      </c>
      <c r="O712" s="53">
        <v>12.49</v>
      </c>
      <c r="P712" s="53">
        <v>7.49</v>
      </c>
      <c r="Q712" s="71">
        <v>0</v>
      </c>
      <c r="R712" s="53">
        <v>0</v>
      </c>
      <c r="S712" s="53">
        <v>4</v>
      </c>
      <c r="T712" s="53">
        <f>STOCK[[#This Row],[Costo Unitario (USD)]]+STOCK[[#This Row],[Costo Envío (USD)]]+STOCK[[#This Row],[Comisión 10%]]</f>
        <v>13.29</v>
      </c>
      <c r="U712" s="53">
        <f>STOCK[[#This Row],[Costo total]]*1.5</f>
        <v>19.935</v>
      </c>
      <c r="V712" s="53">
        <v>18</v>
      </c>
      <c r="W712" s="53">
        <f>STOCK[[#This Row],[Precio Final]]-STOCK[[#This Row],[Costo total]]</f>
        <v>4.71</v>
      </c>
      <c r="X712" s="53">
        <f>STOCK[[#This Row],[Ganancia Unitaria]]*STOCK[[#This Row],[Salidas]]</f>
        <v>4.71</v>
      </c>
      <c r="Y712" s="53" t="s">
        <v>1431</v>
      </c>
      <c r="AA712" s="53">
        <f>STOCK[[#This Row],[Costo total]]*STOCK[[#This Row],[Entradas]]</f>
        <v>13.29</v>
      </c>
      <c r="AB712" s="53">
        <f>STOCK[[#This Row],[Stock Actual]]*STOCK[[#This Row],[Costo total]]</f>
        <v>0</v>
      </c>
    </row>
    <row r="713" s="54" customFormat="1" ht="50" customHeight="1" spans="1:28">
      <c r="A713" s="54" t="s">
        <v>1434</v>
      </c>
      <c r="B713" s="66"/>
      <c r="C713" s="54" t="s">
        <v>32</v>
      </c>
      <c r="D713" s="54" t="s">
        <v>152</v>
      </c>
      <c r="E713" s="68" t="s">
        <v>1435</v>
      </c>
      <c r="F713" s="54" t="s">
        <v>1425</v>
      </c>
      <c r="G713" s="54" t="s">
        <v>704</v>
      </c>
      <c r="H713" s="54">
        <f>STOCK[[#This Row],[Precio Final]]</f>
        <v>30</v>
      </c>
      <c r="I713" s="54">
        <f>STOCK[[#This Row],[Precio Venta Ideal (x1.5)]]</f>
        <v>36</v>
      </c>
      <c r="J713" s="72">
        <v>0</v>
      </c>
      <c r="K713" s="72">
        <f>SUMIFS(VENTAS[Cantidad],VENTAS[Código del producto Vendido],STOCK[[#This Row],[Code]])</f>
        <v>0</v>
      </c>
      <c r="L713" s="72">
        <f>STOCK[[#This Row],[Entradas]]-STOCK[[#This Row],[Salidas]]</f>
        <v>0</v>
      </c>
      <c r="M713" s="54">
        <f>STOCK[[#This Row],[Precio Final]]*10%</f>
        <v>3</v>
      </c>
      <c r="N713" s="54">
        <v>0</v>
      </c>
      <c r="O713" s="54">
        <v>0</v>
      </c>
      <c r="P713" s="54">
        <v>18</v>
      </c>
      <c r="Q713" s="72">
        <v>0</v>
      </c>
      <c r="R713" s="54">
        <v>0</v>
      </c>
      <c r="S713" s="54">
        <v>3</v>
      </c>
      <c r="T713" s="53">
        <f>STOCK[[#This Row],[Costo Unitario (USD)]]+STOCK[[#This Row],[Costo Envío (USD)]]+STOCK[[#This Row],[Comisión 10%]]</f>
        <v>24</v>
      </c>
      <c r="U713" s="54">
        <f>STOCK[[#This Row],[Costo total]]*1.5</f>
        <v>36</v>
      </c>
      <c r="V713" s="54">
        <v>30</v>
      </c>
      <c r="W713" s="54">
        <f>STOCK[[#This Row],[Precio Final]]-STOCK[[#This Row],[Costo total]]</f>
        <v>6</v>
      </c>
      <c r="X713" s="54">
        <f>STOCK[[#This Row],[Ganancia Unitaria]]*STOCK[[#This Row],[Salidas]]</f>
        <v>0</v>
      </c>
      <c r="AA713" s="54">
        <f>STOCK[[#This Row],[Costo total]]*STOCK[[#This Row],[Entradas]]</f>
        <v>0</v>
      </c>
      <c r="AB713" s="54">
        <f>STOCK[[#This Row],[Stock Actual]]*STOCK[[#This Row],[Costo total]]</f>
        <v>0</v>
      </c>
    </row>
    <row r="714" s="53" customFormat="1" ht="50" customHeight="1" spans="1:28">
      <c r="A714" s="53" t="s">
        <v>1436</v>
      </c>
      <c r="B714" s="66"/>
      <c r="C714" s="53" t="s">
        <v>32</v>
      </c>
      <c r="D714" s="53" t="s">
        <v>515</v>
      </c>
      <c r="E714" s="67" t="s">
        <v>1437</v>
      </c>
      <c r="F714" s="53" t="s">
        <v>540</v>
      </c>
      <c r="G714" s="53" t="s">
        <v>1296</v>
      </c>
      <c r="H714" s="53">
        <f>STOCK[[#This Row],[Precio Final]]</f>
        <v>30</v>
      </c>
      <c r="I714" s="53">
        <f>STOCK[[#This Row],[Precio Venta Ideal (x1.5)]]</f>
        <v>30</v>
      </c>
      <c r="J714" s="71">
        <v>1</v>
      </c>
      <c r="K714" s="71">
        <f>SUMIFS(VENTAS[Cantidad],VENTAS[Código del producto Vendido],STOCK[[#This Row],[Code]])</f>
        <v>1</v>
      </c>
      <c r="L714" s="71">
        <f>STOCK[[#This Row],[Entradas]]-STOCK[[#This Row],[Salidas]]</f>
        <v>0</v>
      </c>
      <c r="M714" s="53">
        <f>STOCK[[#This Row],[Precio Final]]*10%</f>
        <v>3</v>
      </c>
      <c r="N714" s="53">
        <v>0</v>
      </c>
      <c r="O714" s="53">
        <v>17</v>
      </c>
      <c r="P714" s="53">
        <v>7</v>
      </c>
      <c r="Q714" s="71">
        <v>0</v>
      </c>
      <c r="R714" s="53">
        <v>0</v>
      </c>
      <c r="S714" s="53">
        <v>10</v>
      </c>
      <c r="T714" s="53">
        <f>STOCK[[#This Row],[Costo Unitario (USD)]]+STOCK[[#This Row],[Costo Envío (USD)]]+STOCK[[#This Row],[Comisión 10%]]</f>
        <v>20</v>
      </c>
      <c r="U714" s="53">
        <f>STOCK[[#This Row],[Costo total]]*1.5</f>
        <v>30</v>
      </c>
      <c r="V714" s="53">
        <v>30</v>
      </c>
      <c r="W714" s="53">
        <f>STOCK[[#This Row],[Precio Final]]-STOCK[[#This Row],[Costo total]]</f>
        <v>10</v>
      </c>
      <c r="X714" s="53">
        <f>STOCK[[#This Row],[Ganancia Unitaria]]*STOCK[[#This Row],[Salidas]]</f>
        <v>10</v>
      </c>
      <c r="Y714" s="53" t="s">
        <v>1431</v>
      </c>
      <c r="AA714" s="53">
        <f>STOCK[[#This Row],[Costo total]]*STOCK[[#This Row],[Entradas]]</f>
        <v>20</v>
      </c>
      <c r="AB714" s="53">
        <f>STOCK[[#This Row],[Stock Actual]]*STOCK[[#This Row],[Costo total]]</f>
        <v>0</v>
      </c>
    </row>
    <row r="715" s="54" customFormat="1" ht="50" customHeight="1" spans="1:28">
      <c r="A715" s="54" t="s">
        <v>1438</v>
      </c>
      <c r="B715" s="66"/>
      <c r="C715" s="54" t="s">
        <v>32</v>
      </c>
      <c r="D715" s="53" t="s">
        <v>515</v>
      </c>
      <c r="E715" s="68" t="s">
        <v>1437</v>
      </c>
      <c r="F715" s="54" t="s">
        <v>759</v>
      </c>
      <c r="G715" s="54" t="s">
        <v>1296</v>
      </c>
      <c r="H715" s="54">
        <f>STOCK[[#This Row],[Precio Final]]</f>
        <v>30</v>
      </c>
      <c r="I715" s="54">
        <f>STOCK[[#This Row],[Precio Venta Ideal (x1.5)]]</f>
        <v>30</v>
      </c>
      <c r="J715" s="72">
        <v>1</v>
      </c>
      <c r="K715" s="72">
        <f>SUMIFS(VENTAS[Cantidad],VENTAS[Código del producto Vendido],STOCK[[#This Row],[Code]])</f>
        <v>1</v>
      </c>
      <c r="L715" s="72">
        <f>STOCK[[#This Row],[Entradas]]-STOCK[[#This Row],[Salidas]]</f>
        <v>0</v>
      </c>
      <c r="M715" s="54">
        <f>STOCK[[#This Row],[Precio Final]]*10%</f>
        <v>3</v>
      </c>
      <c r="N715" s="54">
        <v>0</v>
      </c>
      <c r="O715" s="54">
        <v>17</v>
      </c>
      <c r="P715" s="54">
        <v>7</v>
      </c>
      <c r="Q715" s="72">
        <v>0</v>
      </c>
      <c r="R715" s="54">
        <v>0</v>
      </c>
      <c r="S715" s="54">
        <v>10</v>
      </c>
      <c r="T715" s="53">
        <f>STOCK[[#This Row],[Costo Unitario (USD)]]+STOCK[[#This Row],[Costo Envío (USD)]]+STOCK[[#This Row],[Comisión 10%]]</f>
        <v>20</v>
      </c>
      <c r="U715" s="54">
        <f>STOCK[[#This Row],[Costo total]]*1.5</f>
        <v>30</v>
      </c>
      <c r="V715" s="54">
        <v>30</v>
      </c>
      <c r="W715" s="54">
        <f>STOCK[[#This Row],[Precio Final]]-STOCK[[#This Row],[Costo total]]</f>
        <v>10</v>
      </c>
      <c r="X715" s="54">
        <f>STOCK[[#This Row],[Ganancia Unitaria]]*STOCK[[#This Row],[Salidas]]</f>
        <v>10</v>
      </c>
      <c r="Y715" s="54" t="s">
        <v>1431</v>
      </c>
      <c r="AA715" s="54">
        <f>STOCK[[#This Row],[Costo total]]*STOCK[[#This Row],[Entradas]]</f>
        <v>20</v>
      </c>
      <c r="AB715" s="54">
        <f>STOCK[[#This Row],[Stock Actual]]*STOCK[[#This Row],[Costo total]]</f>
        <v>0</v>
      </c>
    </row>
    <row r="716" s="53" customFormat="1" ht="50" customHeight="1" spans="1:28">
      <c r="A716" s="53" t="s">
        <v>1439</v>
      </c>
      <c r="B716" s="66"/>
      <c r="C716" s="53" t="s">
        <v>32</v>
      </c>
      <c r="D716" s="53" t="s">
        <v>515</v>
      </c>
      <c r="E716" s="67" t="s">
        <v>1437</v>
      </c>
      <c r="F716" s="53" t="s">
        <v>517</v>
      </c>
      <c r="G716" s="53" t="s">
        <v>1296</v>
      </c>
      <c r="H716" s="53">
        <f>STOCK[[#This Row],[Precio Final]]</f>
        <v>30</v>
      </c>
      <c r="I716" s="53">
        <f>STOCK[[#This Row],[Precio Venta Ideal (x1.5)]]</f>
        <v>30</v>
      </c>
      <c r="J716" s="71">
        <v>1</v>
      </c>
      <c r="K716" s="71">
        <f>SUMIFS(VENTAS[Cantidad],VENTAS[Código del producto Vendido],STOCK[[#This Row],[Code]])</f>
        <v>1</v>
      </c>
      <c r="L716" s="71">
        <f>STOCK[[#This Row],[Entradas]]-STOCK[[#This Row],[Salidas]]</f>
        <v>0</v>
      </c>
      <c r="M716" s="53">
        <f>STOCK[[#This Row],[Precio Final]]*10%</f>
        <v>3</v>
      </c>
      <c r="N716" s="53">
        <v>0</v>
      </c>
      <c r="O716" s="53">
        <v>17</v>
      </c>
      <c r="P716" s="53">
        <v>7</v>
      </c>
      <c r="Q716" s="71">
        <v>0</v>
      </c>
      <c r="R716" s="53">
        <v>0</v>
      </c>
      <c r="S716" s="53">
        <v>10</v>
      </c>
      <c r="T716" s="53">
        <f>STOCK[[#This Row],[Costo Unitario (USD)]]+STOCK[[#This Row],[Costo Envío (USD)]]+STOCK[[#This Row],[Comisión 10%]]</f>
        <v>20</v>
      </c>
      <c r="U716" s="53">
        <f>STOCK[[#This Row],[Costo total]]*1.5</f>
        <v>30</v>
      </c>
      <c r="V716" s="53">
        <v>30</v>
      </c>
      <c r="W716" s="53">
        <f>STOCK[[#This Row],[Precio Final]]-STOCK[[#This Row],[Costo total]]</f>
        <v>10</v>
      </c>
      <c r="X716" s="53">
        <f>STOCK[[#This Row],[Ganancia Unitaria]]*STOCK[[#This Row],[Salidas]]</f>
        <v>10</v>
      </c>
      <c r="Y716" s="53" t="s">
        <v>1431</v>
      </c>
      <c r="AA716" s="53">
        <f>STOCK[[#This Row],[Costo total]]*STOCK[[#This Row],[Entradas]]</f>
        <v>20</v>
      </c>
      <c r="AB716" s="53">
        <f>STOCK[[#This Row],[Stock Actual]]*STOCK[[#This Row],[Costo total]]</f>
        <v>0</v>
      </c>
    </row>
    <row r="717" s="54" customFormat="1" ht="50" customHeight="1" spans="1:28">
      <c r="A717" s="54" t="s">
        <v>1440</v>
      </c>
      <c r="B717" s="66"/>
      <c r="C717" s="54" t="s">
        <v>32</v>
      </c>
      <c r="D717" s="53" t="s">
        <v>515</v>
      </c>
      <c r="E717" s="68" t="s">
        <v>1441</v>
      </c>
      <c r="F717" s="54" t="s">
        <v>1442</v>
      </c>
      <c r="G717" s="54" t="s">
        <v>1296</v>
      </c>
      <c r="H717" s="54">
        <f>STOCK[[#This Row],[Precio Final]]</f>
        <v>27</v>
      </c>
      <c r="I717" s="54">
        <f>STOCK[[#This Row],[Precio Venta Ideal (x1.5)]]</f>
        <v>22.785</v>
      </c>
      <c r="J717" s="72">
        <v>2</v>
      </c>
      <c r="K717" s="72">
        <f>SUMIFS(VENTAS[Cantidad],VENTAS[Código del producto Vendido],STOCK[[#This Row],[Code]])</f>
        <v>2</v>
      </c>
      <c r="L717" s="72">
        <f>STOCK[[#This Row],[Entradas]]-STOCK[[#This Row],[Salidas]]</f>
        <v>0</v>
      </c>
      <c r="M717" s="54">
        <f>STOCK[[#This Row],[Precio Final]]*10%</f>
        <v>2.7</v>
      </c>
      <c r="N717" s="54">
        <v>0</v>
      </c>
      <c r="O717" s="54">
        <v>17.5</v>
      </c>
      <c r="P717" s="54">
        <v>7.49</v>
      </c>
      <c r="Q717" s="72">
        <v>0</v>
      </c>
      <c r="R717" s="54">
        <v>0</v>
      </c>
      <c r="S717" s="54">
        <v>5</v>
      </c>
      <c r="T717" s="53">
        <f>STOCK[[#This Row],[Costo Unitario (USD)]]+STOCK[[#This Row],[Costo Envío (USD)]]+STOCK[[#This Row],[Comisión 10%]]</f>
        <v>15.19</v>
      </c>
      <c r="U717" s="54">
        <f>STOCK[[#This Row],[Costo total]]*1.5</f>
        <v>22.785</v>
      </c>
      <c r="V717" s="54">
        <v>27</v>
      </c>
      <c r="W717" s="54">
        <f>STOCK[[#This Row],[Precio Final]]-STOCK[[#This Row],[Costo total]]</f>
        <v>11.81</v>
      </c>
      <c r="X717" s="54">
        <f>STOCK[[#This Row],[Ganancia Unitaria]]*STOCK[[#This Row],[Salidas]]</f>
        <v>23.62</v>
      </c>
      <c r="Y717" s="54" t="s">
        <v>1431</v>
      </c>
      <c r="AA717" s="54">
        <f>STOCK[[#This Row],[Costo total]]*STOCK[[#This Row],[Entradas]]</f>
        <v>30.38</v>
      </c>
      <c r="AB717" s="54">
        <f>STOCK[[#This Row],[Stock Actual]]*STOCK[[#This Row],[Costo total]]</f>
        <v>0</v>
      </c>
    </row>
    <row r="718" s="53" customFormat="1" ht="50" customHeight="1" spans="1:28">
      <c r="A718" s="53" t="s">
        <v>1443</v>
      </c>
      <c r="B718" s="66"/>
      <c r="C718" s="53" t="s">
        <v>32</v>
      </c>
      <c r="D718" s="53" t="s">
        <v>515</v>
      </c>
      <c r="E718" s="67" t="s">
        <v>1444</v>
      </c>
      <c r="F718" s="53" t="s">
        <v>540</v>
      </c>
      <c r="G718" s="53" t="s">
        <v>1296</v>
      </c>
      <c r="H718" s="53">
        <f>STOCK[[#This Row],[Precio Final]]</f>
        <v>27</v>
      </c>
      <c r="I718" s="53">
        <f>STOCK[[#This Row],[Precio Venta Ideal (x1.5)]]</f>
        <v>22.785</v>
      </c>
      <c r="J718" s="71">
        <v>1</v>
      </c>
      <c r="K718" s="71">
        <f>SUMIFS(VENTAS[Cantidad],VENTAS[Código del producto Vendido],STOCK[[#This Row],[Code]])</f>
        <v>1</v>
      </c>
      <c r="L718" s="71">
        <f>STOCK[[#This Row],[Entradas]]-STOCK[[#This Row],[Salidas]]</f>
        <v>0</v>
      </c>
      <c r="M718" s="53">
        <f>STOCK[[#This Row],[Precio Final]]*10%</f>
        <v>2.7</v>
      </c>
      <c r="N718" s="53">
        <v>0</v>
      </c>
      <c r="O718" s="53">
        <v>17.5</v>
      </c>
      <c r="P718" s="53">
        <v>7.49</v>
      </c>
      <c r="Q718" s="71">
        <v>0</v>
      </c>
      <c r="R718" s="53">
        <v>0</v>
      </c>
      <c r="S718" s="53">
        <v>5</v>
      </c>
      <c r="T718" s="53">
        <f>STOCK[[#This Row],[Costo Unitario (USD)]]+STOCK[[#This Row],[Costo Envío (USD)]]+STOCK[[#This Row],[Comisión 10%]]</f>
        <v>15.19</v>
      </c>
      <c r="U718" s="53">
        <f>STOCK[[#This Row],[Costo total]]*1.5</f>
        <v>22.785</v>
      </c>
      <c r="V718" s="53">
        <v>27</v>
      </c>
      <c r="W718" s="53">
        <f>STOCK[[#This Row],[Precio Final]]-STOCK[[#This Row],[Costo total]]</f>
        <v>11.81</v>
      </c>
      <c r="X718" s="53">
        <f>STOCK[[#This Row],[Ganancia Unitaria]]*STOCK[[#This Row],[Salidas]]</f>
        <v>11.81</v>
      </c>
      <c r="Y718" s="53" t="s">
        <v>1431</v>
      </c>
      <c r="AA718" s="53">
        <f>STOCK[[#This Row],[Costo total]]*STOCK[[#This Row],[Entradas]]</f>
        <v>15.19</v>
      </c>
      <c r="AB718" s="53">
        <f>STOCK[[#This Row],[Stock Actual]]*STOCK[[#This Row],[Costo total]]</f>
        <v>0</v>
      </c>
    </row>
    <row r="719" s="54" customFormat="1" ht="50" customHeight="1" spans="1:28">
      <c r="A719" s="54" t="s">
        <v>1445</v>
      </c>
      <c r="B719" s="66"/>
      <c r="C719" s="54" t="s">
        <v>32</v>
      </c>
      <c r="D719" s="54" t="s">
        <v>515</v>
      </c>
      <c r="E719" s="68" t="s">
        <v>1444</v>
      </c>
      <c r="F719" s="54" t="s">
        <v>764</v>
      </c>
      <c r="G719" s="54" t="s">
        <v>1296</v>
      </c>
      <c r="H719" s="54">
        <f>STOCK[[#This Row],[Precio Final]]</f>
        <v>27</v>
      </c>
      <c r="I719" s="54">
        <f>STOCK[[#This Row],[Precio Venta Ideal (x1.5)]]</f>
        <v>22.785</v>
      </c>
      <c r="J719" s="72">
        <v>1</v>
      </c>
      <c r="K719" s="72">
        <f>SUMIFS(VENTAS[Cantidad],VENTAS[Código del producto Vendido],STOCK[[#This Row],[Code]])</f>
        <v>1</v>
      </c>
      <c r="L719" s="72">
        <f>STOCK[[#This Row],[Entradas]]-STOCK[[#This Row],[Salidas]]</f>
        <v>0</v>
      </c>
      <c r="M719" s="54">
        <f>STOCK[[#This Row],[Precio Final]]*10%</f>
        <v>2.7</v>
      </c>
      <c r="N719" s="54">
        <v>0</v>
      </c>
      <c r="O719" s="54">
        <v>17.5</v>
      </c>
      <c r="P719" s="54">
        <v>7.49</v>
      </c>
      <c r="Q719" s="72">
        <v>0</v>
      </c>
      <c r="R719" s="54">
        <v>0</v>
      </c>
      <c r="S719" s="54">
        <v>5</v>
      </c>
      <c r="T719" s="53">
        <f>STOCK[[#This Row],[Costo Unitario (USD)]]+STOCK[[#This Row],[Costo Envío (USD)]]+STOCK[[#This Row],[Comisión 10%]]</f>
        <v>15.19</v>
      </c>
      <c r="U719" s="54">
        <f>STOCK[[#This Row],[Costo total]]*1.5</f>
        <v>22.785</v>
      </c>
      <c r="V719" s="54">
        <v>27</v>
      </c>
      <c r="W719" s="54">
        <f>STOCK[[#This Row],[Precio Final]]-STOCK[[#This Row],[Costo total]]</f>
        <v>11.81</v>
      </c>
      <c r="X719" s="54">
        <f>STOCK[[#This Row],[Ganancia Unitaria]]*STOCK[[#This Row],[Salidas]]</f>
        <v>11.81</v>
      </c>
      <c r="Y719" s="54" t="s">
        <v>1431</v>
      </c>
      <c r="AA719" s="54">
        <f>STOCK[[#This Row],[Costo total]]*STOCK[[#This Row],[Entradas]]</f>
        <v>15.19</v>
      </c>
      <c r="AB719" s="54">
        <f>STOCK[[#This Row],[Stock Actual]]*STOCK[[#This Row],[Costo total]]</f>
        <v>0</v>
      </c>
    </row>
    <row r="720" s="53" customFormat="1" ht="50" customHeight="1" spans="1:28">
      <c r="A720" s="53" t="s">
        <v>1446</v>
      </c>
      <c r="B720" s="66"/>
      <c r="C720" s="53" t="s">
        <v>32</v>
      </c>
      <c r="D720" s="53" t="s">
        <v>515</v>
      </c>
      <c r="E720" s="67" t="s">
        <v>1447</v>
      </c>
      <c r="F720" s="53" t="s">
        <v>540</v>
      </c>
      <c r="G720" s="53" t="s">
        <v>1296</v>
      </c>
      <c r="H720" s="53">
        <f>STOCK[[#This Row],[Precio Final]]</f>
        <v>43</v>
      </c>
      <c r="I720" s="53">
        <f>STOCK[[#This Row],[Precio Venta Ideal (x1.5)]]</f>
        <v>47.685</v>
      </c>
      <c r="J720" s="71">
        <v>1</v>
      </c>
      <c r="K720" s="71">
        <f>SUMIFS(VENTAS[Cantidad],VENTAS[Código del producto Vendido],STOCK[[#This Row],[Code]])</f>
        <v>1</v>
      </c>
      <c r="L720" s="71">
        <f>STOCK[[#This Row],[Entradas]]-STOCK[[#This Row],[Salidas]]</f>
        <v>0</v>
      </c>
      <c r="M720" s="53">
        <f>STOCK[[#This Row],[Precio Final]]*10%</f>
        <v>4.3</v>
      </c>
      <c r="N720" s="53">
        <v>0</v>
      </c>
      <c r="O720" s="53">
        <v>27.5</v>
      </c>
      <c r="P720" s="53">
        <v>17.49</v>
      </c>
      <c r="Q720" s="71">
        <v>0</v>
      </c>
      <c r="R720" s="53">
        <v>0</v>
      </c>
      <c r="S720" s="53">
        <v>10</v>
      </c>
      <c r="T720" s="53">
        <f>STOCK[[#This Row],[Costo Unitario (USD)]]+STOCK[[#This Row],[Costo Envío (USD)]]+STOCK[[#This Row],[Comisión 10%]]</f>
        <v>31.79</v>
      </c>
      <c r="U720" s="53">
        <f>STOCK[[#This Row],[Costo total]]*1.5</f>
        <v>47.685</v>
      </c>
      <c r="V720" s="53">
        <v>43</v>
      </c>
      <c r="W720" s="53">
        <f>STOCK[[#This Row],[Precio Final]]-STOCK[[#This Row],[Costo total]]</f>
        <v>11.21</v>
      </c>
      <c r="X720" s="53">
        <f>STOCK[[#This Row],[Ganancia Unitaria]]*STOCK[[#This Row],[Salidas]]</f>
        <v>11.21</v>
      </c>
      <c r="Y720" s="53" t="s">
        <v>1431</v>
      </c>
      <c r="AA720" s="53">
        <f>STOCK[[#This Row],[Costo total]]*STOCK[[#This Row],[Entradas]]</f>
        <v>31.79</v>
      </c>
      <c r="AB720" s="53">
        <f>STOCK[[#This Row],[Stock Actual]]*STOCK[[#This Row],[Costo total]]</f>
        <v>0</v>
      </c>
    </row>
    <row r="721" s="54" customFormat="1" ht="50" customHeight="1" spans="1:28">
      <c r="A721" s="54" t="s">
        <v>1448</v>
      </c>
      <c r="B721" s="66"/>
      <c r="C721" s="54" t="s">
        <v>32</v>
      </c>
      <c r="D721" s="54" t="s">
        <v>515</v>
      </c>
      <c r="E721" s="68" t="s">
        <v>1447</v>
      </c>
      <c r="F721" s="54" t="s">
        <v>764</v>
      </c>
      <c r="G721" s="54" t="s">
        <v>1296</v>
      </c>
      <c r="H721" s="54">
        <f>STOCK[[#This Row],[Precio Final]]</f>
        <v>43</v>
      </c>
      <c r="I721" s="54">
        <f>STOCK[[#This Row],[Precio Venta Ideal (x1.5)]]</f>
        <v>47.685</v>
      </c>
      <c r="J721" s="72">
        <v>1</v>
      </c>
      <c r="K721" s="72">
        <f>SUMIFS(VENTAS[Cantidad],VENTAS[Código del producto Vendido],STOCK[[#This Row],[Code]])</f>
        <v>1</v>
      </c>
      <c r="L721" s="72">
        <f>STOCK[[#This Row],[Entradas]]-STOCK[[#This Row],[Salidas]]</f>
        <v>0</v>
      </c>
      <c r="M721" s="54">
        <f>STOCK[[#This Row],[Precio Final]]*10%</f>
        <v>4.3</v>
      </c>
      <c r="N721" s="54">
        <v>0</v>
      </c>
      <c r="O721" s="54">
        <v>27.5</v>
      </c>
      <c r="P721" s="54">
        <v>17.49</v>
      </c>
      <c r="Q721" s="72">
        <v>0</v>
      </c>
      <c r="R721" s="54">
        <v>0</v>
      </c>
      <c r="S721" s="54">
        <v>10</v>
      </c>
      <c r="T721" s="53">
        <f>STOCK[[#This Row],[Costo Unitario (USD)]]+STOCK[[#This Row],[Costo Envío (USD)]]+STOCK[[#This Row],[Comisión 10%]]</f>
        <v>31.79</v>
      </c>
      <c r="U721" s="54">
        <f>STOCK[[#This Row],[Costo total]]*1.5</f>
        <v>47.685</v>
      </c>
      <c r="V721" s="54">
        <v>43</v>
      </c>
      <c r="W721" s="54">
        <f>STOCK[[#This Row],[Precio Final]]-STOCK[[#This Row],[Costo total]]</f>
        <v>11.21</v>
      </c>
      <c r="X721" s="54">
        <f>STOCK[[#This Row],[Ganancia Unitaria]]*STOCK[[#This Row],[Salidas]]</f>
        <v>11.21</v>
      </c>
      <c r="Y721" s="54" t="s">
        <v>1431</v>
      </c>
      <c r="AA721" s="54">
        <f>STOCK[[#This Row],[Costo total]]*STOCK[[#This Row],[Entradas]]</f>
        <v>31.79</v>
      </c>
      <c r="AB721" s="54">
        <f>STOCK[[#This Row],[Stock Actual]]*STOCK[[#This Row],[Costo total]]</f>
        <v>0</v>
      </c>
    </row>
    <row r="722" s="53" customFormat="1" ht="50" customHeight="1" spans="1:28">
      <c r="A722" s="53" t="s">
        <v>1449</v>
      </c>
      <c r="B722" s="66"/>
      <c r="C722" s="53" t="s">
        <v>32</v>
      </c>
      <c r="D722" s="53" t="s">
        <v>515</v>
      </c>
      <c r="E722" s="67" t="s">
        <v>1447</v>
      </c>
      <c r="F722" s="53" t="s">
        <v>540</v>
      </c>
      <c r="G722" s="53" t="s">
        <v>1296</v>
      </c>
      <c r="H722" s="53">
        <f>STOCK[[#This Row],[Precio Final]]</f>
        <v>43</v>
      </c>
      <c r="I722" s="53">
        <f>STOCK[[#This Row],[Precio Venta Ideal (x1.5)]]</f>
        <v>47.685</v>
      </c>
      <c r="J722" s="71">
        <v>1</v>
      </c>
      <c r="K722" s="71">
        <f>SUMIFS(VENTAS[Cantidad],VENTAS[Código del producto Vendido],STOCK[[#This Row],[Code]])</f>
        <v>1</v>
      </c>
      <c r="L722" s="71">
        <f>STOCK[[#This Row],[Entradas]]-STOCK[[#This Row],[Salidas]]</f>
        <v>0</v>
      </c>
      <c r="M722" s="53">
        <f>STOCK[[#This Row],[Precio Final]]*10%</f>
        <v>4.3</v>
      </c>
      <c r="N722" s="53">
        <v>0</v>
      </c>
      <c r="O722" s="53">
        <v>27.5</v>
      </c>
      <c r="P722" s="53">
        <v>17.49</v>
      </c>
      <c r="Q722" s="71">
        <v>0</v>
      </c>
      <c r="R722" s="53">
        <v>0</v>
      </c>
      <c r="S722" s="53">
        <v>10</v>
      </c>
      <c r="T722" s="53">
        <f>STOCK[[#This Row],[Costo Unitario (USD)]]+STOCK[[#This Row],[Costo Envío (USD)]]+STOCK[[#This Row],[Comisión 10%]]</f>
        <v>31.79</v>
      </c>
      <c r="U722" s="53">
        <f>STOCK[[#This Row],[Costo total]]*1.5</f>
        <v>47.685</v>
      </c>
      <c r="V722" s="53">
        <v>43</v>
      </c>
      <c r="W722" s="53">
        <f>STOCK[[#This Row],[Precio Final]]-STOCK[[#This Row],[Costo total]]</f>
        <v>11.21</v>
      </c>
      <c r="X722" s="53">
        <f>STOCK[[#This Row],[Ganancia Unitaria]]*STOCK[[#This Row],[Salidas]]</f>
        <v>11.21</v>
      </c>
      <c r="Y722" s="53" t="s">
        <v>1431</v>
      </c>
      <c r="AA722" s="53">
        <f>STOCK[[#This Row],[Costo total]]*STOCK[[#This Row],[Entradas]]</f>
        <v>31.79</v>
      </c>
      <c r="AB722" s="53">
        <f>STOCK[[#This Row],[Stock Actual]]*STOCK[[#This Row],[Costo total]]</f>
        <v>0</v>
      </c>
    </row>
    <row r="723" s="54" customFormat="1" ht="50" customHeight="1" spans="1:28">
      <c r="A723" s="54" t="s">
        <v>1450</v>
      </c>
      <c r="B723" s="66"/>
      <c r="C723" s="54" t="s">
        <v>32</v>
      </c>
      <c r="D723" s="54" t="s">
        <v>515</v>
      </c>
      <c r="E723" s="68" t="s">
        <v>1451</v>
      </c>
      <c r="F723" s="54" t="s">
        <v>764</v>
      </c>
      <c r="G723" s="54" t="s">
        <v>1296</v>
      </c>
      <c r="H723" s="54">
        <f>STOCK[[#This Row],[Precio Final]]</f>
        <v>35</v>
      </c>
      <c r="I723" s="54">
        <f>STOCK[[#This Row],[Precio Venta Ideal (x1.5)]]</f>
        <v>38.985</v>
      </c>
      <c r="J723" s="72">
        <v>1</v>
      </c>
      <c r="K723" s="72">
        <f>SUMIFS(VENTAS[Cantidad],VENTAS[Código del producto Vendido],STOCK[[#This Row],[Code]])</f>
        <v>1</v>
      </c>
      <c r="L723" s="72">
        <f>STOCK[[#This Row],[Entradas]]-STOCK[[#This Row],[Salidas]]</f>
        <v>0</v>
      </c>
      <c r="M723" s="54">
        <f>STOCK[[#This Row],[Precio Final]]*10%</f>
        <v>3.5</v>
      </c>
      <c r="N723" s="54">
        <v>0</v>
      </c>
      <c r="O723" s="54">
        <v>22.5</v>
      </c>
      <c r="P723" s="54">
        <v>12.49</v>
      </c>
      <c r="Q723" s="72">
        <v>0</v>
      </c>
      <c r="R723" s="54">
        <v>0</v>
      </c>
      <c r="S723" s="54">
        <v>10</v>
      </c>
      <c r="T723" s="53">
        <f>STOCK[[#This Row],[Costo Unitario (USD)]]+STOCK[[#This Row],[Costo Envío (USD)]]+STOCK[[#This Row],[Comisión 10%]]</f>
        <v>25.99</v>
      </c>
      <c r="U723" s="54">
        <f>STOCK[[#This Row],[Costo total]]*1.5</f>
        <v>38.985</v>
      </c>
      <c r="V723" s="54">
        <v>35</v>
      </c>
      <c r="W723" s="54">
        <f>STOCK[[#This Row],[Precio Final]]-STOCK[[#This Row],[Costo total]]</f>
        <v>9.01</v>
      </c>
      <c r="X723" s="54">
        <f>STOCK[[#This Row],[Ganancia Unitaria]]*STOCK[[#This Row],[Salidas]]</f>
        <v>9.01</v>
      </c>
      <c r="Y723" s="54" t="s">
        <v>1431</v>
      </c>
      <c r="AA723" s="54">
        <f>STOCK[[#This Row],[Costo total]]*STOCK[[#This Row],[Entradas]]</f>
        <v>25.99</v>
      </c>
      <c r="AB723" s="54">
        <f>STOCK[[#This Row],[Stock Actual]]*STOCK[[#This Row],[Costo total]]</f>
        <v>0</v>
      </c>
    </row>
    <row r="724" s="53" customFormat="1" ht="50" customHeight="1" spans="1:28">
      <c r="A724" s="53" t="s">
        <v>1452</v>
      </c>
      <c r="B724" s="66"/>
      <c r="C724" s="53" t="s">
        <v>32</v>
      </c>
      <c r="D724" s="53" t="s">
        <v>515</v>
      </c>
      <c r="E724" s="67" t="s">
        <v>1451</v>
      </c>
      <c r="F724" s="53" t="s">
        <v>1453</v>
      </c>
      <c r="G724" s="53" t="s">
        <v>1296</v>
      </c>
      <c r="H724" s="53">
        <f>STOCK[[#This Row],[Precio Final]]</f>
        <v>35</v>
      </c>
      <c r="I724" s="53">
        <f>STOCK[[#This Row],[Precio Venta Ideal (x1.5)]]</f>
        <v>38.985</v>
      </c>
      <c r="J724" s="71">
        <v>2</v>
      </c>
      <c r="K724" s="71">
        <f>SUMIFS(VENTAS[Cantidad],VENTAS[Código del producto Vendido],STOCK[[#This Row],[Code]])</f>
        <v>2</v>
      </c>
      <c r="L724" s="71">
        <f>STOCK[[#This Row],[Entradas]]-STOCK[[#This Row],[Salidas]]</f>
        <v>0</v>
      </c>
      <c r="M724" s="53">
        <f>STOCK[[#This Row],[Precio Final]]*10%</f>
        <v>3.5</v>
      </c>
      <c r="N724" s="53">
        <v>0</v>
      </c>
      <c r="O724" s="53">
        <v>22.5</v>
      </c>
      <c r="P724" s="53">
        <v>12.49</v>
      </c>
      <c r="Q724" s="71">
        <v>0</v>
      </c>
      <c r="R724" s="53">
        <v>0</v>
      </c>
      <c r="S724" s="53">
        <v>10</v>
      </c>
      <c r="T724" s="53">
        <f>STOCK[[#This Row],[Costo Unitario (USD)]]+STOCK[[#This Row],[Costo Envío (USD)]]+STOCK[[#This Row],[Comisión 10%]]</f>
        <v>25.99</v>
      </c>
      <c r="U724" s="53">
        <f>STOCK[[#This Row],[Costo total]]*1.5</f>
        <v>38.985</v>
      </c>
      <c r="V724" s="53">
        <v>35</v>
      </c>
      <c r="W724" s="53">
        <f>STOCK[[#This Row],[Precio Final]]-STOCK[[#This Row],[Costo total]]</f>
        <v>9.01</v>
      </c>
      <c r="X724" s="53">
        <f>STOCK[[#This Row],[Ganancia Unitaria]]*STOCK[[#This Row],[Salidas]]</f>
        <v>18.02</v>
      </c>
      <c r="Y724" s="53" t="s">
        <v>1431</v>
      </c>
      <c r="AA724" s="53">
        <f>STOCK[[#This Row],[Costo total]]*STOCK[[#This Row],[Entradas]]</f>
        <v>51.98</v>
      </c>
      <c r="AB724" s="53">
        <f>STOCK[[#This Row],[Stock Actual]]*STOCK[[#This Row],[Costo total]]</f>
        <v>0</v>
      </c>
    </row>
    <row r="725" s="54" customFormat="1" ht="50" customHeight="1" spans="1:28">
      <c r="A725" s="54" t="s">
        <v>1454</v>
      </c>
      <c r="B725" s="66"/>
      <c r="C725" s="54" t="s">
        <v>32</v>
      </c>
      <c r="D725" s="54" t="s">
        <v>515</v>
      </c>
      <c r="E725" s="68" t="s">
        <v>1451</v>
      </c>
      <c r="F725" s="54" t="s">
        <v>40</v>
      </c>
      <c r="G725" s="54" t="s">
        <v>1296</v>
      </c>
      <c r="H725" s="54">
        <f>STOCK[[#This Row],[Precio Final]]</f>
        <v>35</v>
      </c>
      <c r="I725" s="54">
        <f>STOCK[[#This Row],[Precio Venta Ideal (x1.5)]]</f>
        <v>38.985</v>
      </c>
      <c r="J725" s="72">
        <v>1</v>
      </c>
      <c r="K725" s="72">
        <f>SUMIFS(VENTAS[Cantidad],VENTAS[Código del producto Vendido],STOCK[[#This Row],[Code]])</f>
        <v>1</v>
      </c>
      <c r="L725" s="72">
        <f>STOCK[[#This Row],[Entradas]]-STOCK[[#This Row],[Salidas]]</f>
        <v>0</v>
      </c>
      <c r="M725" s="54">
        <f>STOCK[[#This Row],[Precio Final]]*10%</f>
        <v>3.5</v>
      </c>
      <c r="N725" s="54">
        <v>0</v>
      </c>
      <c r="O725" s="54">
        <v>0</v>
      </c>
      <c r="P725" s="54">
        <v>12.49</v>
      </c>
      <c r="Q725" s="72">
        <v>0</v>
      </c>
      <c r="R725" s="54">
        <v>0</v>
      </c>
      <c r="S725" s="54">
        <v>10</v>
      </c>
      <c r="T725" s="53">
        <f>STOCK[[#This Row],[Costo Unitario (USD)]]+STOCK[[#This Row],[Costo Envío (USD)]]+STOCK[[#This Row],[Comisión 10%]]</f>
        <v>25.99</v>
      </c>
      <c r="U725" s="54">
        <f>STOCK[[#This Row],[Costo total]]*1.5</f>
        <v>38.985</v>
      </c>
      <c r="V725" s="54">
        <v>35</v>
      </c>
      <c r="W725" s="54">
        <f>STOCK[[#This Row],[Precio Final]]-STOCK[[#This Row],[Costo total]]</f>
        <v>9.01</v>
      </c>
      <c r="X725" s="54">
        <f>STOCK[[#This Row],[Ganancia Unitaria]]*STOCK[[#This Row],[Salidas]]</f>
        <v>9.01</v>
      </c>
      <c r="Y725" s="54" t="s">
        <v>1431</v>
      </c>
      <c r="AA725" s="54">
        <f>STOCK[[#This Row],[Costo total]]*STOCK[[#This Row],[Entradas]]</f>
        <v>25.99</v>
      </c>
      <c r="AB725" s="54">
        <f>STOCK[[#This Row],[Stock Actual]]*STOCK[[#This Row],[Costo total]]</f>
        <v>0</v>
      </c>
    </row>
    <row r="726" s="53" customFormat="1" ht="50" customHeight="1" spans="1:28">
      <c r="A726" s="53" t="s">
        <v>1455</v>
      </c>
      <c r="B726" s="66"/>
      <c r="C726" s="53" t="s">
        <v>32</v>
      </c>
      <c r="D726" s="53" t="s">
        <v>216</v>
      </c>
      <c r="E726" s="67" t="s">
        <v>1456</v>
      </c>
      <c r="F726" s="53" t="s">
        <v>62</v>
      </c>
      <c r="G726" s="53" t="s">
        <v>1296</v>
      </c>
      <c r="H726" s="53">
        <f>STOCK[[#This Row],[Precio Final]]</f>
        <v>28</v>
      </c>
      <c r="I726" s="53">
        <f>STOCK[[#This Row],[Precio Venta Ideal (x1.5)]]</f>
        <v>22.95</v>
      </c>
      <c r="J726" s="71">
        <v>2</v>
      </c>
      <c r="K726" s="71">
        <f>SUMIFS(VENTAS[Cantidad],VENTAS[Código del producto Vendido],STOCK[[#This Row],[Code]])</f>
        <v>0</v>
      </c>
      <c r="L726" s="71">
        <f>STOCK[[#This Row],[Entradas]]-STOCK[[#This Row],[Salidas]]</f>
        <v>2</v>
      </c>
      <c r="M726" s="53">
        <f>STOCK[[#This Row],[Precio Final]]*10%</f>
        <v>2.8</v>
      </c>
      <c r="N726" s="53">
        <v>0</v>
      </c>
      <c r="O726" s="53">
        <v>23</v>
      </c>
      <c r="P726" s="53">
        <v>7.5</v>
      </c>
      <c r="Q726" s="71">
        <v>0</v>
      </c>
      <c r="R726" s="53">
        <v>0</v>
      </c>
      <c r="S726" s="53">
        <v>5</v>
      </c>
      <c r="T726" s="53">
        <f>STOCK[[#This Row],[Costo Unitario (USD)]]+STOCK[[#This Row],[Costo Envío (USD)]]+STOCK[[#This Row],[Comisión 10%]]</f>
        <v>15.3</v>
      </c>
      <c r="U726" s="53">
        <f>STOCK[[#This Row],[Costo total]]*1.5</f>
        <v>22.95</v>
      </c>
      <c r="V726" s="53">
        <v>28</v>
      </c>
      <c r="W726" s="53">
        <f>STOCK[[#This Row],[Precio Final]]-STOCK[[#This Row],[Costo total]]</f>
        <v>12.7</v>
      </c>
      <c r="X726" s="53">
        <f>STOCK[[#This Row],[Ganancia Unitaria]]*STOCK[[#This Row],[Salidas]]</f>
        <v>0</v>
      </c>
      <c r="Y726" s="53" t="s">
        <v>1431</v>
      </c>
      <c r="AA726" s="53">
        <f>STOCK[[#This Row],[Costo total]]*STOCK[[#This Row],[Entradas]]</f>
        <v>30.6</v>
      </c>
      <c r="AB726" s="53">
        <f>STOCK[[#This Row],[Stock Actual]]*STOCK[[#This Row],[Costo total]]</f>
        <v>30.6</v>
      </c>
    </row>
    <row r="727" s="54" customFormat="1" ht="50" customHeight="1" spans="1:28">
      <c r="A727" s="54" t="s">
        <v>1457</v>
      </c>
      <c r="B727" s="66"/>
      <c r="C727" s="54" t="s">
        <v>32</v>
      </c>
      <c r="D727" s="54" t="s">
        <v>203</v>
      </c>
      <c r="E727" s="67" t="s">
        <v>1456</v>
      </c>
      <c r="F727" s="54" t="s">
        <v>46</v>
      </c>
      <c r="G727" s="54" t="s">
        <v>1296</v>
      </c>
      <c r="H727" s="54">
        <f>STOCK[[#This Row],[Precio Final]]</f>
        <v>28</v>
      </c>
      <c r="I727" s="54">
        <f>STOCK[[#This Row],[Precio Venta Ideal (x1.5)]]</f>
        <v>22.95</v>
      </c>
      <c r="J727" s="72">
        <v>2</v>
      </c>
      <c r="K727" s="72">
        <f>SUMIFS(VENTAS[Cantidad],VENTAS[Código del producto Vendido],STOCK[[#This Row],[Code]])</f>
        <v>0</v>
      </c>
      <c r="L727" s="72">
        <f>STOCK[[#This Row],[Entradas]]-STOCK[[#This Row],[Salidas]]</f>
        <v>2</v>
      </c>
      <c r="M727" s="54">
        <f>STOCK[[#This Row],[Precio Final]]*10%</f>
        <v>2.8</v>
      </c>
      <c r="N727" s="54">
        <v>0</v>
      </c>
      <c r="O727" s="54">
        <v>23</v>
      </c>
      <c r="P727" s="54">
        <v>7.5</v>
      </c>
      <c r="Q727" s="72">
        <v>0</v>
      </c>
      <c r="R727" s="54">
        <v>0</v>
      </c>
      <c r="S727" s="54">
        <v>5</v>
      </c>
      <c r="T727" s="53">
        <f>STOCK[[#This Row],[Costo Unitario (USD)]]+STOCK[[#This Row],[Costo Envío (USD)]]+STOCK[[#This Row],[Comisión 10%]]</f>
        <v>15.3</v>
      </c>
      <c r="U727" s="54">
        <f>STOCK[[#This Row],[Costo total]]*1.5</f>
        <v>22.95</v>
      </c>
      <c r="V727" s="54">
        <v>28</v>
      </c>
      <c r="W727" s="54">
        <f>STOCK[[#This Row],[Precio Final]]-STOCK[[#This Row],[Costo total]]</f>
        <v>12.7</v>
      </c>
      <c r="X727" s="54">
        <f>STOCK[[#This Row],[Ganancia Unitaria]]*STOCK[[#This Row],[Salidas]]</f>
        <v>0</v>
      </c>
      <c r="Y727" s="54" t="s">
        <v>1431</v>
      </c>
      <c r="AA727" s="54">
        <f>STOCK[[#This Row],[Costo total]]*STOCK[[#This Row],[Entradas]]</f>
        <v>30.6</v>
      </c>
      <c r="AB727" s="54">
        <f>STOCK[[#This Row],[Stock Actual]]*STOCK[[#This Row],[Costo total]]</f>
        <v>30.6</v>
      </c>
    </row>
    <row r="728" s="53" customFormat="1" ht="50" customHeight="1" spans="1:28">
      <c r="A728" s="53" t="s">
        <v>1458</v>
      </c>
      <c r="B728" s="66"/>
      <c r="C728" s="53" t="s">
        <v>32</v>
      </c>
      <c r="D728" s="53" t="s">
        <v>1014</v>
      </c>
      <c r="E728" s="67" t="s">
        <v>1456</v>
      </c>
      <c r="F728" s="53" t="s">
        <v>40</v>
      </c>
      <c r="G728" s="53" t="s">
        <v>1296</v>
      </c>
      <c r="H728" s="53">
        <f>STOCK[[#This Row],[Precio Final]]</f>
        <v>28</v>
      </c>
      <c r="I728" s="53">
        <f>STOCK[[#This Row],[Precio Venta Ideal (x1.5)]]</f>
        <v>22.95</v>
      </c>
      <c r="J728" s="71">
        <v>2</v>
      </c>
      <c r="K728" s="71">
        <f>SUMIFS(VENTAS[Cantidad],VENTAS[Código del producto Vendido],STOCK[[#This Row],[Code]])</f>
        <v>0</v>
      </c>
      <c r="L728" s="71">
        <f>STOCK[[#This Row],[Entradas]]-STOCK[[#This Row],[Salidas]]</f>
        <v>2</v>
      </c>
      <c r="M728" s="53">
        <f>STOCK[[#This Row],[Precio Final]]*10%</f>
        <v>2.8</v>
      </c>
      <c r="N728" s="53">
        <v>0</v>
      </c>
      <c r="O728" s="53">
        <v>11.5</v>
      </c>
      <c r="P728" s="53">
        <v>7.5</v>
      </c>
      <c r="Q728" s="71">
        <v>0</v>
      </c>
      <c r="R728" s="53">
        <v>0</v>
      </c>
      <c r="S728" s="53">
        <v>5</v>
      </c>
      <c r="T728" s="53">
        <f>STOCK[[#This Row],[Costo Unitario (USD)]]+STOCK[[#This Row],[Costo Envío (USD)]]+STOCK[[#This Row],[Comisión 10%]]</f>
        <v>15.3</v>
      </c>
      <c r="U728" s="53">
        <f>STOCK[[#This Row],[Costo total]]*1.5</f>
        <v>22.95</v>
      </c>
      <c r="V728" s="53">
        <v>28</v>
      </c>
      <c r="W728" s="53">
        <f>STOCK[[#This Row],[Precio Final]]-STOCK[[#This Row],[Costo total]]</f>
        <v>12.7</v>
      </c>
      <c r="X728" s="53">
        <f>STOCK[[#This Row],[Ganancia Unitaria]]*STOCK[[#This Row],[Salidas]]</f>
        <v>0</v>
      </c>
      <c r="Y728" s="53" t="s">
        <v>1431</v>
      </c>
      <c r="AA728" s="53">
        <f>STOCK[[#This Row],[Costo total]]*STOCK[[#This Row],[Entradas]]</f>
        <v>30.6</v>
      </c>
      <c r="AB728" s="53">
        <f>STOCK[[#This Row],[Stock Actual]]*STOCK[[#This Row],[Costo total]]</f>
        <v>30.6</v>
      </c>
    </row>
    <row r="729" s="54" customFormat="1" ht="50" customHeight="1" spans="1:28">
      <c r="A729" s="54" t="s">
        <v>1459</v>
      </c>
      <c r="B729" s="66"/>
      <c r="C729" s="54" t="s">
        <v>32</v>
      </c>
      <c r="D729" s="54" t="s">
        <v>1388</v>
      </c>
      <c r="E729" s="68" t="s">
        <v>1460</v>
      </c>
      <c r="F729" s="54" t="s">
        <v>40</v>
      </c>
      <c r="G729" s="54" t="s">
        <v>704</v>
      </c>
      <c r="H729" s="54">
        <f>STOCK[[#This Row],[Precio Final]]</f>
        <v>32</v>
      </c>
      <c r="I729" s="54">
        <f>STOCK[[#This Row],[Precio Venta Ideal (x1.5)]]</f>
        <v>29.085</v>
      </c>
      <c r="J729" s="72">
        <v>1</v>
      </c>
      <c r="K729" s="72">
        <f>SUMIFS(VENTAS[Cantidad],VENTAS[Código del producto Vendido],STOCK[[#This Row],[Code]])</f>
        <v>1</v>
      </c>
      <c r="L729" s="72">
        <f>STOCK[[#This Row],[Entradas]]-STOCK[[#This Row],[Salidas]]</f>
        <v>0</v>
      </c>
      <c r="M729" s="54">
        <f>STOCK[[#This Row],[Precio Final]]*10%</f>
        <v>3.2</v>
      </c>
      <c r="N729" s="54">
        <v>0</v>
      </c>
      <c r="O729" s="54">
        <v>19.5</v>
      </c>
      <c r="P729" s="54">
        <v>11.19</v>
      </c>
      <c r="Q729" s="72">
        <v>0</v>
      </c>
      <c r="R729" s="54">
        <v>0</v>
      </c>
      <c r="S729" s="54">
        <v>5</v>
      </c>
      <c r="T729" s="53">
        <f>STOCK[[#This Row],[Costo Unitario (USD)]]+STOCK[[#This Row],[Costo Envío (USD)]]+STOCK[[#This Row],[Comisión 10%]]</f>
        <v>19.39</v>
      </c>
      <c r="U729" s="54">
        <f>STOCK[[#This Row],[Costo total]]*1.5</f>
        <v>29.085</v>
      </c>
      <c r="V729" s="54">
        <v>32</v>
      </c>
      <c r="W729" s="54">
        <f>STOCK[[#This Row],[Precio Final]]-STOCK[[#This Row],[Costo total]]</f>
        <v>12.61</v>
      </c>
      <c r="X729" s="54">
        <f>STOCK[[#This Row],[Ganancia Unitaria]]*STOCK[[#This Row],[Salidas]]</f>
        <v>12.61</v>
      </c>
      <c r="AA729" s="54">
        <f>STOCK[[#This Row],[Costo total]]*STOCK[[#This Row],[Entradas]]</f>
        <v>19.39</v>
      </c>
      <c r="AB729" s="54">
        <f>STOCK[[#This Row],[Stock Actual]]*STOCK[[#This Row],[Costo total]]</f>
        <v>0</v>
      </c>
    </row>
    <row r="730" s="53" customFormat="1" ht="50" customHeight="1" spans="1:28">
      <c r="A730" s="53" t="s">
        <v>1461</v>
      </c>
      <c r="B730" s="66"/>
      <c r="C730" s="53" t="s">
        <v>32</v>
      </c>
      <c r="D730" s="54" t="s">
        <v>1388</v>
      </c>
      <c r="E730" s="67" t="s">
        <v>1460</v>
      </c>
      <c r="F730" s="53" t="s">
        <v>49</v>
      </c>
      <c r="G730" s="53" t="s">
        <v>704</v>
      </c>
      <c r="H730" s="53">
        <f>STOCK[[#This Row],[Precio Final]]</f>
        <v>32</v>
      </c>
      <c r="I730" s="53">
        <f>STOCK[[#This Row],[Precio Venta Ideal (x1.5)]]</f>
        <v>29.085</v>
      </c>
      <c r="J730" s="71">
        <v>3</v>
      </c>
      <c r="K730" s="71">
        <f>SUMIFS(VENTAS[Cantidad],VENTAS[Código del producto Vendido],STOCK[[#This Row],[Code]])</f>
        <v>1</v>
      </c>
      <c r="L730" s="71">
        <f>STOCK[[#This Row],[Entradas]]-STOCK[[#This Row],[Salidas]]</f>
        <v>2</v>
      </c>
      <c r="M730" s="53">
        <f>STOCK[[#This Row],[Precio Final]]*10%</f>
        <v>3.2</v>
      </c>
      <c r="N730" s="53">
        <v>0</v>
      </c>
      <c r="O730" s="53">
        <v>39</v>
      </c>
      <c r="P730" s="53">
        <v>11.19</v>
      </c>
      <c r="Q730" s="71">
        <v>0</v>
      </c>
      <c r="R730" s="53">
        <v>0</v>
      </c>
      <c r="S730" s="53">
        <v>5</v>
      </c>
      <c r="T730" s="53">
        <f>STOCK[[#This Row],[Costo Unitario (USD)]]+STOCK[[#This Row],[Costo Envío (USD)]]+STOCK[[#This Row],[Comisión 10%]]</f>
        <v>19.39</v>
      </c>
      <c r="U730" s="53">
        <f>STOCK[[#This Row],[Costo total]]*1.5</f>
        <v>29.085</v>
      </c>
      <c r="V730" s="53">
        <v>32</v>
      </c>
      <c r="W730" s="53">
        <f>STOCK[[#This Row],[Precio Final]]-STOCK[[#This Row],[Costo total]]</f>
        <v>12.61</v>
      </c>
      <c r="X730" s="53">
        <f>STOCK[[#This Row],[Ganancia Unitaria]]*STOCK[[#This Row],[Salidas]]</f>
        <v>12.61</v>
      </c>
      <c r="AA730" s="53">
        <f>STOCK[[#This Row],[Costo total]]*STOCK[[#This Row],[Entradas]]</f>
        <v>58.17</v>
      </c>
      <c r="AB730" s="53">
        <f>STOCK[[#This Row],[Stock Actual]]*STOCK[[#This Row],[Costo total]]</f>
        <v>38.78</v>
      </c>
    </row>
    <row r="731" s="54" customFormat="1" ht="50" customHeight="1" spans="1:28">
      <c r="A731" s="54" t="s">
        <v>1462</v>
      </c>
      <c r="B731" s="66"/>
      <c r="C731" s="54" t="s">
        <v>32</v>
      </c>
      <c r="D731" s="54" t="s">
        <v>1388</v>
      </c>
      <c r="E731" s="68" t="s">
        <v>1460</v>
      </c>
      <c r="F731" s="54" t="s">
        <v>46</v>
      </c>
      <c r="G731" s="54" t="s">
        <v>704</v>
      </c>
      <c r="H731" s="54">
        <f>STOCK[[#This Row],[Precio Final]]</f>
        <v>32</v>
      </c>
      <c r="I731" s="54">
        <f>STOCK[[#This Row],[Precio Venta Ideal (x1.5)]]</f>
        <v>29.085</v>
      </c>
      <c r="J731" s="72">
        <v>2</v>
      </c>
      <c r="K731" s="72">
        <f>SUMIFS(VENTAS[Cantidad],VENTAS[Código del producto Vendido],STOCK[[#This Row],[Code]])</f>
        <v>1</v>
      </c>
      <c r="L731" s="72">
        <f>STOCK[[#This Row],[Entradas]]-STOCK[[#This Row],[Salidas]]</f>
        <v>1</v>
      </c>
      <c r="M731" s="54">
        <f>STOCK[[#This Row],[Precio Final]]*10%</f>
        <v>3.2</v>
      </c>
      <c r="N731" s="54">
        <v>0</v>
      </c>
      <c r="O731" s="54">
        <v>58.5</v>
      </c>
      <c r="P731" s="54">
        <v>11.19</v>
      </c>
      <c r="Q731" s="72">
        <v>0</v>
      </c>
      <c r="R731" s="54">
        <v>0</v>
      </c>
      <c r="S731" s="54">
        <v>5</v>
      </c>
      <c r="T731" s="53">
        <f>STOCK[[#This Row],[Costo Unitario (USD)]]+STOCK[[#This Row],[Costo Envío (USD)]]+STOCK[[#This Row],[Comisión 10%]]</f>
        <v>19.39</v>
      </c>
      <c r="U731" s="54">
        <f>STOCK[[#This Row],[Costo total]]*1.5</f>
        <v>29.085</v>
      </c>
      <c r="V731" s="54">
        <v>32</v>
      </c>
      <c r="W731" s="54">
        <f>STOCK[[#This Row],[Precio Final]]-STOCK[[#This Row],[Costo total]]</f>
        <v>12.61</v>
      </c>
      <c r="X731" s="54">
        <f>STOCK[[#This Row],[Ganancia Unitaria]]*STOCK[[#This Row],[Salidas]]</f>
        <v>12.61</v>
      </c>
      <c r="AA731" s="54">
        <f>STOCK[[#This Row],[Costo total]]*STOCK[[#This Row],[Entradas]]</f>
        <v>38.78</v>
      </c>
      <c r="AB731" s="54">
        <f>STOCK[[#This Row],[Stock Actual]]*STOCK[[#This Row],[Costo total]]</f>
        <v>19.39</v>
      </c>
    </row>
    <row r="732" s="53" customFormat="1" ht="50" customHeight="1" spans="1:28">
      <c r="A732" s="53" t="s">
        <v>1463</v>
      </c>
      <c r="B732" s="66"/>
      <c r="C732" s="53" t="s">
        <v>32</v>
      </c>
      <c r="D732" s="54" t="s">
        <v>1388</v>
      </c>
      <c r="E732" s="67" t="s">
        <v>1460</v>
      </c>
      <c r="F732" s="53" t="s">
        <v>62</v>
      </c>
      <c r="G732" s="53" t="s">
        <v>704</v>
      </c>
      <c r="H732" s="53">
        <f>STOCK[[#This Row],[Precio Final]]</f>
        <v>32</v>
      </c>
      <c r="I732" s="53">
        <f>STOCK[[#This Row],[Precio Venta Ideal (x1.5)]]</f>
        <v>29.085</v>
      </c>
      <c r="J732" s="71">
        <v>3</v>
      </c>
      <c r="K732" s="71">
        <f>SUMIFS(VENTAS[Cantidad],VENTAS[Código del producto Vendido],STOCK[[#This Row],[Code]])</f>
        <v>2</v>
      </c>
      <c r="L732" s="71">
        <f>STOCK[[#This Row],[Entradas]]-STOCK[[#This Row],[Salidas]]</f>
        <v>1</v>
      </c>
      <c r="M732" s="53">
        <f>STOCK[[#This Row],[Precio Final]]*10%</f>
        <v>3.2</v>
      </c>
      <c r="N732" s="53">
        <v>0</v>
      </c>
      <c r="O732" s="53">
        <v>39</v>
      </c>
      <c r="P732" s="53">
        <v>11.19</v>
      </c>
      <c r="Q732" s="71">
        <v>0</v>
      </c>
      <c r="R732" s="53">
        <v>0</v>
      </c>
      <c r="S732" s="53">
        <v>5</v>
      </c>
      <c r="T732" s="53">
        <f>STOCK[[#This Row],[Costo Unitario (USD)]]+STOCK[[#This Row],[Costo Envío (USD)]]+STOCK[[#This Row],[Comisión 10%]]</f>
        <v>19.39</v>
      </c>
      <c r="U732" s="53">
        <f>STOCK[[#This Row],[Costo total]]*1.5</f>
        <v>29.085</v>
      </c>
      <c r="V732" s="53">
        <v>32</v>
      </c>
      <c r="W732" s="53">
        <f>STOCK[[#This Row],[Precio Final]]-STOCK[[#This Row],[Costo total]]</f>
        <v>12.61</v>
      </c>
      <c r="X732" s="53">
        <f>STOCK[[#This Row],[Ganancia Unitaria]]*STOCK[[#This Row],[Salidas]]</f>
        <v>25.22</v>
      </c>
      <c r="AA732" s="53">
        <f>STOCK[[#This Row],[Costo total]]*STOCK[[#This Row],[Entradas]]</f>
        <v>58.17</v>
      </c>
      <c r="AB732" s="53">
        <f>STOCK[[#This Row],[Stock Actual]]*STOCK[[#This Row],[Costo total]]</f>
        <v>19.39</v>
      </c>
    </row>
    <row r="733" s="54" customFormat="1" ht="50" customHeight="1" spans="1:28">
      <c r="A733" s="54" t="s">
        <v>1464</v>
      </c>
      <c r="B733" s="66"/>
      <c r="C733" s="54" t="s">
        <v>32</v>
      </c>
      <c r="D733" s="54" t="s">
        <v>1388</v>
      </c>
      <c r="E733" s="68" t="s">
        <v>1465</v>
      </c>
      <c r="F733" s="54" t="s">
        <v>62</v>
      </c>
      <c r="G733" s="54" t="s">
        <v>704</v>
      </c>
      <c r="H733" s="54">
        <f>STOCK[[#This Row],[Precio Final]]</f>
        <v>35</v>
      </c>
      <c r="I733" s="54">
        <f>STOCK[[#This Row],[Precio Venta Ideal (x1.5)]]</f>
        <v>35.25</v>
      </c>
      <c r="J733" s="72">
        <v>1</v>
      </c>
      <c r="K733" s="72">
        <f>SUMIFS(VENTAS[Cantidad],VENTAS[Código del producto Vendido],STOCK[[#This Row],[Code]])</f>
        <v>0</v>
      </c>
      <c r="L733" s="72">
        <f>STOCK[[#This Row],[Entradas]]-STOCK[[#This Row],[Salidas]]</f>
        <v>1</v>
      </c>
      <c r="M733" s="54">
        <f>STOCK[[#This Row],[Precio Final]]*10%</f>
        <v>3.5</v>
      </c>
      <c r="N733" s="54">
        <v>0</v>
      </c>
      <c r="O733" s="54">
        <v>0</v>
      </c>
      <c r="P733" s="54">
        <v>15</v>
      </c>
      <c r="Q733" s="72">
        <v>0</v>
      </c>
      <c r="R733" s="54">
        <v>0</v>
      </c>
      <c r="S733" s="54">
        <v>5</v>
      </c>
      <c r="T733" s="53">
        <f>STOCK[[#This Row],[Costo Unitario (USD)]]+STOCK[[#This Row],[Costo Envío (USD)]]+STOCK[[#This Row],[Comisión 10%]]</f>
        <v>23.5</v>
      </c>
      <c r="U733" s="54">
        <f>STOCK[[#This Row],[Costo total]]*1.5</f>
        <v>35.25</v>
      </c>
      <c r="V733" s="54">
        <v>35</v>
      </c>
      <c r="W733" s="54">
        <f>STOCK[[#This Row],[Precio Final]]-STOCK[[#This Row],[Costo total]]</f>
        <v>11.5</v>
      </c>
      <c r="X733" s="54">
        <f>STOCK[[#This Row],[Ganancia Unitaria]]*STOCK[[#This Row],[Salidas]]</f>
        <v>0</v>
      </c>
      <c r="AA733" s="54">
        <f>STOCK[[#This Row],[Costo total]]*STOCK[[#This Row],[Entradas]]</f>
        <v>23.5</v>
      </c>
      <c r="AB733" s="54">
        <f>STOCK[[#This Row],[Stock Actual]]*STOCK[[#This Row],[Costo total]]</f>
        <v>23.5</v>
      </c>
    </row>
    <row r="734" s="53" customFormat="1" ht="50" customHeight="1" spans="1:28">
      <c r="A734" s="53" t="s">
        <v>1466</v>
      </c>
      <c r="B734" s="66"/>
      <c r="C734" s="53" t="s">
        <v>32</v>
      </c>
      <c r="D734" s="54" t="s">
        <v>1388</v>
      </c>
      <c r="E734" s="67" t="s">
        <v>1467</v>
      </c>
      <c r="F734" s="53" t="s">
        <v>1468</v>
      </c>
      <c r="G734" s="53" t="s">
        <v>704</v>
      </c>
      <c r="H734" s="53">
        <f>STOCK[[#This Row],[Precio Final]]</f>
        <v>20</v>
      </c>
      <c r="I734" s="53">
        <f>STOCK[[#This Row],[Precio Venta Ideal (x1.5)]]</f>
        <v>28.5</v>
      </c>
      <c r="J734" s="71">
        <v>5</v>
      </c>
      <c r="K734" s="71">
        <f>SUMIFS(VENTAS[Cantidad],VENTAS[Código del producto Vendido],STOCK[[#This Row],[Code]])</f>
        <v>2</v>
      </c>
      <c r="L734" s="71">
        <f>STOCK[[#This Row],[Entradas]]-STOCK[[#This Row],[Salidas]]</f>
        <v>3</v>
      </c>
      <c r="M734" s="53">
        <f>STOCK[[#This Row],[Precio Final]]*10%</f>
        <v>2</v>
      </c>
      <c r="N734" s="53">
        <v>0</v>
      </c>
      <c r="O734" s="53">
        <v>17</v>
      </c>
      <c r="P734" s="53">
        <v>12</v>
      </c>
      <c r="Q734" s="71">
        <v>0</v>
      </c>
      <c r="R734" s="53">
        <v>0</v>
      </c>
      <c r="S734" s="53">
        <v>5</v>
      </c>
      <c r="T734" s="53">
        <f>STOCK[[#This Row],[Costo Unitario (USD)]]+STOCK[[#This Row],[Costo Envío (USD)]]+STOCK[[#This Row],[Comisión 10%]]</f>
        <v>19</v>
      </c>
      <c r="U734" s="53">
        <f>STOCK[[#This Row],[Costo total]]*1.5</f>
        <v>28.5</v>
      </c>
      <c r="V734" s="53">
        <v>20</v>
      </c>
      <c r="W734" s="53">
        <f>STOCK[[#This Row],[Precio Final]]-STOCK[[#This Row],[Costo total]]</f>
        <v>1</v>
      </c>
      <c r="X734" s="53">
        <f>STOCK[[#This Row],[Ganancia Unitaria]]*STOCK[[#This Row],[Salidas]]</f>
        <v>2</v>
      </c>
      <c r="AA734" s="53">
        <f>STOCK[[#This Row],[Costo total]]*STOCK[[#This Row],[Entradas]]</f>
        <v>95</v>
      </c>
      <c r="AB734" s="53">
        <f>STOCK[[#This Row],[Stock Actual]]*STOCK[[#This Row],[Costo total]]</f>
        <v>57</v>
      </c>
    </row>
    <row r="735" s="54" customFormat="1" ht="50" customHeight="1" spans="1:28">
      <c r="A735" s="54" t="s">
        <v>1469</v>
      </c>
      <c r="B735" s="66"/>
      <c r="C735" s="54" t="s">
        <v>32</v>
      </c>
      <c r="D735" s="54" t="s">
        <v>515</v>
      </c>
      <c r="E735" s="68" t="s">
        <v>1470</v>
      </c>
      <c r="F735" s="54" t="s">
        <v>1471</v>
      </c>
      <c r="G735" s="54" t="s">
        <v>36</v>
      </c>
      <c r="H735" s="54">
        <f>STOCK[[#This Row],[Precio Final]]</f>
        <v>35</v>
      </c>
      <c r="I735" s="54">
        <f>STOCK[[#This Row],[Precio Venta Ideal (x1.5)]]</f>
        <v>41.25</v>
      </c>
      <c r="J735" s="72">
        <v>1</v>
      </c>
      <c r="K735" s="72">
        <f>SUMIFS(VENTAS[Cantidad],VENTAS[Código del producto Vendido],STOCK[[#This Row],[Code]])</f>
        <v>1</v>
      </c>
      <c r="L735" s="72">
        <f>STOCK[[#This Row],[Entradas]]-STOCK[[#This Row],[Salidas]]</f>
        <v>0</v>
      </c>
      <c r="M735" s="54">
        <f>STOCK[[#This Row],[Precio Final]]*10%</f>
        <v>3.5</v>
      </c>
      <c r="N735" s="54">
        <v>0</v>
      </c>
      <c r="O735" s="54">
        <v>0</v>
      </c>
      <c r="P735" s="54">
        <v>19</v>
      </c>
      <c r="Q735" s="72">
        <v>0</v>
      </c>
      <c r="R735" s="54">
        <v>0</v>
      </c>
      <c r="S735" s="54">
        <v>5</v>
      </c>
      <c r="T735" s="53">
        <f>STOCK[[#This Row],[Costo Unitario (USD)]]+STOCK[[#This Row],[Costo Envío (USD)]]+STOCK[[#This Row],[Comisión 10%]]</f>
        <v>27.5</v>
      </c>
      <c r="U735" s="54">
        <f>STOCK[[#This Row],[Costo total]]*1.5</f>
        <v>41.25</v>
      </c>
      <c r="V735" s="54">
        <v>35</v>
      </c>
      <c r="W735" s="54">
        <f>STOCK[[#This Row],[Precio Final]]-STOCK[[#This Row],[Costo total]]</f>
        <v>7.5</v>
      </c>
      <c r="X735" s="54">
        <f>STOCK[[#This Row],[Ganancia Unitaria]]*STOCK[[#This Row],[Salidas]]</f>
        <v>7.5</v>
      </c>
      <c r="Y735" s="54" t="s">
        <v>1472</v>
      </c>
      <c r="AA735" s="54">
        <f>STOCK[[#This Row],[Costo total]]*STOCK[[#This Row],[Entradas]]</f>
        <v>27.5</v>
      </c>
      <c r="AB735" s="54">
        <f>STOCK[[#This Row],[Stock Actual]]*STOCK[[#This Row],[Costo total]]</f>
        <v>0</v>
      </c>
    </row>
    <row r="736" s="53" customFormat="1" ht="50" customHeight="1" spans="1:28">
      <c r="A736" s="53" t="s">
        <v>1473</v>
      </c>
      <c r="B736" s="66"/>
      <c r="C736" s="53" t="s">
        <v>32</v>
      </c>
      <c r="D736" s="53" t="s">
        <v>152</v>
      </c>
      <c r="E736" s="67" t="s">
        <v>1474</v>
      </c>
      <c r="F736" s="53" t="s">
        <v>62</v>
      </c>
      <c r="G736" s="53" t="s">
        <v>36</v>
      </c>
      <c r="H736" s="53">
        <f>STOCK[[#This Row],[Precio Final]]</f>
        <v>13</v>
      </c>
      <c r="I736" s="53">
        <f>STOCK[[#This Row],[Precio Venta Ideal (x1.5)]]</f>
        <v>18.45</v>
      </c>
      <c r="J736" s="71">
        <v>1</v>
      </c>
      <c r="K736" s="71">
        <f>SUMIFS(VENTAS[Cantidad],VENTAS[Código del producto Vendido],STOCK[[#This Row],[Code]])</f>
        <v>1</v>
      </c>
      <c r="L736" s="71">
        <f>STOCK[[#This Row],[Entradas]]-STOCK[[#This Row],[Salidas]]</f>
        <v>0</v>
      </c>
      <c r="M736" s="53">
        <f>STOCK[[#This Row],[Precio Final]]*10%</f>
        <v>1.3</v>
      </c>
      <c r="N736" s="53">
        <v>0</v>
      </c>
      <c r="O736" s="53">
        <v>0</v>
      </c>
      <c r="P736" s="53">
        <v>6</v>
      </c>
      <c r="Q736" s="71">
        <v>0</v>
      </c>
      <c r="R736" s="53">
        <v>0</v>
      </c>
      <c r="S736" s="53">
        <v>5</v>
      </c>
      <c r="T736" s="53">
        <f>STOCK[[#This Row],[Costo Unitario (USD)]]+STOCK[[#This Row],[Costo Envío (USD)]]+STOCK[[#This Row],[Comisión 10%]]</f>
        <v>12.3</v>
      </c>
      <c r="U736" s="53">
        <f>STOCK[[#This Row],[Costo total]]*1.5</f>
        <v>18.45</v>
      </c>
      <c r="V736" s="53">
        <v>13</v>
      </c>
      <c r="W736" s="53">
        <f>STOCK[[#This Row],[Precio Final]]-STOCK[[#This Row],[Costo total]]</f>
        <v>0.699999999999999</v>
      </c>
      <c r="X736" s="53">
        <f>STOCK[[#This Row],[Ganancia Unitaria]]*STOCK[[#This Row],[Salidas]]</f>
        <v>0.699999999999999</v>
      </c>
      <c r="Y736" s="53" t="s">
        <v>1472</v>
      </c>
      <c r="AA736" s="53">
        <f>STOCK[[#This Row],[Costo total]]*STOCK[[#This Row],[Entradas]]</f>
        <v>12.3</v>
      </c>
      <c r="AB736" s="53">
        <f>STOCK[[#This Row],[Stock Actual]]*STOCK[[#This Row],[Costo total]]</f>
        <v>0</v>
      </c>
    </row>
    <row r="737" s="54" customFormat="1" ht="50" customHeight="1" spans="1:28">
      <c r="A737" s="54" t="s">
        <v>1475</v>
      </c>
      <c r="B737" s="66"/>
      <c r="C737" s="54" t="s">
        <v>32</v>
      </c>
      <c r="D737" s="54" t="s">
        <v>152</v>
      </c>
      <c r="E737" s="68" t="s">
        <v>1476</v>
      </c>
      <c r="F737" s="54" t="s">
        <v>62</v>
      </c>
      <c r="G737" s="54" t="s">
        <v>36</v>
      </c>
      <c r="H737" s="54">
        <f>STOCK[[#This Row],[Precio Final]]</f>
        <v>25</v>
      </c>
      <c r="I737" s="54">
        <f>STOCK[[#This Row],[Precio Venta Ideal (x1.5)]]</f>
        <v>36.75</v>
      </c>
      <c r="J737" s="72">
        <v>0</v>
      </c>
      <c r="K737" s="72">
        <f>SUMIFS(VENTAS[Cantidad],VENTAS[Código del producto Vendido],STOCK[[#This Row],[Code]])</f>
        <v>0</v>
      </c>
      <c r="L737" s="72">
        <f>STOCK[[#This Row],[Entradas]]-STOCK[[#This Row],[Salidas]]</f>
        <v>0</v>
      </c>
      <c r="M737" s="54">
        <f>STOCK[[#This Row],[Precio Final]]*10%</f>
        <v>2.5</v>
      </c>
      <c r="N737" s="54">
        <v>0</v>
      </c>
      <c r="O737" s="54">
        <v>0</v>
      </c>
      <c r="P737" s="54">
        <v>17</v>
      </c>
      <c r="Q737" s="72">
        <v>0</v>
      </c>
      <c r="R737" s="54">
        <v>0</v>
      </c>
      <c r="S737" s="54">
        <v>5</v>
      </c>
      <c r="T737" s="53">
        <f>STOCK[[#This Row],[Costo Unitario (USD)]]+STOCK[[#This Row],[Costo Envío (USD)]]+STOCK[[#This Row],[Comisión 10%]]</f>
        <v>24.5</v>
      </c>
      <c r="U737" s="54">
        <f>STOCK[[#This Row],[Costo total]]*1.5</f>
        <v>36.75</v>
      </c>
      <c r="V737" s="54">
        <v>25</v>
      </c>
      <c r="W737" s="54">
        <f>STOCK[[#This Row],[Precio Final]]-STOCK[[#This Row],[Costo total]]</f>
        <v>0.5</v>
      </c>
      <c r="X737" s="54">
        <f>STOCK[[#This Row],[Ganancia Unitaria]]*STOCK[[#This Row],[Salidas]]</f>
        <v>0</v>
      </c>
      <c r="Y737" s="54" t="s">
        <v>1472</v>
      </c>
      <c r="AA737" s="54">
        <f>STOCK[[#This Row],[Costo total]]*STOCK[[#This Row],[Entradas]]</f>
        <v>0</v>
      </c>
      <c r="AB737" s="54">
        <f>STOCK[[#This Row],[Stock Actual]]*STOCK[[#This Row],[Costo total]]</f>
        <v>0</v>
      </c>
    </row>
    <row r="738" s="53" customFormat="1" ht="50" customHeight="1" spans="1:28">
      <c r="A738" s="53" t="s">
        <v>1477</v>
      </c>
      <c r="B738" s="66"/>
      <c r="C738" s="53" t="s">
        <v>32</v>
      </c>
      <c r="D738" s="53" t="s">
        <v>152</v>
      </c>
      <c r="E738" s="67" t="s">
        <v>1478</v>
      </c>
      <c r="F738" s="53" t="s">
        <v>62</v>
      </c>
      <c r="G738" s="53" t="s">
        <v>36</v>
      </c>
      <c r="H738" s="53">
        <f>STOCK[[#This Row],[Precio Final]]</f>
        <v>12</v>
      </c>
      <c r="I738" s="53">
        <f>STOCK[[#This Row],[Precio Venta Ideal (x1.5)]]</f>
        <v>18.3</v>
      </c>
      <c r="J738" s="71">
        <v>1</v>
      </c>
      <c r="K738" s="71">
        <f>SUMIFS(VENTAS[Cantidad],VENTAS[Código del producto Vendido],STOCK[[#This Row],[Code]])</f>
        <v>1</v>
      </c>
      <c r="L738" s="71">
        <f>STOCK[[#This Row],[Entradas]]-STOCK[[#This Row],[Salidas]]</f>
        <v>0</v>
      </c>
      <c r="M738" s="53">
        <f>STOCK[[#This Row],[Precio Final]]*10%</f>
        <v>1.2</v>
      </c>
      <c r="N738" s="53">
        <v>0</v>
      </c>
      <c r="O738" s="53">
        <v>0</v>
      </c>
      <c r="P738" s="53">
        <v>6</v>
      </c>
      <c r="Q738" s="71">
        <v>0</v>
      </c>
      <c r="R738" s="53">
        <v>0</v>
      </c>
      <c r="S738" s="53">
        <v>5</v>
      </c>
      <c r="T738" s="53">
        <f>STOCK[[#This Row],[Costo Unitario (USD)]]+STOCK[[#This Row],[Costo Envío (USD)]]+STOCK[[#This Row],[Comisión 10%]]</f>
        <v>12.2</v>
      </c>
      <c r="U738" s="53">
        <f>STOCK[[#This Row],[Costo total]]*1.5</f>
        <v>18.3</v>
      </c>
      <c r="V738" s="53">
        <v>12</v>
      </c>
      <c r="W738" s="53">
        <f>STOCK[[#This Row],[Precio Final]]-STOCK[[#This Row],[Costo total]]</f>
        <v>-0.199999999999999</v>
      </c>
      <c r="X738" s="53">
        <f>STOCK[[#This Row],[Ganancia Unitaria]]*STOCK[[#This Row],[Salidas]]</f>
        <v>-0.199999999999999</v>
      </c>
      <c r="Y738" s="53" t="s">
        <v>1472</v>
      </c>
      <c r="AA738" s="53">
        <f>STOCK[[#This Row],[Costo total]]*STOCK[[#This Row],[Entradas]]</f>
        <v>12.2</v>
      </c>
      <c r="AB738" s="53">
        <f>STOCK[[#This Row],[Stock Actual]]*STOCK[[#This Row],[Costo total]]</f>
        <v>0</v>
      </c>
    </row>
    <row r="739" s="54" customFormat="1" ht="50" customHeight="1" spans="1:28">
      <c r="A739" s="54" t="s">
        <v>1479</v>
      </c>
      <c r="B739" s="66"/>
      <c r="C739" s="54" t="s">
        <v>32</v>
      </c>
      <c r="D739" s="54" t="s">
        <v>152</v>
      </c>
      <c r="E739" s="68" t="s">
        <v>1480</v>
      </c>
      <c r="F739" s="54" t="s">
        <v>49</v>
      </c>
      <c r="G739" s="54" t="s">
        <v>36</v>
      </c>
      <c r="H739" s="54">
        <f>STOCK[[#This Row],[Precio Final]]</f>
        <v>30</v>
      </c>
      <c r="I739" s="54">
        <f>STOCK[[#This Row],[Precio Venta Ideal (x1.5)]]</f>
        <v>32.25</v>
      </c>
      <c r="J739" s="72">
        <v>1</v>
      </c>
      <c r="K739" s="72">
        <f>SUMIFS(VENTAS[Cantidad],VENTAS[Código del producto Vendido],STOCK[[#This Row],[Code]])</f>
        <v>1</v>
      </c>
      <c r="L739" s="72">
        <f>STOCK[[#This Row],[Entradas]]-STOCK[[#This Row],[Salidas]]</f>
        <v>0</v>
      </c>
      <c r="M739" s="54">
        <f>STOCK[[#This Row],[Precio Final]]*10%</f>
        <v>3</v>
      </c>
      <c r="N739" s="54">
        <v>0</v>
      </c>
      <c r="O739" s="54">
        <v>0</v>
      </c>
      <c r="P739" s="54">
        <v>13.5</v>
      </c>
      <c r="Q739" s="72">
        <v>0</v>
      </c>
      <c r="R739" s="54">
        <v>0</v>
      </c>
      <c r="S739" s="54">
        <v>5</v>
      </c>
      <c r="T739" s="53">
        <f>STOCK[[#This Row],[Costo Unitario (USD)]]+STOCK[[#This Row],[Costo Envío (USD)]]+STOCK[[#This Row],[Comisión 10%]]</f>
        <v>21.5</v>
      </c>
      <c r="U739" s="54">
        <f>STOCK[[#This Row],[Costo total]]*1.5</f>
        <v>32.25</v>
      </c>
      <c r="V739" s="54">
        <v>30</v>
      </c>
      <c r="W739" s="54">
        <f>STOCK[[#This Row],[Precio Final]]-STOCK[[#This Row],[Costo total]]</f>
        <v>8.5</v>
      </c>
      <c r="X739" s="54">
        <f>STOCK[[#This Row],[Ganancia Unitaria]]*STOCK[[#This Row],[Salidas]]</f>
        <v>8.5</v>
      </c>
      <c r="Y739" s="54" t="s">
        <v>1472</v>
      </c>
      <c r="AA739" s="54">
        <f>STOCK[[#This Row],[Costo total]]*STOCK[[#This Row],[Entradas]]</f>
        <v>21.5</v>
      </c>
      <c r="AB739" s="54">
        <f>STOCK[[#This Row],[Stock Actual]]*STOCK[[#This Row],[Costo total]]</f>
        <v>0</v>
      </c>
    </row>
    <row r="740" s="53" customFormat="1" ht="50" customHeight="1" spans="1:28">
      <c r="A740" s="53" t="s">
        <v>1481</v>
      </c>
      <c r="B740" s="66"/>
      <c r="C740" s="53" t="s">
        <v>32</v>
      </c>
      <c r="D740" s="53" t="s">
        <v>1482</v>
      </c>
      <c r="E740" s="67" t="s">
        <v>1483</v>
      </c>
      <c r="F740" s="53" t="s">
        <v>1484</v>
      </c>
      <c r="G740" s="53" t="s">
        <v>36</v>
      </c>
      <c r="H740" s="53">
        <f>STOCK[[#This Row],[Precio Final]]</f>
        <v>50</v>
      </c>
      <c r="I740" s="53">
        <f>STOCK[[#This Row],[Precio Venta Ideal (x1.5)]]</f>
        <v>52.5</v>
      </c>
      <c r="J740" s="71">
        <v>1</v>
      </c>
      <c r="K740" s="71">
        <f>SUMIFS(VENTAS[Cantidad],VENTAS[Código del producto Vendido],STOCK[[#This Row],[Code]])</f>
        <v>1</v>
      </c>
      <c r="L740" s="71">
        <f>STOCK[[#This Row],[Entradas]]-STOCK[[#This Row],[Salidas]]</f>
        <v>0</v>
      </c>
      <c r="M740" s="53">
        <f>STOCK[[#This Row],[Precio Final]]*10%</f>
        <v>5</v>
      </c>
      <c r="N740" s="53">
        <v>0</v>
      </c>
      <c r="O740" s="53">
        <v>0</v>
      </c>
      <c r="P740" s="53">
        <v>25</v>
      </c>
      <c r="Q740" s="71">
        <v>0</v>
      </c>
      <c r="R740" s="53">
        <v>0</v>
      </c>
      <c r="S740" s="53">
        <v>5</v>
      </c>
      <c r="T740" s="53">
        <f>STOCK[[#This Row],[Costo Unitario (USD)]]+STOCK[[#This Row],[Costo Envío (USD)]]+STOCK[[#This Row],[Comisión 10%]]</f>
        <v>35</v>
      </c>
      <c r="U740" s="53">
        <f>STOCK[[#This Row],[Costo total]]*1.5</f>
        <v>52.5</v>
      </c>
      <c r="V740" s="53">
        <v>50</v>
      </c>
      <c r="W740" s="53">
        <f>STOCK[[#This Row],[Precio Final]]-STOCK[[#This Row],[Costo total]]</f>
        <v>15</v>
      </c>
      <c r="X740" s="53">
        <f>STOCK[[#This Row],[Ganancia Unitaria]]*STOCK[[#This Row],[Salidas]]</f>
        <v>15</v>
      </c>
      <c r="Y740" s="53" t="s">
        <v>1472</v>
      </c>
      <c r="AA740" s="53">
        <f>STOCK[[#This Row],[Costo total]]*STOCK[[#This Row],[Entradas]]</f>
        <v>35</v>
      </c>
      <c r="AB740" s="53">
        <f>STOCK[[#This Row],[Stock Actual]]*STOCK[[#This Row],[Costo total]]</f>
        <v>0</v>
      </c>
    </row>
    <row r="741" s="54" customFormat="1" ht="50" customHeight="1" spans="1:28">
      <c r="A741" s="54" t="s">
        <v>1485</v>
      </c>
      <c r="B741" s="66"/>
      <c r="C741" s="54" t="s">
        <v>32</v>
      </c>
      <c r="D741" s="54" t="s">
        <v>515</v>
      </c>
      <c r="E741" s="68" t="s">
        <v>1486</v>
      </c>
      <c r="F741" s="54" t="s">
        <v>540</v>
      </c>
      <c r="G741" s="54" t="s">
        <v>36</v>
      </c>
      <c r="H741" s="54">
        <f>STOCK[[#This Row],[Precio Final]]</f>
        <v>40</v>
      </c>
      <c r="I741" s="54">
        <f>STOCK[[#This Row],[Precio Venta Ideal (x1.5)]]</f>
        <v>41.25</v>
      </c>
      <c r="J741" s="72">
        <v>1</v>
      </c>
      <c r="K741" s="72">
        <f>SUMIFS(VENTAS[Cantidad],VENTAS[Código del producto Vendido],STOCK[[#This Row],[Code]])</f>
        <v>1</v>
      </c>
      <c r="L741" s="72">
        <f>STOCK[[#This Row],[Entradas]]-STOCK[[#This Row],[Salidas]]</f>
        <v>0</v>
      </c>
      <c r="M741" s="54">
        <f>STOCK[[#This Row],[Precio Final]]*10%</f>
        <v>4</v>
      </c>
      <c r="N741" s="54">
        <v>0</v>
      </c>
      <c r="O741" s="54">
        <v>0</v>
      </c>
      <c r="P741" s="54">
        <v>18.5</v>
      </c>
      <c r="Q741" s="72">
        <v>0</v>
      </c>
      <c r="R741" s="54">
        <v>0</v>
      </c>
      <c r="S741" s="54">
        <v>5</v>
      </c>
      <c r="T741" s="53">
        <f>STOCK[[#This Row],[Costo Unitario (USD)]]+STOCK[[#This Row],[Costo Envío (USD)]]+STOCK[[#This Row],[Comisión 10%]]</f>
        <v>27.5</v>
      </c>
      <c r="U741" s="54">
        <f>STOCK[[#This Row],[Costo total]]*1.5</f>
        <v>41.25</v>
      </c>
      <c r="V741" s="54">
        <v>40</v>
      </c>
      <c r="W741" s="54">
        <f>STOCK[[#This Row],[Precio Final]]-STOCK[[#This Row],[Costo total]]</f>
        <v>12.5</v>
      </c>
      <c r="X741" s="54">
        <f>STOCK[[#This Row],[Ganancia Unitaria]]*STOCK[[#This Row],[Salidas]]</f>
        <v>12.5</v>
      </c>
      <c r="Y741" s="54" t="s">
        <v>1472</v>
      </c>
      <c r="AA741" s="54">
        <f>STOCK[[#This Row],[Costo total]]*STOCK[[#This Row],[Entradas]]</f>
        <v>27.5</v>
      </c>
      <c r="AB741" s="54">
        <f>STOCK[[#This Row],[Stock Actual]]*STOCK[[#This Row],[Costo total]]</f>
        <v>0</v>
      </c>
    </row>
    <row r="742" s="53" customFormat="1" ht="50" customHeight="1" spans="1:28">
      <c r="A742" s="53" t="s">
        <v>1487</v>
      </c>
      <c r="B742" s="66"/>
      <c r="C742" s="53" t="s">
        <v>32</v>
      </c>
      <c r="D742" s="53" t="s">
        <v>152</v>
      </c>
      <c r="E742" s="67" t="s">
        <v>1488</v>
      </c>
      <c r="F742" s="53" t="s">
        <v>46</v>
      </c>
      <c r="G742" s="53" t="s">
        <v>36</v>
      </c>
      <c r="H742" s="53">
        <f>STOCK[[#This Row],[Precio Final]]</f>
        <v>35</v>
      </c>
      <c r="I742" s="53">
        <f>STOCK[[#This Row],[Precio Venta Ideal (x1.5)]]</f>
        <v>36.15</v>
      </c>
      <c r="J742" s="71">
        <v>1</v>
      </c>
      <c r="K742" s="71">
        <f>SUMIFS(VENTAS[Cantidad],VENTAS[Código del producto Vendido],STOCK[[#This Row],[Code]])</f>
        <v>1</v>
      </c>
      <c r="L742" s="71">
        <f>STOCK[[#This Row],[Entradas]]-STOCK[[#This Row],[Salidas]]</f>
        <v>0</v>
      </c>
      <c r="M742" s="53">
        <f>STOCK[[#This Row],[Precio Final]]*10%</f>
        <v>3.5</v>
      </c>
      <c r="N742" s="53">
        <v>0</v>
      </c>
      <c r="O742" s="53">
        <v>0</v>
      </c>
      <c r="P742" s="53">
        <v>15.6</v>
      </c>
      <c r="Q742" s="71">
        <v>0</v>
      </c>
      <c r="R742" s="53">
        <v>0</v>
      </c>
      <c r="S742" s="53">
        <v>5</v>
      </c>
      <c r="T742" s="53">
        <f>STOCK[[#This Row],[Costo Unitario (USD)]]+STOCK[[#This Row],[Costo Envío (USD)]]+STOCK[[#This Row],[Comisión 10%]]</f>
        <v>24.1</v>
      </c>
      <c r="U742" s="53">
        <f>STOCK[[#This Row],[Costo total]]*1.5</f>
        <v>36.15</v>
      </c>
      <c r="V742" s="53">
        <v>35</v>
      </c>
      <c r="W742" s="53">
        <f>STOCK[[#This Row],[Precio Final]]-STOCK[[#This Row],[Costo total]]</f>
        <v>10.9</v>
      </c>
      <c r="X742" s="53">
        <f>STOCK[[#This Row],[Ganancia Unitaria]]*STOCK[[#This Row],[Salidas]]</f>
        <v>10.9</v>
      </c>
      <c r="Y742" s="53" t="s">
        <v>1472</v>
      </c>
      <c r="AA742" s="53">
        <f>STOCK[[#This Row],[Costo total]]*STOCK[[#This Row],[Entradas]]</f>
        <v>24.1</v>
      </c>
      <c r="AB742" s="53">
        <f>STOCK[[#This Row],[Stock Actual]]*STOCK[[#This Row],[Costo total]]</f>
        <v>0</v>
      </c>
    </row>
    <row r="743" s="54" customFormat="1" ht="50" customHeight="1" spans="1:28">
      <c r="A743" s="54" t="s">
        <v>1489</v>
      </c>
      <c r="B743" s="66"/>
      <c r="C743" s="54" t="s">
        <v>32</v>
      </c>
      <c r="D743" s="54" t="s">
        <v>152</v>
      </c>
      <c r="E743" s="68" t="s">
        <v>1490</v>
      </c>
      <c r="F743" s="54" t="s">
        <v>1047</v>
      </c>
      <c r="G743" s="54" t="s">
        <v>36</v>
      </c>
      <c r="H743" s="54">
        <f>STOCK[[#This Row],[Precio Final]]</f>
        <v>20</v>
      </c>
      <c r="I743" s="54">
        <f>STOCK[[#This Row],[Precio Venta Ideal (x1.5)]]</f>
        <v>25.5</v>
      </c>
      <c r="J743" s="72">
        <v>1</v>
      </c>
      <c r="K743" s="72">
        <f>SUMIFS(VENTAS[Cantidad],VENTAS[Código del producto Vendido],STOCK[[#This Row],[Code]])</f>
        <v>1</v>
      </c>
      <c r="L743" s="72">
        <f>STOCK[[#This Row],[Entradas]]-STOCK[[#This Row],[Salidas]]</f>
        <v>0</v>
      </c>
      <c r="M743" s="54">
        <f>STOCK[[#This Row],[Precio Final]]*10%</f>
        <v>2</v>
      </c>
      <c r="N743" s="54">
        <v>0</v>
      </c>
      <c r="O743" s="54">
        <v>0</v>
      </c>
      <c r="P743" s="54">
        <v>13.5</v>
      </c>
      <c r="Q743" s="72">
        <v>0</v>
      </c>
      <c r="R743" s="54">
        <v>0</v>
      </c>
      <c r="S743" s="54">
        <v>1.5</v>
      </c>
      <c r="T743" s="53">
        <f>STOCK[[#This Row],[Costo Unitario (USD)]]+STOCK[[#This Row],[Costo Envío (USD)]]+STOCK[[#This Row],[Comisión 10%]]</f>
        <v>17</v>
      </c>
      <c r="U743" s="54">
        <f>STOCK[[#This Row],[Costo total]]*1.5</f>
        <v>25.5</v>
      </c>
      <c r="V743" s="54">
        <v>20</v>
      </c>
      <c r="W743" s="54">
        <f>STOCK[[#This Row],[Precio Final]]-STOCK[[#This Row],[Costo total]]</f>
        <v>3</v>
      </c>
      <c r="X743" s="54">
        <f>STOCK[[#This Row],[Ganancia Unitaria]]*STOCK[[#This Row],[Salidas]]</f>
        <v>3</v>
      </c>
      <c r="Y743" s="54" t="s">
        <v>1472</v>
      </c>
      <c r="AA743" s="54">
        <f>STOCK[[#This Row],[Costo total]]*STOCK[[#This Row],[Entradas]]</f>
        <v>17</v>
      </c>
      <c r="AB743" s="54">
        <f>STOCK[[#This Row],[Stock Actual]]*STOCK[[#This Row],[Costo total]]</f>
        <v>0</v>
      </c>
    </row>
    <row r="744" s="53" customFormat="1" ht="50" customHeight="1" spans="1:28">
      <c r="A744" s="53" t="s">
        <v>1491</v>
      </c>
      <c r="B744" s="66"/>
      <c r="C744" s="53" t="s">
        <v>32</v>
      </c>
      <c r="D744" s="53" t="s">
        <v>152</v>
      </c>
      <c r="E744" s="67" t="s">
        <v>1492</v>
      </c>
      <c r="F744" s="53" t="s">
        <v>49</v>
      </c>
      <c r="G744" s="53" t="s">
        <v>36</v>
      </c>
      <c r="H744" s="53">
        <f>STOCK[[#This Row],[Precio Final]]</f>
        <v>13</v>
      </c>
      <c r="I744" s="53">
        <f>STOCK[[#This Row],[Precio Venta Ideal (x1.5)]]</f>
        <v>13.2</v>
      </c>
      <c r="J744" s="71">
        <v>1</v>
      </c>
      <c r="K744" s="71">
        <f>SUMIFS(VENTAS[Cantidad],VENTAS[Código del producto Vendido],STOCK[[#This Row],[Code]])</f>
        <v>1</v>
      </c>
      <c r="L744" s="71">
        <f>STOCK[[#This Row],[Entradas]]-STOCK[[#This Row],[Salidas]]</f>
        <v>0</v>
      </c>
      <c r="M744" s="53">
        <f>STOCK[[#This Row],[Precio Final]]*10%</f>
        <v>1.3</v>
      </c>
      <c r="N744" s="53">
        <v>0</v>
      </c>
      <c r="O744" s="53">
        <v>0</v>
      </c>
      <c r="P744" s="53">
        <v>6</v>
      </c>
      <c r="Q744" s="71">
        <v>0</v>
      </c>
      <c r="R744" s="53">
        <v>0</v>
      </c>
      <c r="S744" s="53">
        <v>1.5</v>
      </c>
      <c r="T744" s="53">
        <f>STOCK[[#This Row],[Costo Unitario (USD)]]+STOCK[[#This Row],[Costo Envío (USD)]]+STOCK[[#This Row],[Comisión 10%]]</f>
        <v>8.8</v>
      </c>
      <c r="U744" s="53">
        <f>STOCK[[#This Row],[Costo total]]*1.5</f>
        <v>13.2</v>
      </c>
      <c r="V744" s="53">
        <v>13</v>
      </c>
      <c r="W744" s="53">
        <f>STOCK[[#This Row],[Precio Final]]-STOCK[[#This Row],[Costo total]]</f>
        <v>4.2</v>
      </c>
      <c r="X744" s="53">
        <f>STOCK[[#This Row],[Ganancia Unitaria]]*STOCK[[#This Row],[Salidas]]</f>
        <v>4.2</v>
      </c>
      <c r="Y744" s="53" t="s">
        <v>1472</v>
      </c>
      <c r="AA744" s="53">
        <f>STOCK[[#This Row],[Costo total]]*STOCK[[#This Row],[Entradas]]</f>
        <v>8.8</v>
      </c>
      <c r="AB744" s="53">
        <f>STOCK[[#This Row],[Stock Actual]]*STOCK[[#This Row],[Costo total]]</f>
        <v>0</v>
      </c>
    </row>
    <row r="745" s="54" customFormat="1" ht="50" customHeight="1" spans="1:28">
      <c r="A745" s="54" t="s">
        <v>1493</v>
      </c>
      <c r="B745" s="66"/>
      <c r="C745" s="54" t="s">
        <v>32</v>
      </c>
      <c r="D745" s="54" t="s">
        <v>174</v>
      </c>
      <c r="E745" s="68" t="s">
        <v>1494</v>
      </c>
      <c r="F745" s="54" t="s">
        <v>62</v>
      </c>
      <c r="G745" s="54" t="s">
        <v>36</v>
      </c>
      <c r="H745" s="54">
        <f>STOCK[[#This Row],[Precio Final]]</f>
        <v>12</v>
      </c>
      <c r="I745" s="54">
        <f>STOCK[[#This Row],[Precio Venta Ideal (x1.5)]]</f>
        <v>11.55</v>
      </c>
      <c r="J745" s="72">
        <v>2</v>
      </c>
      <c r="K745" s="72">
        <f>SUMIFS(VENTAS[Cantidad],VENTAS[Código del producto Vendido],STOCK[[#This Row],[Code]])</f>
        <v>1</v>
      </c>
      <c r="L745" s="72">
        <f>STOCK[[#This Row],[Entradas]]-STOCK[[#This Row],[Salidas]]</f>
        <v>1</v>
      </c>
      <c r="M745" s="54">
        <f>STOCK[[#This Row],[Precio Final]]*10%</f>
        <v>1.2</v>
      </c>
      <c r="N745" s="54">
        <v>0</v>
      </c>
      <c r="O745" s="54">
        <v>0</v>
      </c>
      <c r="P745" s="54">
        <v>5</v>
      </c>
      <c r="Q745" s="72">
        <v>0</v>
      </c>
      <c r="R745" s="54">
        <v>0</v>
      </c>
      <c r="S745" s="54">
        <v>1.5</v>
      </c>
      <c r="T745" s="53">
        <f>STOCK[[#This Row],[Costo Unitario (USD)]]+STOCK[[#This Row],[Costo Envío (USD)]]+STOCK[[#This Row],[Comisión 10%]]</f>
        <v>7.7</v>
      </c>
      <c r="U745" s="54">
        <f>STOCK[[#This Row],[Costo total]]*1.5</f>
        <v>11.55</v>
      </c>
      <c r="V745" s="54">
        <v>12</v>
      </c>
      <c r="W745" s="54">
        <f>STOCK[[#This Row],[Precio Final]]-STOCK[[#This Row],[Costo total]]</f>
        <v>4.3</v>
      </c>
      <c r="X745" s="54">
        <f>STOCK[[#This Row],[Ganancia Unitaria]]*STOCK[[#This Row],[Salidas]]</f>
        <v>4.3</v>
      </c>
      <c r="Y745" s="54" t="s">
        <v>1472</v>
      </c>
      <c r="AA745" s="54">
        <f>STOCK[[#This Row],[Costo total]]*STOCK[[#This Row],[Entradas]]</f>
        <v>15.4</v>
      </c>
      <c r="AB745" s="54">
        <f>STOCK[[#This Row],[Stock Actual]]*STOCK[[#This Row],[Costo total]]</f>
        <v>7.7</v>
      </c>
    </row>
    <row r="746" s="53" customFormat="1" ht="50" customHeight="1" spans="1:28">
      <c r="A746" s="53" t="s">
        <v>1495</v>
      </c>
      <c r="B746" s="66"/>
      <c r="C746" s="53" t="s">
        <v>32</v>
      </c>
      <c r="D746" s="53" t="s">
        <v>152</v>
      </c>
      <c r="E746" s="67" t="s">
        <v>1496</v>
      </c>
      <c r="F746" s="53" t="s">
        <v>42</v>
      </c>
      <c r="G746" s="53" t="s">
        <v>36</v>
      </c>
      <c r="H746" s="53">
        <f>STOCK[[#This Row],[Precio Final]]</f>
        <v>35</v>
      </c>
      <c r="I746" s="53">
        <f>STOCK[[#This Row],[Precio Venta Ideal (x1.5)]]</f>
        <v>40.5</v>
      </c>
      <c r="J746" s="71">
        <v>0</v>
      </c>
      <c r="K746" s="71">
        <f>SUMIFS(VENTAS[Cantidad],VENTAS[Código del producto Vendido],STOCK[[#This Row],[Code]])</f>
        <v>0</v>
      </c>
      <c r="L746" s="71">
        <f>STOCK[[#This Row],[Entradas]]-STOCK[[#This Row],[Salidas]]</f>
        <v>0</v>
      </c>
      <c r="M746" s="53">
        <f>STOCK[[#This Row],[Precio Final]]*10%</f>
        <v>3.5</v>
      </c>
      <c r="N746" s="53">
        <v>0</v>
      </c>
      <c r="O746" s="53">
        <v>0</v>
      </c>
      <c r="P746" s="53">
        <v>22</v>
      </c>
      <c r="Q746" s="71">
        <v>0</v>
      </c>
      <c r="R746" s="53">
        <v>0</v>
      </c>
      <c r="S746" s="53">
        <v>1.5</v>
      </c>
      <c r="T746" s="53">
        <f>STOCK[[#This Row],[Costo Unitario (USD)]]+STOCK[[#This Row],[Costo Envío (USD)]]+STOCK[[#This Row],[Comisión 10%]]</f>
        <v>27</v>
      </c>
      <c r="U746" s="53">
        <f>STOCK[[#This Row],[Costo total]]*1.5</f>
        <v>40.5</v>
      </c>
      <c r="V746" s="53">
        <v>35</v>
      </c>
      <c r="W746" s="53">
        <f>STOCK[[#This Row],[Precio Final]]-STOCK[[#This Row],[Costo total]]</f>
        <v>8</v>
      </c>
      <c r="X746" s="53">
        <f>STOCK[[#This Row],[Ganancia Unitaria]]*STOCK[[#This Row],[Salidas]]</f>
        <v>0</v>
      </c>
      <c r="Y746" s="53" t="s">
        <v>1472</v>
      </c>
      <c r="AA746" s="53">
        <f>STOCK[[#This Row],[Costo total]]*STOCK[[#This Row],[Entradas]]</f>
        <v>0</v>
      </c>
      <c r="AB746" s="53">
        <f>STOCK[[#This Row],[Stock Actual]]*STOCK[[#This Row],[Costo total]]</f>
        <v>0</v>
      </c>
    </row>
    <row r="747" s="54" customFormat="1" ht="50" customHeight="1" spans="1:28">
      <c r="A747" s="54" t="s">
        <v>1497</v>
      </c>
      <c r="B747" s="66"/>
      <c r="C747" s="54" t="s">
        <v>32</v>
      </c>
      <c r="D747" s="54" t="s">
        <v>152</v>
      </c>
      <c r="E747" s="68" t="s">
        <v>1498</v>
      </c>
      <c r="F747" s="54" t="s">
        <v>42</v>
      </c>
      <c r="G747" s="54" t="s">
        <v>36</v>
      </c>
      <c r="H747" s="54">
        <f>STOCK[[#This Row],[Precio Final]]</f>
        <v>40</v>
      </c>
      <c r="I747" s="54">
        <f>STOCK[[#This Row],[Precio Venta Ideal (x1.5)]]</f>
        <v>47.25</v>
      </c>
      <c r="J747" s="72">
        <v>0</v>
      </c>
      <c r="K747" s="72">
        <f>SUMIFS(VENTAS[Cantidad],VENTAS[Código del producto Vendido],STOCK[[#This Row],[Code]])</f>
        <v>0</v>
      </c>
      <c r="L747" s="72">
        <f>STOCK[[#This Row],[Entradas]]-STOCK[[#This Row],[Salidas]]</f>
        <v>0</v>
      </c>
      <c r="M747" s="54">
        <f>STOCK[[#This Row],[Precio Final]]*10%</f>
        <v>4</v>
      </c>
      <c r="N747" s="54">
        <v>0</v>
      </c>
      <c r="O747" s="54">
        <v>0</v>
      </c>
      <c r="P747" s="54">
        <v>26</v>
      </c>
      <c r="Q747" s="72">
        <v>0</v>
      </c>
      <c r="R747" s="54">
        <v>0</v>
      </c>
      <c r="S747" s="54">
        <v>1.5</v>
      </c>
      <c r="T747" s="53">
        <f>STOCK[[#This Row],[Costo Unitario (USD)]]+STOCK[[#This Row],[Costo Envío (USD)]]+STOCK[[#This Row],[Comisión 10%]]</f>
        <v>31.5</v>
      </c>
      <c r="U747" s="54">
        <f>STOCK[[#This Row],[Costo total]]*1.5</f>
        <v>47.25</v>
      </c>
      <c r="V747" s="54">
        <v>40</v>
      </c>
      <c r="W747" s="54">
        <f>STOCK[[#This Row],[Precio Final]]-STOCK[[#This Row],[Costo total]]</f>
        <v>8.5</v>
      </c>
      <c r="X747" s="54">
        <f>STOCK[[#This Row],[Ganancia Unitaria]]*STOCK[[#This Row],[Salidas]]</f>
        <v>0</v>
      </c>
      <c r="Y747" s="54" t="s">
        <v>1472</v>
      </c>
      <c r="AA747" s="54">
        <f>STOCK[[#This Row],[Costo total]]*STOCK[[#This Row],[Entradas]]</f>
        <v>0</v>
      </c>
      <c r="AB747" s="54">
        <f>STOCK[[#This Row],[Stock Actual]]*STOCK[[#This Row],[Costo total]]</f>
        <v>0</v>
      </c>
    </row>
    <row r="748" s="53" customFormat="1" ht="50" customHeight="1" spans="2:28">
      <c r="B748" s="66"/>
      <c r="E748" s="67"/>
      <c r="H748" s="53">
        <f>STOCK[[#This Row],[Precio Final]]</f>
        <v>0</v>
      </c>
      <c r="I748" s="53">
        <f>STOCK[[#This Row],[Precio Venta Ideal (x1.5)]]</f>
        <v>0</v>
      </c>
      <c r="J748" s="71"/>
      <c r="K748" s="71">
        <f>SUMIFS(VENTAS[Cantidad],VENTAS[Código del producto Vendido],STOCK[[#This Row],[Code]])</f>
        <v>0</v>
      </c>
      <c r="L748" s="71">
        <f>STOCK[[#This Row],[Entradas]]-STOCK[[#This Row],[Salidas]]</f>
        <v>0</v>
      </c>
      <c r="M748" s="53">
        <f>STOCK[[#This Row],[Precio Final]]*10%</f>
        <v>0</v>
      </c>
      <c r="Q748" s="71">
        <v>0</v>
      </c>
      <c r="R748" s="53">
        <v>0</v>
      </c>
      <c r="T748" s="53">
        <f>STOCK[[#This Row],[Costo Unitario (USD)]]+STOCK[[#This Row],[Costo Envío (USD)]]+STOCK[[#This Row],[Comisión 10%]]</f>
        <v>0</v>
      </c>
      <c r="U748" s="53">
        <f>STOCK[[#This Row],[Costo total]]*1.5</f>
        <v>0</v>
      </c>
      <c r="W748" s="53">
        <f>STOCK[[#This Row],[Precio Final]]-STOCK[[#This Row],[Costo total]]</f>
        <v>0</v>
      </c>
      <c r="X748" s="53">
        <f>STOCK[[#This Row],[Ganancia Unitaria]]*STOCK[[#This Row],[Salidas]]</f>
        <v>0</v>
      </c>
      <c r="AA748" s="53">
        <f>STOCK[[#This Row],[Costo total]]*STOCK[[#This Row],[Entradas]]</f>
        <v>0</v>
      </c>
      <c r="AB748" s="53">
        <f>STOCK[[#This Row],[Stock Actual]]*STOCK[[#This Row],[Costo total]]</f>
        <v>0</v>
      </c>
    </row>
    <row r="749" s="54" customFormat="1" ht="50" customHeight="1" spans="1:28">
      <c r="A749" s="54" t="s">
        <v>1499</v>
      </c>
      <c r="B749" s="66"/>
      <c r="C749" s="54" t="s">
        <v>32</v>
      </c>
      <c r="D749" s="54" t="s">
        <v>247</v>
      </c>
      <c r="E749" s="68" t="s">
        <v>1500</v>
      </c>
      <c r="F749" s="54" t="s">
        <v>83</v>
      </c>
      <c r="G749" s="54" t="s">
        <v>36</v>
      </c>
      <c r="H749" s="54">
        <f>STOCK[[#This Row],[Precio Final]]</f>
        <v>13</v>
      </c>
      <c r="I749" s="54">
        <f>STOCK[[#This Row],[Precio Venta Ideal (x1.5)]]</f>
        <v>13.2</v>
      </c>
      <c r="J749" s="72">
        <v>1</v>
      </c>
      <c r="K749" s="72">
        <f>SUMIFS(VENTAS[Cantidad],VENTAS[Código del producto Vendido],STOCK[[#This Row],[Code]])</f>
        <v>1</v>
      </c>
      <c r="L749" s="72">
        <f>STOCK[[#This Row],[Entradas]]-STOCK[[#This Row],[Salidas]]</f>
        <v>0</v>
      </c>
      <c r="M749" s="54">
        <f>STOCK[[#This Row],[Precio Final]]*10%</f>
        <v>1.3</v>
      </c>
      <c r="N749" s="54">
        <v>0</v>
      </c>
      <c r="O749" s="54">
        <v>0</v>
      </c>
      <c r="P749" s="54">
        <v>6</v>
      </c>
      <c r="Q749" s="72">
        <v>0</v>
      </c>
      <c r="R749" s="54">
        <v>0</v>
      </c>
      <c r="S749" s="54">
        <v>1.5</v>
      </c>
      <c r="T749" s="53">
        <f>STOCK[[#This Row],[Costo Unitario (USD)]]+STOCK[[#This Row],[Costo Envío (USD)]]+STOCK[[#This Row],[Comisión 10%]]</f>
        <v>8.8</v>
      </c>
      <c r="U749" s="54">
        <f>STOCK[[#This Row],[Costo total]]*1.5</f>
        <v>13.2</v>
      </c>
      <c r="V749" s="54">
        <v>13</v>
      </c>
      <c r="W749" s="54">
        <f>STOCK[[#This Row],[Precio Final]]-STOCK[[#This Row],[Costo total]]</f>
        <v>4.2</v>
      </c>
      <c r="X749" s="54">
        <f>STOCK[[#This Row],[Ganancia Unitaria]]*STOCK[[#This Row],[Salidas]]</f>
        <v>4.2</v>
      </c>
      <c r="Y749" s="54" t="s">
        <v>1472</v>
      </c>
      <c r="AA749" s="54">
        <f>STOCK[[#This Row],[Costo total]]*STOCK[[#This Row],[Entradas]]</f>
        <v>8.8</v>
      </c>
      <c r="AB749" s="54">
        <f>STOCK[[#This Row],[Stock Actual]]*STOCK[[#This Row],[Costo total]]</f>
        <v>0</v>
      </c>
    </row>
    <row r="750" s="53" customFormat="1" ht="50" customHeight="1" spans="1:28">
      <c r="A750" s="53" t="s">
        <v>1501</v>
      </c>
      <c r="B750" s="66"/>
      <c r="C750" s="53" t="s">
        <v>32</v>
      </c>
      <c r="D750" s="53" t="s">
        <v>152</v>
      </c>
      <c r="E750" s="67" t="s">
        <v>1478</v>
      </c>
      <c r="F750" s="53" t="s">
        <v>540</v>
      </c>
      <c r="G750" s="53" t="s">
        <v>36</v>
      </c>
      <c r="H750" s="53">
        <f>STOCK[[#This Row],[Precio Final]]</f>
        <v>13</v>
      </c>
      <c r="I750" s="53">
        <f>STOCK[[#This Row],[Precio Venta Ideal (x1.5)]]</f>
        <v>13.2</v>
      </c>
      <c r="J750" s="71">
        <v>0</v>
      </c>
      <c r="K750" s="71">
        <f>SUMIFS(VENTAS[Cantidad],VENTAS[Código del producto Vendido],STOCK[[#This Row],[Code]])</f>
        <v>0</v>
      </c>
      <c r="L750" s="71">
        <f>STOCK[[#This Row],[Entradas]]-STOCK[[#This Row],[Salidas]]</f>
        <v>0</v>
      </c>
      <c r="M750" s="53">
        <f>STOCK[[#This Row],[Precio Final]]*10%</f>
        <v>1.3</v>
      </c>
      <c r="N750" s="53">
        <v>0</v>
      </c>
      <c r="O750" s="53">
        <v>0</v>
      </c>
      <c r="P750" s="53">
        <v>6</v>
      </c>
      <c r="Q750" s="71">
        <v>0</v>
      </c>
      <c r="R750" s="53">
        <v>0</v>
      </c>
      <c r="S750" s="53">
        <v>1.5</v>
      </c>
      <c r="T750" s="53">
        <f>STOCK[[#This Row],[Costo Unitario (USD)]]+STOCK[[#This Row],[Costo Envío (USD)]]+STOCK[[#This Row],[Comisión 10%]]</f>
        <v>8.8</v>
      </c>
      <c r="U750" s="53">
        <f>STOCK[[#This Row],[Costo total]]*1.5</f>
        <v>13.2</v>
      </c>
      <c r="V750" s="53">
        <v>13</v>
      </c>
      <c r="W750" s="53">
        <f>STOCK[[#This Row],[Precio Final]]-STOCK[[#This Row],[Costo total]]</f>
        <v>4.2</v>
      </c>
      <c r="X750" s="53">
        <f>STOCK[[#This Row],[Ganancia Unitaria]]*STOCK[[#This Row],[Salidas]]</f>
        <v>0</v>
      </c>
      <c r="Y750" s="53" t="s">
        <v>1472</v>
      </c>
      <c r="AA750" s="53">
        <f>STOCK[[#This Row],[Costo total]]*STOCK[[#This Row],[Entradas]]</f>
        <v>0</v>
      </c>
      <c r="AB750" s="53">
        <f>STOCK[[#This Row],[Stock Actual]]*STOCK[[#This Row],[Costo total]]</f>
        <v>0</v>
      </c>
    </row>
    <row r="751" s="54" customFormat="1" ht="50" customHeight="1" spans="1:28">
      <c r="A751" s="54" t="s">
        <v>1502</v>
      </c>
      <c r="B751" s="66"/>
      <c r="C751" s="54" t="s">
        <v>32</v>
      </c>
      <c r="D751" s="54" t="s">
        <v>152</v>
      </c>
      <c r="E751" s="68" t="s">
        <v>1503</v>
      </c>
      <c r="F751" s="54" t="s">
        <v>49</v>
      </c>
      <c r="G751" s="54" t="s">
        <v>36</v>
      </c>
      <c r="H751" s="54">
        <f>STOCK[[#This Row],[Precio Final]]</f>
        <v>25</v>
      </c>
      <c r="I751" s="54">
        <f>STOCK[[#This Row],[Precio Venta Ideal (x1.5)]]</f>
        <v>24</v>
      </c>
      <c r="J751" s="72">
        <v>1</v>
      </c>
      <c r="K751" s="72">
        <f>SUMIFS(VENTAS[Cantidad],VENTAS[Código del producto Vendido],STOCK[[#This Row],[Code]])</f>
        <v>1</v>
      </c>
      <c r="L751" s="72">
        <f>STOCK[[#This Row],[Entradas]]-STOCK[[#This Row],[Salidas]]</f>
        <v>0</v>
      </c>
      <c r="M751" s="54">
        <f>STOCK[[#This Row],[Precio Final]]*10%</f>
        <v>2.5</v>
      </c>
      <c r="N751" s="54">
        <v>0</v>
      </c>
      <c r="O751" s="54">
        <v>0</v>
      </c>
      <c r="P751" s="54">
        <v>12</v>
      </c>
      <c r="Q751" s="72">
        <v>0</v>
      </c>
      <c r="R751" s="54">
        <v>0</v>
      </c>
      <c r="S751" s="54">
        <v>1.5</v>
      </c>
      <c r="T751" s="53">
        <f>STOCK[[#This Row],[Costo Unitario (USD)]]+STOCK[[#This Row],[Costo Envío (USD)]]+STOCK[[#This Row],[Comisión 10%]]</f>
        <v>16</v>
      </c>
      <c r="U751" s="54">
        <f>STOCK[[#This Row],[Costo total]]*1.5</f>
        <v>24</v>
      </c>
      <c r="V751" s="54">
        <v>25</v>
      </c>
      <c r="W751" s="54">
        <f>STOCK[[#This Row],[Precio Final]]-STOCK[[#This Row],[Costo total]]</f>
        <v>9</v>
      </c>
      <c r="X751" s="54">
        <f>STOCK[[#This Row],[Ganancia Unitaria]]*STOCK[[#This Row],[Salidas]]</f>
        <v>9</v>
      </c>
      <c r="Y751" s="54" t="s">
        <v>1472</v>
      </c>
      <c r="AA751" s="54">
        <f>STOCK[[#This Row],[Costo total]]*STOCK[[#This Row],[Entradas]]</f>
        <v>16</v>
      </c>
      <c r="AB751" s="54">
        <f>STOCK[[#This Row],[Stock Actual]]*STOCK[[#This Row],[Costo total]]</f>
        <v>0</v>
      </c>
    </row>
    <row r="752" s="53" customFormat="1" ht="50" customHeight="1" spans="1:28">
      <c r="A752" s="53" t="s">
        <v>1504</v>
      </c>
      <c r="B752" s="66"/>
      <c r="C752" s="53" t="s">
        <v>32</v>
      </c>
      <c r="D752" s="53" t="s">
        <v>152</v>
      </c>
      <c r="E752" s="67" t="s">
        <v>1483</v>
      </c>
      <c r="F752" s="53" t="s">
        <v>40</v>
      </c>
      <c r="G752" s="53" t="s">
        <v>36</v>
      </c>
      <c r="H752" s="53">
        <f>STOCK[[#This Row],[Precio Final]]</f>
        <v>50</v>
      </c>
      <c r="I752" s="53">
        <f>STOCK[[#This Row],[Precio Venta Ideal (x1.5)]]</f>
        <v>47.25</v>
      </c>
      <c r="J752" s="71">
        <v>0</v>
      </c>
      <c r="K752" s="71">
        <f>SUMIFS(VENTAS[Cantidad],VENTAS[Código del producto Vendido],STOCK[[#This Row],[Code]])</f>
        <v>0</v>
      </c>
      <c r="L752" s="71">
        <f>STOCK[[#This Row],[Entradas]]-STOCK[[#This Row],[Salidas]]</f>
        <v>0</v>
      </c>
      <c r="M752" s="53">
        <f>STOCK[[#This Row],[Precio Final]]*10%</f>
        <v>5</v>
      </c>
      <c r="N752" s="53">
        <v>0</v>
      </c>
      <c r="O752" s="53">
        <v>0</v>
      </c>
      <c r="P752" s="53">
        <v>25</v>
      </c>
      <c r="Q752" s="71">
        <v>0</v>
      </c>
      <c r="R752" s="53">
        <v>0</v>
      </c>
      <c r="S752" s="53">
        <v>1.5</v>
      </c>
      <c r="T752" s="53">
        <f>STOCK[[#This Row],[Costo Unitario (USD)]]+STOCK[[#This Row],[Costo Envío (USD)]]+STOCK[[#This Row],[Comisión 10%]]</f>
        <v>31.5</v>
      </c>
      <c r="U752" s="53">
        <f>STOCK[[#This Row],[Costo total]]*1.5</f>
        <v>47.25</v>
      </c>
      <c r="V752" s="53">
        <v>50</v>
      </c>
      <c r="W752" s="53">
        <f>STOCK[[#This Row],[Precio Final]]-STOCK[[#This Row],[Costo total]]</f>
        <v>18.5</v>
      </c>
      <c r="X752" s="53">
        <f>STOCK[[#This Row],[Ganancia Unitaria]]*STOCK[[#This Row],[Salidas]]</f>
        <v>0</v>
      </c>
      <c r="Y752" s="53" t="s">
        <v>1472</v>
      </c>
      <c r="AA752" s="53">
        <f>STOCK[[#This Row],[Costo total]]*STOCK[[#This Row],[Entradas]]</f>
        <v>0</v>
      </c>
      <c r="AB752" s="53">
        <f>STOCK[[#This Row],[Stock Actual]]*STOCK[[#This Row],[Costo total]]</f>
        <v>0</v>
      </c>
    </row>
    <row r="753" s="54" customFormat="1" ht="50" customHeight="1" spans="1:28">
      <c r="A753" s="54" t="s">
        <v>1505</v>
      </c>
      <c r="B753" s="66"/>
      <c r="C753" s="54" t="s">
        <v>32</v>
      </c>
      <c r="D753" s="54" t="s">
        <v>174</v>
      </c>
      <c r="E753" s="68" t="s">
        <v>1171</v>
      </c>
      <c r="F753" s="54" t="s">
        <v>211</v>
      </c>
      <c r="G753" s="54" t="s">
        <v>36</v>
      </c>
      <c r="H753" s="54">
        <f>STOCK[[#This Row],[Precio Final]]</f>
        <v>13</v>
      </c>
      <c r="I753" s="54">
        <f>STOCK[[#This Row],[Precio Venta Ideal (x1.5)]]</f>
        <v>13.2</v>
      </c>
      <c r="J753" s="72">
        <v>3</v>
      </c>
      <c r="K753" s="72">
        <f>SUMIFS(VENTAS[Cantidad],VENTAS[Código del producto Vendido],STOCK[[#This Row],[Code]])</f>
        <v>3</v>
      </c>
      <c r="L753" s="72">
        <f>STOCK[[#This Row],[Entradas]]-STOCK[[#This Row],[Salidas]]</f>
        <v>0</v>
      </c>
      <c r="M753" s="54">
        <f>STOCK[[#This Row],[Precio Final]]*10%</f>
        <v>1.3</v>
      </c>
      <c r="N753" s="54">
        <v>0</v>
      </c>
      <c r="O753" s="54">
        <v>0</v>
      </c>
      <c r="P753" s="54">
        <v>6</v>
      </c>
      <c r="Q753" s="72">
        <v>0</v>
      </c>
      <c r="R753" s="54">
        <v>0</v>
      </c>
      <c r="S753" s="54">
        <v>1.5</v>
      </c>
      <c r="T753" s="53">
        <f>STOCK[[#This Row],[Costo Unitario (USD)]]+STOCK[[#This Row],[Costo Envío (USD)]]+STOCK[[#This Row],[Comisión 10%]]</f>
        <v>8.8</v>
      </c>
      <c r="U753" s="54">
        <f>STOCK[[#This Row],[Costo total]]*1.5</f>
        <v>13.2</v>
      </c>
      <c r="V753" s="54">
        <v>13</v>
      </c>
      <c r="W753" s="54">
        <f>STOCK[[#This Row],[Precio Final]]-STOCK[[#This Row],[Costo total]]</f>
        <v>4.2</v>
      </c>
      <c r="X753" s="54">
        <f>STOCK[[#This Row],[Ganancia Unitaria]]*STOCK[[#This Row],[Salidas]]</f>
        <v>12.6</v>
      </c>
      <c r="Y753" s="54" t="s">
        <v>1472</v>
      </c>
      <c r="AA753" s="54">
        <f>STOCK[[#This Row],[Costo total]]*STOCK[[#This Row],[Entradas]]</f>
        <v>26.4</v>
      </c>
      <c r="AB753" s="54">
        <f>STOCK[[#This Row],[Stock Actual]]*STOCK[[#This Row],[Costo total]]</f>
        <v>0</v>
      </c>
    </row>
    <row r="754" s="53" customFormat="1" ht="50" customHeight="1" spans="1:28">
      <c r="A754" s="53" t="s">
        <v>1506</v>
      </c>
      <c r="B754" s="66"/>
      <c r="C754" s="53" t="s">
        <v>32</v>
      </c>
      <c r="D754" s="53" t="s">
        <v>44</v>
      </c>
      <c r="E754" s="67" t="s">
        <v>1507</v>
      </c>
      <c r="F754" s="53" t="s">
        <v>40</v>
      </c>
      <c r="G754" s="53" t="s">
        <v>36</v>
      </c>
      <c r="H754" s="53">
        <f>STOCK[[#This Row],[Precio Final]]</f>
        <v>25</v>
      </c>
      <c r="I754" s="53">
        <f>STOCK[[#This Row],[Precio Venta Ideal (x1.5)]]</f>
        <v>21</v>
      </c>
      <c r="J754" s="71">
        <v>1</v>
      </c>
      <c r="K754" s="71">
        <f>SUMIFS(VENTAS[Cantidad],VENTAS[Código del producto Vendido],STOCK[[#This Row],[Code]])</f>
        <v>1</v>
      </c>
      <c r="L754" s="71">
        <f>STOCK[[#This Row],[Entradas]]-STOCK[[#This Row],[Salidas]]</f>
        <v>0</v>
      </c>
      <c r="M754" s="53">
        <f>STOCK[[#This Row],[Precio Final]]*10%</f>
        <v>2.5</v>
      </c>
      <c r="N754" s="53">
        <v>0</v>
      </c>
      <c r="O754" s="53">
        <v>0</v>
      </c>
      <c r="P754" s="53">
        <v>10</v>
      </c>
      <c r="Q754" s="71">
        <v>0</v>
      </c>
      <c r="R754" s="53">
        <v>0</v>
      </c>
      <c r="S754" s="53">
        <v>1.5</v>
      </c>
      <c r="T754" s="53">
        <f>STOCK[[#This Row],[Costo Unitario (USD)]]+STOCK[[#This Row],[Costo Envío (USD)]]+STOCK[[#This Row],[Comisión 10%]]</f>
        <v>14</v>
      </c>
      <c r="U754" s="53">
        <f>STOCK[[#This Row],[Costo total]]*1.5</f>
        <v>21</v>
      </c>
      <c r="V754" s="53">
        <v>25</v>
      </c>
      <c r="W754" s="53">
        <f>STOCK[[#This Row],[Precio Final]]-STOCK[[#This Row],[Costo total]]</f>
        <v>11</v>
      </c>
      <c r="X754" s="53">
        <f>STOCK[[#This Row],[Ganancia Unitaria]]*STOCK[[#This Row],[Salidas]]</f>
        <v>11</v>
      </c>
      <c r="Y754" s="53" t="s">
        <v>1472</v>
      </c>
      <c r="AA754" s="53">
        <f>STOCK[[#This Row],[Costo total]]*STOCK[[#This Row],[Entradas]]</f>
        <v>14</v>
      </c>
      <c r="AB754" s="53">
        <f>STOCK[[#This Row],[Stock Actual]]*STOCK[[#This Row],[Costo total]]</f>
        <v>0</v>
      </c>
    </row>
    <row r="755" s="54" customFormat="1" ht="50" customHeight="1" spans="1:28">
      <c r="A755" s="54" t="s">
        <v>1508</v>
      </c>
      <c r="B755" s="66"/>
      <c r="C755" s="54" t="s">
        <v>32</v>
      </c>
      <c r="D755" s="54" t="s">
        <v>174</v>
      </c>
      <c r="E755" s="68" t="s">
        <v>1478</v>
      </c>
      <c r="F755" s="54" t="s">
        <v>49</v>
      </c>
      <c r="G755" s="54" t="s">
        <v>36</v>
      </c>
      <c r="H755" s="54">
        <f>STOCK[[#This Row],[Precio Final]]</f>
        <v>6</v>
      </c>
      <c r="I755" s="54">
        <f>STOCK[[#This Row],[Precio Venta Ideal (x1.5)]]</f>
        <v>3.15</v>
      </c>
      <c r="J755" s="72">
        <v>1</v>
      </c>
      <c r="K755" s="72">
        <f>SUMIFS(VENTAS[Cantidad],VENTAS[Código del producto Vendido],STOCK[[#This Row],[Code]])</f>
        <v>1</v>
      </c>
      <c r="L755" s="72">
        <f>STOCK[[#This Row],[Entradas]]-STOCK[[#This Row],[Salidas]]</f>
        <v>0</v>
      </c>
      <c r="M755" s="54">
        <f>STOCK[[#This Row],[Precio Final]]*10%</f>
        <v>0.6</v>
      </c>
      <c r="N755" s="54">
        <v>0</v>
      </c>
      <c r="O755" s="54">
        <v>0</v>
      </c>
      <c r="P755" s="54">
        <v>0</v>
      </c>
      <c r="Q755" s="72">
        <v>0</v>
      </c>
      <c r="R755" s="54">
        <v>0</v>
      </c>
      <c r="S755" s="54">
        <v>1.5</v>
      </c>
      <c r="T755" s="53">
        <f>STOCK[[#This Row],[Costo Unitario (USD)]]+STOCK[[#This Row],[Costo Envío (USD)]]+STOCK[[#This Row],[Comisión 10%]]</f>
        <v>2.1</v>
      </c>
      <c r="U755" s="54">
        <f>STOCK[[#This Row],[Costo total]]*1.5</f>
        <v>3.15</v>
      </c>
      <c r="V755" s="54">
        <v>6</v>
      </c>
      <c r="W755" s="54">
        <f>STOCK[[#This Row],[Precio Final]]-STOCK[[#This Row],[Costo total]]</f>
        <v>3.9</v>
      </c>
      <c r="X755" s="54">
        <f>STOCK[[#This Row],[Ganancia Unitaria]]*STOCK[[#This Row],[Salidas]]</f>
        <v>3.9</v>
      </c>
      <c r="Y755" s="54" t="s">
        <v>1472</v>
      </c>
      <c r="AA755" s="54">
        <f>STOCK[[#This Row],[Costo total]]*STOCK[[#This Row],[Entradas]]</f>
        <v>2.1</v>
      </c>
      <c r="AB755" s="54">
        <f>STOCK[[#This Row],[Stock Actual]]*STOCK[[#This Row],[Costo total]]</f>
        <v>0</v>
      </c>
    </row>
    <row r="756" s="53" customFormat="1" ht="50" customHeight="1" spans="1:28">
      <c r="A756" s="53" t="s">
        <v>1509</v>
      </c>
      <c r="B756" s="66"/>
      <c r="C756" s="53" t="s">
        <v>32</v>
      </c>
      <c r="D756" s="53" t="s">
        <v>152</v>
      </c>
      <c r="E756" s="67" t="s">
        <v>1510</v>
      </c>
      <c r="F756" s="53" t="s">
        <v>211</v>
      </c>
      <c r="G756" s="53" t="s">
        <v>36</v>
      </c>
      <c r="H756" s="53">
        <f>STOCK[[#This Row],[Precio Final]]</f>
        <v>30</v>
      </c>
      <c r="I756" s="53">
        <f>STOCK[[#This Row],[Precio Venta Ideal (x1.5)]]</f>
        <v>29.25</v>
      </c>
      <c r="J756" s="71">
        <v>1</v>
      </c>
      <c r="K756" s="71">
        <f>SUMIFS(VENTAS[Cantidad],VENTAS[Código del producto Vendido],STOCK[[#This Row],[Code]])</f>
        <v>1</v>
      </c>
      <c r="L756" s="71">
        <f>STOCK[[#This Row],[Entradas]]-STOCK[[#This Row],[Salidas]]</f>
        <v>0</v>
      </c>
      <c r="M756" s="53">
        <f>STOCK[[#This Row],[Precio Final]]*10%</f>
        <v>3</v>
      </c>
      <c r="N756" s="53">
        <v>0</v>
      </c>
      <c r="O756" s="53">
        <v>0</v>
      </c>
      <c r="P756" s="53">
        <v>15</v>
      </c>
      <c r="Q756" s="71">
        <v>0</v>
      </c>
      <c r="R756" s="53">
        <v>0</v>
      </c>
      <c r="S756" s="53">
        <v>1.5</v>
      </c>
      <c r="T756" s="53">
        <f>STOCK[[#This Row],[Costo Unitario (USD)]]+STOCK[[#This Row],[Costo Envío (USD)]]+STOCK[[#This Row],[Comisión 10%]]</f>
        <v>19.5</v>
      </c>
      <c r="U756" s="53">
        <f>STOCK[[#This Row],[Costo total]]*1.5</f>
        <v>29.25</v>
      </c>
      <c r="V756" s="53">
        <v>30</v>
      </c>
      <c r="W756" s="53">
        <f>STOCK[[#This Row],[Precio Final]]-STOCK[[#This Row],[Costo total]]</f>
        <v>10.5</v>
      </c>
      <c r="X756" s="53">
        <f>STOCK[[#This Row],[Ganancia Unitaria]]*STOCK[[#This Row],[Salidas]]</f>
        <v>10.5</v>
      </c>
      <c r="Y756" s="53" t="s">
        <v>1472</v>
      </c>
      <c r="AA756" s="53">
        <f>STOCK[[#This Row],[Costo total]]*STOCK[[#This Row],[Entradas]]</f>
        <v>19.5</v>
      </c>
      <c r="AB756" s="53">
        <f>STOCK[[#This Row],[Stock Actual]]*STOCK[[#This Row],[Costo total]]</f>
        <v>0</v>
      </c>
    </row>
    <row r="757" s="54" customFormat="1" ht="50" customHeight="1" spans="1:28">
      <c r="A757" s="54" t="s">
        <v>1511</v>
      </c>
      <c r="B757" s="66"/>
      <c r="C757" s="54" t="s">
        <v>32</v>
      </c>
      <c r="D757" s="54" t="s">
        <v>152</v>
      </c>
      <c r="E757" s="68" t="s">
        <v>1510</v>
      </c>
      <c r="F757" s="54" t="s">
        <v>62</v>
      </c>
      <c r="G757" s="54" t="s">
        <v>36</v>
      </c>
      <c r="H757" s="54">
        <f>STOCK[[#This Row],[Precio Final]]</f>
        <v>30</v>
      </c>
      <c r="I757" s="54">
        <f>STOCK[[#This Row],[Precio Venta Ideal (x1.5)]]</f>
        <v>29.25</v>
      </c>
      <c r="J757" s="72">
        <v>1</v>
      </c>
      <c r="K757" s="72">
        <f>SUMIFS(VENTAS[Cantidad],VENTAS[Código del producto Vendido],STOCK[[#This Row],[Code]])</f>
        <v>1</v>
      </c>
      <c r="L757" s="72">
        <f>STOCK[[#This Row],[Entradas]]-STOCK[[#This Row],[Salidas]]</f>
        <v>0</v>
      </c>
      <c r="M757" s="54">
        <f>STOCK[[#This Row],[Precio Final]]*10%</f>
        <v>3</v>
      </c>
      <c r="N757" s="54">
        <v>0</v>
      </c>
      <c r="O757" s="54">
        <v>0</v>
      </c>
      <c r="P757" s="54">
        <v>15</v>
      </c>
      <c r="Q757" s="72">
        <v>0</v>
      </c>
      <c r="R757" s="54">
        <v>0</v>
      </c>
      <c r="S757" s="54">
        <v>1.5</v>
      </c>
      <c r="T757" s="53">
        <f>STOCK[[#This Row],[Costo Unitario (USD)]]+STOCK[[#This Row],[Costo Envío (USD)]]+STOCK[[#This Row],[Comisión 10%]]</f>
        <v>19.5</v>
      </c>
      <c r="U757" s="54">
        <f>STOCK[[#This Row],[Costo total]]*1.5</f>
        <v>29.25</v>
      </c>
      <c r="V757" s="54">
        <v>30</v>
      </c>
      <c r="W757" s="54">
        <f>STOCK[[#This Row],[Precio Final]]-STOCK[[#This Row],[Costo total]]</f>
        <v>10.5</v>
      </c>
      <c r="X757" s="54">
        <f>STOCK[[#This Row],[Ganancia Unitaria]]*STOCK[[#This Row],[Salidas]]</f>
        <v>10.5</v>
      </c>
      <c r="Y757" s="54" t="s">
        <v>1472</v>
      </c>
      <c r="AA757" s="54">
        <f>STOCK[[#This Row],[Costo total]]*STOCK[[#This Row],[Entradas]]</f>
        <v>19.5</v>
      </c>
      <c r="AB757" s="54">
        <f>STOCK[[#This Row],[Stock Actual]]*STOCK[[#This Row],[Costo total]]</f>
        <v>0</v>
      </c>
    </row>
    <row r="758" s="53" customFormat="1" ht="50" customHeight="1" spans="1:28">
      <c r="A758" s="53" t="s">
        <v>1512</v>
      </c>
      <c r="B758" s="66"/>
      <c r="C758" s="53" t="s">
        <v>32</v>
      </c>
      <c r="D758" s="53" t="s">
        <v>152</v>
      </c>
      <c r="E758" s="67" t="s">
        <v>1513</v>
      </c>
      <c r="F758" s="53" t="s">
        <v>49</v>
      </c>
      <c r="G758" s="53" t="s">
        <v>36</v>
      </c>
      <c r="H758" s="53">
        <f>STOCK[[#This Row],[Precio Final]]</f>
        <v>30</v>
      </c>
      <c r="I758" s="53">
        <f>STOCK[[#This Row],[Precio Venta Ideal (x1.5)]]</f>
        <v>29.25</v>
      </c>
      <c r="J758" s="71">
        <v>1</v>
      </c>
      <c r="K758" s="71">
        <f>SUMIFS(VENTAS[Cantidad],VENTAS[Código del producto Vendido],STOCK[[#This Row],[Code]])</f>
        <v>1</v>
      </c>
      <c r="L758" s="71">
        <f>STOCK[[#This Row],[Entradas]]-STOCK[[#This Row],[Salidas]]</f>
        <v>0</v>
      </c>
      <c r="M758" s="53">
        <f>STOCK[[#This Row],[Precio Final]]*10%</f>
        <v>3</v>
      </c>
      <c r="N758" s="53">
        <v>0</v>
      </c>
      <c r="O758" s="53">
        <v>0</v>
      </c>
      <c r="P758" s="53">
        <v>15</v>
      </c>
      <c r="Q758" s="71">
        <v>0</v>
      </c>
      <c r="R758" s="53">
        <v>0</v>
      </c>
      <c r="S758" s="53">
        <v>1.5</v>
      </c>
      <c r="T758" s="53">
        <f>STOCK[[#This Row],[Costo Unitario (USD)]]+STOCK[[#This Row],[Costo Envío (USD)]]+STOCK[[#This Row],[Comisión 10%]]</f>
        <v>19.5</v>
      </c>
      <c r="U758" s="53">
        <f>STOCK[[#This Row],[Costo total]]*1.5</f>
        <v>29.25</v>
      </c>
      <c r="V758" s="53">
        <v>30</v>
      </c>
      <c r="W758" s="53">
        <f>STOCK[[#This Row],[Precio Final]]-STOCK[[#This Row],[Costo total]]</f>
        <v>10.5</v>
      </c>
      <c r="X758" s="53">
        <f>STOCK[[#This Row],[Ganancia Unitaria]]*STOCK[[#This Row],[Salidas]]</f>
        <v>10.5</v>
      </c>
      <c r="Y758" s="53" t="s">
        <v>1472</v>
      </c>
      <c r="AA758" s="53">
        <f>STOCK[[#This Row],[Costo total]]*STOCK[[#This Row],[Entradas]]</f>
        <v>19.5</v>
      </c>
      <c r="AB758" s="53">
        <f>STOCK[[#This Row],[Stock Actual]]*STOCK[[#This Row],[Costo total]]</f>
        <v>0</v>
      </c>
    </row>
    <row r="759" s="54" customFormat="1" ht="50" customHeight="1" spans="1:28">
      <c r="A759" s="54" t="s">
        <v>1514</v>
      </c>
      <c r="B759" s="66"/>
      <c r="C759" s="54" t="s">
        <v>32</v>
      </c>
      <c r="D759" s="54" t="s">
        <v>174</v>
      </c>
      <c r="E759" s="68" t="s">
        <v>1515</v>
      </c>
      <c r="F759" s="54" t="s">
        <v>1516</v>
      </c>
      <c r="G759" s="54" t="s">
        <v>36</v>
      </c>
      <c r="H759" s="54">
        <f>STOCK[[#This Row],[Precio Final]]</f>
        <v>19</v>
      </c>
      <c r="I759" s="54">
        <f>STOCK[[#This Row],[Precio Venta Ideal (x1.5)]]</f>
        <v>24.9</v>
      </c>
      <c r="J759" s="72">
        <v>0</v>
      </c>
      <c r="K759" s="72">
        <f>SUMIFS(VENTAS[Cantidad],VENTAS[Código del producto Vendido],STOCK[[#This Row],[Code]])</f>
        <v>0</v>
      </c>
      <c r="L759" s="72">
        <f>STOCK[[#This Row],[Entradas]]-STOCK[[#This Row],[Salidas]]</f>
        <v>0</v>
      </c>
      <c r="M759" s="54">
        <f>STOCK[[#This Row],[Precio Final]]*10%</f>
        <v>1.9</v>
      </c>
      <c r="N759" s="54">
        <v>0</v>
      </c>
      <c r="O759" s="54">
        <v>0</v>
      </c>
      <c r="P759" s="54">
        <v>13.2</v>
      </c>
      <c r="Q759" s="72">
        <v>0</v>
      </c>
      <c r="R759" s="54">
        <v>0</v>
      </c>
      <c r="S759" s="54">
        <v>1.5</v>
      </c>
      <c r="T759" s="53">
        <f>STOCK[[#This Row],[Costo Unitario (USD)]]+STOCK[[#This Row],[Costo Envío (USD)]]+STOCK[[#This Row],[Comisión 10%]]</f>
        <v>16.6</v>
      </c>
      <c r="U759" s="54">
        <f>STOCK[[#This Row],[Costo total]]*1.5</f>
        <v>24.9</v>
      </c>
      <c r="V759" s="54">
        <v>19</v>
      </c>
      <c r="W759" s="54">
        <f>STOCK[[#This Row],[Precio Final]]-STOCK[[#This Row],[Costo total]]</f>
        <v>2.4</v>
      </c>
      <c r="X759" s="54">
        <f>STOCK[[#This Row],[Ganancia Unitaria]]*STOCK[[#This Row],[Salidas]]</f>
        <v>0</v>
      </c>
      <c r="Y759" s="54" t="s">
        <v>1472</v>
      </c>
      <c r="AA759" s="54">
        <f>STOCK[[#This Row],[Costo total]]*STOCK[[#This Row],[Entradas]]</f>
        <v>0</v>
      </c>
      <c r="AB759" s="54">
        <f>STOCK[[#This Row],[Stock Actual]]*STOCK[[#This Row],[Costo total]]</f>
        <v>0</v>
      </c>
    </row>
    <row r="760" s="53" customFormat="1" ht="50" customHeight="1" spans="1:28">
      <c r="A760" s="53" t="s">
        <v>1517</v>
      </c>
      <c r="B760" s="66"/>
      <c r="C760" s="53" t="s">
        <v>32</v>
      </c>
      <c r="D760" s="53" t="s">
        <v>152</v>
      </c>
      <c r="E760" s="67" t="s">
        <v>1474</v>
      </c>
      <c r="F760" s="53" t="s">
        <v>62</v>
      </c>
      <c r="G760" s="53" t="s">
        <v>36</v>
      </c>
      <c r="H760" s="53">
        <f>STOCK[[#This Row],[Precio Final]]</f>
        <v>12</v>
      </c>
      <c r="I760" s="53">
        <f>STOCK[[#This Row],[Precio Venta Ideal (x1.5)]]</f>
        <v>13.05</v>
      </c>
      <c r="J760" s="71">
        <v>0</v>
      </c>
      <c r="K760" s="71">
        <f>SUMIFS(VENTAS[Cantidad],VENTAS[Código del producto Vendido],STOCK[[#This Row],[Code]])</f>
        <v>0</v>
      </c>
      <c r="L760" s="71">
        <f>STOCK[[#This Row],[Entradas]]-STOCK[[#This Row],[Salidas]]</f>
        <v>0</v>
      </c>
      <c r="M760" s="53">
        <f>STOCK[[#This Row],[Precio Final]]*10%</f>
        <v>1.2</v>
      </c>
      <c r="N760" s="53">
        <v>0</v>
      </c>
      <c r="O760" s="53">
        <v>0</v>
      </c>
      <c r="P760" s="53">
        <v>6</v>
      </c>
      <c r="Q760" s="71">
        <v>0</v>
      </c>
      <c r="R760" s="53">
        <v>0</v>
      </c>
      <c r="S760" s="53">
        <v>1.5</v>
      </c>
      <c r="T760" s="53">
        <f>STOCK[[#This Row],[Costo Unitario (USD)]]+STOCK[[#This Row],[Costo Envío (USD)]]+STOCK[[#This Row],[Comisión 10%]]</f>
        <v>8.7</v>
      </c>
      <c r="U760" s="53">
        <f>STOCK[[#This Row],[Costo total]]*1.5</f>
        <v>13.05</v>
      </c>
      <c r="V760" s="53">
        <v>12</v>
      </c>
      <c r="W760" s="53">
        <f>STOCK[[#This Row],[Precio Final]]-STOCK[[#This Row],[Costo total]]</f>
        <v>3.3</v>
      </c>
      <c r="X760" s="53">
        <f>STOCK[[#This Row],[Ganancia Unitaria]]*STOCK[[#This Row],[Salidas]]</f>
        <v>0</v>
      </c>
      <c r="Y760" s="53" t="s">
        <v>1472</v>
      </c>
      <c r="AA760" s="53">
        <f>STOCK[[#This Row],[Costo total]]*STOCK[[#This Row],[Entradas]]</f>
        <v>0</v>
      </c>
      <c r="AB760" s="53">
        <f>STOCK[[#This Row],[Stock Actual]]*STOCK[[#This Row],[Costo total]]</f>
        <v>0</v>
      </c>
    </row>
    <row r="761" s="54" customFormat="1" ht="50" customHeight="1" spans="1:28">
      <c r="A761" s="54" t="s">
        <v>1518</v>
      </c>
      <c r="B761" s="66"/>
      <c r="C761" s="54" t="s">
        <v>32</v>
      </c>
      <c r="D761" s="54" t="s">
        <v>174</v>
      </c>
      <c r="E761" s="68" t="s">
        <v>1519</v>
      </c>
      <c r="F761" s="54" t="s">
        <v>40</v>
      </c>
      <c r="G761" s="54" t="s">
        <v>36</v>
      </c>
      <c r="H761" s="54">
        <f>STOCK[[#This Row],[Precio Final]]</f>
        <v>25</v>
      </c>
      <c r="I761" s="54">
        <f>STOCK[[#This Row],[Precio Venta Ideal (x1.5)]]</f>
        <v>24</v>
      </c>
      <c r="J761" s="72">
        <v>2</v>
      </c>
      <c r="K761" s="72">
        <f>SUMIFS(VENTAS[Cantidad],VENTAS[Código del producto Vendido],STOCK[[#This Row],[Code]])</f>
        <v>2</v>
      </c>
      <c r="L761" s="72">
        <f>STOCK[[#This Row],[Entradas]]-STOCK[[#This Row],[Salidas]]</f>
        <v>0</v>
      </c>
      <c r="M761" s="54">
        <f>STOCK[[#This Row],[Precio Final]]*10%</f>
        <v>2.5</v>
      </c>
      <c r="N761" s="54">
        <v>0</v>
      </c>
      <c r="O761" s="54">
        <v>0</v>
      </c>
      <c r="P761" s="54">
        <v>12</v>
      </c>
      <c r="Q761" s="72">
        <v>0</v>
      </c>
      <c r="R761" s="54">
        <v>0</v>
      </c>
      <c r="S761" s="54">
        <v>1.5</v>
      </c>
      <c r="T761" s="53">
        <f>STOCK[[#This Row],[Costo Unitario (USD)]]+STOCK[[#This Row],[Costo Envío (USD)]]+STOCK[[#This Row],[Comisión 10%]]</f>
        <v>16</v>
      </c>
      <c r="U761" s="54">
        <f>STOCK[[#This Row],[Costo total]]*1.5</f>
        <v>24</v>
      </c>
      <c r="V761" s="54">
        <v>25</v>
      </c>
      <c r="W761" s="54">
        <f>STOCK[[#This Row],[Precio Final]]-STOCK[[#This Row],[Costo total]]</f>
        <v>9</v>
      </c>
      <c r="X761" s="54">
        <f>STOCK[[#This Row],[Ganancia Unitaria]]*STOCK[[#This Row],[Salidas]]</f>
        <v>18</v>
      </c>
      <c r="Y761" s="54" t="s">
        <v>1472</v>
      </c>
      <c r="AA761" s="54">
        <f>STOCK[[#This Row],[Costo total]]*STOCK[[#This Row],[Entradas]]</f>
        <v>32</v>
      </c>
      <c r="AB761" s="54">
        <f>STOCK[[#This Row],[Stock Actual]]*STOCK[[#This Row],[Costo total]]</f>
        <v>0</v>
      </c>
    </row>
    <row r="762" s="53" customFormat="1" ht="50" customHeight="1" spans="1:28">
      <c r="A762" s="53" t="s">
        <v>1520</v>
      </c>
      <c r="B762" s="66"/>
      <c r="C762" s="53" t="s">
        <v>32</v>
      </c>
      <c r="D762" s="53" t="s">
        <v>174</v>
      </c>
      <c r="E762" s="67" t="s">
        <v>1519</v>
      </c>
      <c r="F762" s="53" t="s">
        <v>49</v>
      </c>
      <c r="G762" s="53" t="s">
        <v>36</v>
      </c>
      <c r="H762" s="53">
        <f>STOCK[[#This Row],[Precio Final]]</f>
        <v>25</v>
      </c>
      <c r="I762" s="53">
        <f>STOCK[[#This Row],[Precio Venta Ideal (x1.5)]]</f>
        <v>24</v>
      </c>
      <c r="J762" s="71">
        <v>1</v>
      </c>
      <c r="K762" s="71">
        <f>SUMIFS(VENTAS[Cantidad],VENTAS[Código del producto Vendido],STOCK[[#This Row],[Code]])</f>
        <v>1</v>
      </c>
      <c r="L762" s="71">
        <f>STOCK[[#This Row],[Entradas]]-STOCK[[#This Row],[Salidas]]</f>
        <v>0</v>
      </c>
      <c r="M762" s="53">
        <f>STOCK[[#This Row],[Precio Final]]*10%</f>
        <v>2.5</v>
      </c>
      <c r="N762" s="53">
        <v>0</v>
      </c>
      <c r="O762" s="53">
        <v>0</v>
      </c>
      <c r="P762" s="53">
        <v>12</v>
      </c>
      <c r="Q762" s="71">
        <v>0</v>
      </c>
      <c r="R762" s="53">
        <v>0</v>
      </c>
      <c r="S762" s="53">
        <v>1.5</v>
      </c>
      <c r="T762" s="53">
        <f>STOCK[[#This Row],[Costo Unitario (USD)]]+STOCK[[#This Row],[Costo Envío (USD)]]+STOCK[[#This Row],[Comisión 10%]]</f>
        <v>16</v>
      </c>
      <c r="U762" s="53">
        <f>STOCK[[#This Row],[Costo total]]*1.5</f>
        <v>24</v>
      </c>
      <c r="V762" s="53">
        <v>25</v>
      </c>
      <c r="W762" s="53">
        <f>STOCK[[#This Row],[Precio Final]]-STOCK[[#This Row],[Costo total]]</f>
        <v>9</v>
      </c>
      <c r="X762" s="53">
        <f>STOCK[[#This Row],[Ganancia Unitaria]]*STOCK[[#This Row],[Salidas]]</f>
        <v>9</v>
      </c>
      <c r="Y762" s="53" t="s">
        <v>1472</v>
      </c>
      <c r="AA762" s="53">
        <f>STOCK[[#This Row],[Costo total]]*STOCK[[#This Row],[Entradas]]</f>
        <v>16</v>
      </c>
      <c r="AB762" s="53">
        <f>STOCK[[#This Row],[Stock Actual]]*STOCK[[#This Row],[Costo total]]</f>
        <v>0</v>
      </c>
    </row>
    <row r="763" s="54" customFormat="1" ht="50" customHeight="1" spans="1:28">
      <c r="A763" s="54" t="s">
        <v>1521</v>
      </c>
      <c r="B763" s="66"/>
      <c r="C763" s="54" t="s">
        <v>32</v>
      </c>
      <c r="D763" s="54" t="s">
        <v>152</v>
      </c>
      <c r="E763" s="68" t="s">
        <v>1522</v>
      </c>
      <c r="F763" s="54" t="s">
        <v>40</v>
      </c>
      <c r="G763" s="54" t="s">
        <v>36</v>
      </c>
      <c r="H763" s="54">
        <f>STOCK[[#This Row],[Precio Final]]</f>
        <v>35</v>
      </c>
      <c r="I763" s="54">
        <f>STOCK[[#This Row],[Precio Venta Ideal (x1.5)]]</f>
        <v>33</v>
      </c>
      <c r="J763" s="72">
        <v>1</v>
      </c>
      <c r="K763" s="72">
        <f>SUMIFS(VENTAS[Cantidad],VENTAS[Código del producto Vendido],STOCK[[#This Row],[Code]])</f>
        <v>1</v>
      </c>
      <c r="L763" s="72">
        <f>STOCK[[#This Row],[Entradas]]-STOCK[[#This Row],[Salidas]]</f>
        <v>0</v>
      </c>
      <c r="M763" s="54">
        <f>STOCK[[#This Row],[Precio Final]]*10%</f>
        <v>3.5</v>
      </c>
      <c r="N763" s="54">
        <v>0</v>
      </c>
      <c r="O763" s="54">
        <v>0</v>
      </c>
      <c r="P763" s="54">
        <v>17</v>
      </c>
      <c r="Q763" s="72">
        <v>0</v>
      </c>
      <c r="R763" s="54">
        <v>0</v>
      </c>
      <c r="S763" s="54">
        <v>1.5</v>
      </c>
      <c r="T763" s="53">
        <f>STOCK[[#This Row],[Costo Unitario (USD)]]+STOCK[[#This Row],[Costo Envío (USD)]]+STOCK[[#This Row],[Comisión 10%]]</f>
        <v>22</v>
      </c>
      <c r="U763" s="54">
        <f>STOCK[[#This Row],[Costo total]]*1.5</f>
        <v>33</v>
      </c>
      <c r="V763" s="54">
        <v>35</v>
      </c>
      <c r="W763" s="54">
        <f>STOCK[[#This Row],[Precio Final]]-STOCK[[#This Row],[Costo total]]</f>
        <v>13</v>
      </c>
      <c r="X763" s="54">
        <f>STOCK[[#This Row],[Ganancia Unitaria]]*STOCK[[#This Row],[Salidas]]</f>
        <v>13</v>
      </c>
      <c r="Y763" s="54" t="s">
        <v>1472</v>
      </c>
      <c r="AA763" s="54">
        <f>STOCK[[#This Row],[Costo total]]*STOCK[[#This Row],[Entradas]]</f>
        <v>22</v>
      </c>
      <c r="AB763" s="54">
        <f>STOCK[[#This Row],[Stock Actual]]*STOCK[[#This Row],[Costo total]]</f>
        <v>0</v>
      </c>
    </row>
    <row r="764" s="53" customFormat="1" ht="50" customHeight="1" spans="1:28">
      <c r="A764" s="53" t="s">
        <v>1523</v>
      </c>
      <c r="B764" s="66"/>
      <c r="C764" s="53" t="s">
        <v>32</v>
      </c>
      <c r="D764" s="53" t="s">
        <v>515</v>
      </c>
      <c r="E764" s="67" t="s">
        <v>1496</v>
      </c>
      <c r="F764" s="53" t="s">
        <v>759</v>
      </c>
      <c r="G764" s="53" t="s">
        <v>36</v>
      </c>
      <c r="H764" s="53">
        <f>STOCK[[#This Row],[Precio Final]]</f>
        <v>35</v>
      </c>
      <c r="I764" s="53">
        <f>STOCK[[#This Row],[Precio Venta Ideal (x1.5)]]</f>
        <v>39.75</v>
      </c>
      <c r="J764" s="71">
        <v>2</v>
      </c>
      <c r="K764" s="71">
        <f>SUMIFS(VENTAS[Cantidad],VENTAS[Código del producto Vendido],STOCK[[#This Row],[Code]])</f>
        <v>2</v>
      </c>
      <c r="L764" s="71">
        <f>STOCK[[#This Row],[Entradas]]-STOCK[[#This Row],[Salidas]]</f>
        <v>0</v>
      </c>
      <c r="M764" s="53">
        <f>STOCK[[#This Row],[Precio Final]]*10%</f>
        <v>3.5</v>
      </c>
      <c r="N764" s="53">
        <v>0</v>
      </c>
      <c r="O764" s="53">
        <v>0</v>
      </c>
      <c r="P764" s="53">
        <v>21.5</v>
      </c>
      <c r="Q764" s="71">
        <v>0</v>
      </c>
      <c r="R764" s="53">
        <v>0</v>
      </c>
      <c r="S764" s="53">
        <v>1.5</v>
      </c>
      <c r="T764" s="53">
        <f>STOCK[[#This Row],[Costo Unitario (USD)]]+STOCK[[#This Row],[Costo Envío (USD)]]+STOCK[[#This Row],[Comisión 10%]]</f>
        <v>26.5</v>
      </c>
      <c r="U764" s="53">
        <f>STOCK[[#This Row],[Costo total]]*1.5</f>
        <v>39.75</v>
      </c>
      <c r="V764" s="53">
        <v>35</v>
      </c>
      <c r="W764" s="53">
        <f>STOCK[[#This Row],[Precio Final]]-STOCK[[#This Row],[Costo total]]</f>
        <v>8.5</v>
      </c>
      <c r="X764" s="53">
        <f>STOCK[[#This Row],[Ganancia Unitaria]]*STOCK[[#This Row],[Salidas]]</f>
        <v>17</v>
      </c>
      <c r="Y764" s="53" t="s">
        <v>1472</v>
      </c>
      <c r="AA764" s="53">
        <f>STOCK[[#This Row],[Costo total]]*STOCK[[#This Row],[Entradas]]</f>
        <v>53</v>
      </c>
      <c r="AB764" s="53">
        <f>STOCK[[#This Row],[Stock Actual]]*STOCK[[#This Row],[Costo total]]</f>
        <v>0</v>
      </c>
    </row>
    <row r="765" s="54" customFormat="1" ht="50" customHeight="1" spans="1:28">
      <c r="A765" s="54" t="s">
        <v>1524</v>
      </c>
      <c r="B765" s="66"/>
      <c r="C765" s="54" t="s">
        <v>32</v>
      </c>
      <c r="D765" s="54" t="s">
        <v>515</v>
      </c>
      <c r="E765" s="68" t="s">
        <v>1525</v>
      </c>
      <c r="F765" s="54" t="s">
        <v>764</v>
      </c>
      <c r="G765" s="54" t="s">
        <v>36</v>
      </c>
      <c r="H765" s="54">
        <f>STOCK[[#This Row],[Precio Final]]</f>
        <v>45</v>
      </c>
      <c r="I765" s="54">
        <f>STOCK[[#This Row],[Precio Venta Ideal (x1.5)]]</f>
        <v>53.25</v>
      </c>
      <c r="J765" s="72">
        <v>1</v>
      </c>
      <c r="K765" s="72">
        <f>SUMIFS(VENTAS[Cantidad],VENTAS[Código del producto Vendido],STOCK[[#This Row],[Code]])</f>
        <v>1</v>
      </c>
      <c r="L765" s="72">
        <f>STOCK[[#This Row],[Entradas]]-STOCK[[#This Row],[Salidas]]</f>
        <v>0</v>
      </c>
      <c r="M765" s="54">
        <f>STOCK[[#This Row],[Precio Final]]*10%</f>
        <v>4.5</v>
      </c>
      <c r="N765" s="54">
        <v>0</v>
      </c>
      <c r="O765" s="54">
        <v>0</v>
      </c>
      <c r="P765" s="54">
        <v>26</v>
      </c>
      <c r="Q765" s="72">
        <v>0</v>
      </c>
      <c r="R765" s="54">
        <v>0</v>
      </c>
      <c r="S765" s="54">
        <v>5</v>
      </c>
      <c r="T765" s="53">
        <f>STOCK[[#This Row],[Costo Unitario (USD)]]+STOCK[[#This Row],[Costo Envío (USD)]]+STOCK[[#This Row],[Comisión 10%]]</f>
        <v>35.5</v>
      </c>
      <c r="U765" s="54">
        <f>STOCK[[#This Row],[Costo total]]*1.5</f>
        <v>53.25</v>
      </c>
      <c r="V765" s="54">
        <v>45</v>
      </c>
      <c r="W765" s="54">
        <f>STOCK[[#This Row],[Precio Final]]-STOCK[[#This Row],[Costo total]]</f>
        <v>9.5</v>
      </c>
      <c r="X765" s="54">
        <f>STOCK[[#This Row],[Ganancia Unitaria]]*STOCK[[#This Row],[Salidas]]</f>
        <v>9.5</v>
      </c>
      <c r="Y765" s="54" t="s">
        <v>1472</v>
      </c>
      <c r="AA765" s="54">
        <f>STOCK[[#This Row],[Costo total]]*STOCK[[#This Row],[Entradas]]</f>
        <v>35.5</v>
      </c>
      <c r="AB765" s="54">
        <f>STOCK[[#This Row],[Stock Actual]]*STOCK[[#This Row],[Costo total]]</f>
        <v>0</v>
      </c>
    </row>
    <row r="766" s="53" customFormat="1" ht="50" customHeight="1" spans="1:28">
      <c r="A766" s="53" t="s">
        <v>1526</v>
      </c>
      <c r="B766" s="66"/>
      <c r="C766" s="53" t="s">
        <v>32</v>
      </c>
      <c r="D766" s="53" t="s">
        <v>44</v>
      </c>
      <c r="E766" s="67" t="s">
        <v>1476</v>
      </c>
      <c r="F766" s="53" t="s">
        <v>211</v>
      </c>
      <c r="G766" s="53" t="s">
        <v>36</v>
      </c>
      <c r="H766" s="53">
        <f>STOCK[[#This Row],[Precio Final]]</f>
        <v>20</v>
      </c>
      <c r="I766" s="53">
        <f>STOCK[[#This Row],[Precio Venta Ideal (x1.5)]]</f>
        <v>30.75</v>
      </c>
      <c r="J766" s="71">
        <v>0</v>
      </c>
      <c r="K766" s="71">
        <f>SUMIFS(VENTAS[Cantidad],VENTAS[Código del producto Vendido],STOCK[[#This Row],[Code]])</f>
        <v>0</v>
      </c>
      <c r="L766" s="71">
        <f>STOCK[[#This Row],[Entradas]]-STOCK[[#This Row],[Salidas]]</f>
        <v>0</v>
      </c>
      <c r="M766" s="53">
        <f>STOCK[[#This Row],[Precio Final]]*10%</f>
        <v>2</v>
      </c>
      <c r="N766" s="53">
        <v>0</v>
      </c>
      <c r="O766" s="53">
        <v>0</v>
      </c>
      <c r="P766" s="53">
        <v>17</v>
      </c>
      <c r="Q766" s="71">
        <v>0</v>
      </c>
      <c r="R766" s="53">
        <v>0</v>
      </c>
      <c r="S766" s="53">
        <v>1.5</v>
      </c>
      <c r="T766" s="53">
        <f>STOCK[[#This Row],[Costo Unitario (USD)]]+STOCK[[#This Row],[Costo Envío (USD)]]+STOCK[[#This Row],[Comisión 10%]]</f>
        <v>20.5</v>
      </c>
      <c r="U766" s="53">
        <f>STOCK[[#This Row],[Costo total]]*1.5</f>
        <v>30.75</v>
      </c>
      <c r="V766" s="53">
        <v>20</v>
      </c>
      <c r="W766" s="53">
        <f>STOCK[[#This Row],[Precio Final]]-STOCK[[#This Row],[Costo total]]</f>
        <v>-0.5</v>
      </c>
      <c r="X766" s="53">
        <f>STOCK[[#This Row],[Ganancia Unitaria]]*STOCK[[#This Row],[Salidas]]</f>
        <v>0</v>
      </c>
      <c r="Y766" s="53" t="s">
        <v>1472</v>
      </c>
      <c r="AA766" s="53">
        <f>STOCK[[#This Row],[Costo total]]*STOCK[[#This Row],[Entradas]]</f>
        <v>0</v>
      </c>
      <c r="AB766" s="53">
        <f>STOCK[[#This Row],[Stock Actual]]*STOCK[[#This Row],[Costo total]]</f>
        <v>0</v>
      </c>
    </row>
    <row r="767" s="54" customFormat="1" ht="50" customHeight="1" spans="1:28">
      <c r="A767" s="54" t="s">
        <v>1527</v>
      </c>
      <c r="B767" s="66"/>
      <c r="C767" s="54" t="s">
        <v>32</v>
      </c>
      <c r="D767" s="54" t="s">
        <v>174</v>
      </c>
      <c r="E767" s="68" t="s">
        <v>1528</v>
      </c>
      <c r="F767" s="54" t="s">
        <v>40</v>
      </c>
      <c r="G767" s="54" t="s">
        <v>36</v>
      </c>
      <c r="H767" s="54">
        <f>STOCK[[#This Row],[Precio Final]]</f>
        <v>22</v>
      </c>
      <c r="I767" s="54">
        <f>STOCK[[#This Row],[Precio Venta Ideal (x1.5)]]</f>
        <v>25.35</v>
      </c>
      <c r="J767" s="72">
        <v>2</v>
      </c>
      <c r="K767" s="72">
        <f>SUMIFS(VENTAS[Cantidad],VENTAS[Código del producto Vendido],STOCK[[#This Row],[Code]])</f>
        <v>2</v>
      </c>
      <c r="L767" s="72">
        <f>STOCK[[#This Row],[Entradas]]-STOCK[[#This Row],[Salidas]]</f>
        <v>0</v>
      </c>
      <c r="M767" s="54">
        <f>STOCK[[#This Row],[Precio Final]]*10%</f>
        <v>2.2</v>
      </c>
      <c r="N767" s="54">
        <v>0</v>
      </c>
      <c r="O767" s="54">
        <v>0</v>
      </c>
      <c r="P767" s="54">
        <v>13.2</v>
      </c>
      <c r="Q767" s="72">
        <v>0</v>
      </c>
      <c r="R767" s="54">
        <v>0</v>
      </c>
      <c r="S767" s="54">
        <v>1.5</v>
      </c>
      <c r="T767" s="53">
        <f>STOCK[[#This Row],[Costo Unitario (USD)]]+STOCK[[#This Row],[Costo Envío (USD)]]+STOCK[[#This Row],[Comisión 10%]]</f>
        <v>16.9</v>
      </c>
      <c r="U767" s="54">
        <f>STOCK[[#This Row],[Costo total]]*1.5</f>
        <v>25.35</v>
      </c>
      <c r="V767" s="54">
        <v>22</v>
      </c>
      <c r="W767" s="54">
        <f>STOCK[[#This Row],[Precio Final]]-STOCK[[#This Row],[Costo total]]</f>
        <v>5.1</v>
      </c>
      <c r="X767" s="54">
        <f>STOCK[[#This Row],[Ganancia Unitaria]]*STOCK[[#This Row],[Salidas]]</f>
        <v>10.2</v>
      </c>
      <c r="Y767" s="54" t="s">
        <v>1472</v>
      </c>
      <c r="AA767" s="54">
        <f>STOCK[[#This Row],[Costo total]]*STOCK[[#This Row],[Entradas]]</f>
        <v>33.8</v>
      </c>
      <c r="AB767" s="54">
        <f>STOCK[[#This Row],[Stock Actual]]*STOCK[[#This Row],[Costo total]]</f>
        <v>0</v>
      </c>
    </row>
    <row r="768" s="53" customFormat="1" ht="50" customHeight="1" spans="1:28">
      <c r="A768" s="53" t="s">
        <v>1529</v>
      </c>
      <c r="B768" s="66"/>
      <c r="C768" s="53" t="s">
        <v>32</v>
      </c>
      <c r="D768" s="53" t="s">
        <v>152</v>
      </c>
      <c r="E768" s="67" t="s">
        <v>1486</v>
      </c>
      <c r="F768" s="53" t="s">
        <v>766</v>
      </c>
      <c r="G768" s="53" t="s">
        <v>36</v>
      </c>
      <c r="H768" s="53">
        <f>STOCK[[#This Row],[Precio Final]]</f>
        <v>35</v>
      </c>
      <c r="I768" s="53">
        <f>STOCK[[#This Row],[Precio Venta Ideal (x1.5)]]</f>
        <v>35.25</v>
      </c>
      <c r="J768" s="71">
        <v>1</v>
      </c>
      <c r="K768" s="71">
        <f>SUMIFS(VENTAS[Cantidad],VENTAS[Código del producto Vendido],STOCK[[#This Row],[Code]])</f>
        <v>1</v>
      </c>
      <c r="L768" s="71">
        <f>STOCK[[#This Row],[Entradas]]-STOCK[[#This Row],[Salidas]]</f>
        <v>0</v>
      </c>
      <c r="M768" s="53">
        <f>STOCK[[#This Row],[Precio Final]]*10%</f>
        <v>3.5</v>
      </c>
      <c r="N768" s="53">
        <v>0</v>
      </c>
      <c r="O768" s="53">
        <v>0</v>
      </c>
      <c r="P768" s="53">
        <v>18.5</v>
      </c>
      <c r="Q768" s="71">
        <v>0</v>
      </c>
      <c r="R768" s="53">
        <v>0</v>
      </c>
      <c r="S768" s="53">
        <v>1.5</v>
      </c>
      <c r="T768" s="53">
        <f>STOCK[[#This Row],[Costo Unitario (USD)]]+STOCK[[#This Row],[Costo Envío (USD)]]+STOCK[[#This Row],[Comisión 10%]]</f>
        <v>23.5</v>
      </c>
      <c r="U768" s="53">
        <f>STOCK[[#This Row],[Costo total]]*1.5</f>
        <v>35.25</v>
      </c>
      <c r="V768" s="53">
        <v>35</v>
      </c>
      <c r="W768" s="53">
        <f>STOCK[[#This Row],[Precio Final]]-STOCK[[#This Row],[Costo total]]</f>
        <v>11.5</v>
      </c>
      <c r="X768" s="53">
        <f>STOCK[[#This Row],[Ganancia Unitaria]]*STOCK[[#This Row],[Salidas]]</f>
        <v>11.5</v>
      </c>
      <c r="Y768" s="53" t="s">
        <v>1472</v>
      </c>
      <c r="AA768" s="53">
        <f>STOCK[[#This Row],[Costo total]]*STOCK[[#This Row],[Entradas]]</f>
        <v>23.5</v>
      </c>
      <c r="AB768" s="53">
        <f>STOCK[[#This Row],[Stock Actual]]*STOCK[[#This Row],[Costo total]]</f>
        <v>0</v>
      </c>
    </row>
    <row r="769" s="54" customFormat="1" ht="50" customHeight="1" spans="1:28">
      <c r="A769" s="54" t="s">
        <v>1530</v>
      </c>
      <c r="B769" s="66"/>
      <c r="C769" s="54" t="s">
        <v>32</v>
      </c>
      <c r="D769" s="54" t="s">
        <v>152</v>
      </c>
      <c r="E769" s="68" t="s">
        <v>1488</v>
      </c>
      <c r="F769" s="54" t="s">
        <v>40</v>
      </c>
      <c r="G769" s="54" t="s">
        <v>36</v>
      </c>
      <c r="H769" s="54">
        <f>STOCK[[#This Row],[Precio Final]]</f>
        <v>30</v>
      </c>
      <c r="I769" s="54">
        <f>STOCK[[#This Row],[Precio Venta Ideal (x1.5)]]</f>
        <v>30.15</v>
      </c>
      <c r="J769" s="72">
        <v>0</v>
      </c>
      <c r="K769" s="72">
        <f>SUMIFS(VENTAS[Cantidad],VENTAS[Código del producto Vendido],STOCK[[#This Row],[Code]])</f>
        <v>0</v>
      </c>
      <c r="L769" s="72">
        <f>STOCK[[#This Row],[Entradas]]-STOCK[[#This Row],[Salidas]]</f>
        <v>0</v>
      </c>
      <c r="M769" s="54">
        <f>STOCK[[#This Row],[Precio Final]]*10%</f>
        <v>3</v>
      </c>
      <c r="N769" s="54">
        <v>0</v>
      </c>
      <c r="O769" s="54">
        <v>0</v>
      </c>
      <c r="P769" s="54">
        <v>15.6</v>
      </c>
      <c r="Q769" s="72">
        <v>0</v>
      </c>
      <c r="R769" s="54">
        <v>0</v>
      </c>
      <c r="S769" s="54">
        <v>1.5</v>
      </c>
      <c r="T769" s="53">
        <f>STOCK[[#This Row],[Costo Unitario (USD)]]+STOCK[[#This Row],[Costo Envío (USD)]]+STOCK[[#This Row],[Comisión 10%]]</f>
        <v>20.1</v>
      </c>
      <c r="U769" s="54">
        <f>STOCK[[#This Row],[Costo total]]*1.5</f>
        <v>30.15</v>
      </c>
      <c r="V769" s="54">
        <v>30</v>
      </c>
      <c r="W769" s="54">
        <f>STOCK[[#This Row],[Precio Final]]-STOCK[[#This Row],[Costo total]]</f>
        <v>9.9</v>
      </c>
      <c r="X769" s="54">
        <f>STOCK[[#This Row],[Ganancia Unitaria]]*STOCK[[#This Row],[Salidas]]</f>
        <v>0</v>
      </c>
      <c r="Y769" s="54" t="s">
        <v>1472</v>
      </c>
      <c r="AA769" s="54">
        <f>STOCK[[#This Row],[Costo total]]*STOCK[[#This Row],[Entradas]]</f>
        <v>0</v>
      </c>
      <c r="AB769" s="54">
        <f>STOCK[[#This Row],[Stock Actual]]*STOCK[[#This Row],[Costo total]]</f>
        <v>0</v>
      </c>
    </row>
    <row r="770" s="53" customFormat="1" ht="50" customHeight="1" spans="1:28">
      <c r="A770" s="53" t="s">
        <v>1531</v>
      </c>
      <c r="B770" s="66"/>
      <c r="C770" s="53" t="s">
        <v>32</v>
      </c>
      <c r="D770" s="53" t="s">
        <v>1532</v>
      </c>
      <c r="E770" s="67" t="s">
        <v>1533</v>
      </c>
      <c r="F770" s="53" t="s">
        <v>1534</v>
      </c>
      <c r="G770" s="53" t="s">
        <v>36</v>
      </c>
      <c r="H770" s="53">
        <f>STOCK[[#This Row],[Precio Final]]</f>
        <v>22</v>
      </c>
      <c r="I770" s="53">
        <f>STOCK[[#This Row],[Precio Venta Ideal (x1.5)]]</f>
        <v>25.05</v>
      </c>
      <c r="J770" s="71">
        <v>2</v>
      </c>
      <c r="K770" s="71">
        <f>SUMIFS(VENTAS[Cantidad],VENTAS[Código del producto Vendido],STOCK[[#This Row],[Code]])</f>
        <v>2</v>
      </c>
      <c r="L770" s="71">
        <f>STOCK[[#This Row],[Entradas]]-STOCK[[#This Row],[Salidas]]</f>
        <v>0</v>
      </c>
      <c r="M770" s="53">
        <f>STOCK[[#This Row],[Precio Final]]*10%</f>
        <v>2.2</v>
      </c>
      <c r="N770" s="53">
        <v>0</v>
      </c>
      <c r="O770" s="53">
        <v>0</v>
      </c>
      <c r="P770" s="53">
        <v>13</v>
      </c>
      <c r="Q770" s="71">
        <v>0</v>
      </c>
      <c r="R770" s="53">
        <v>0</v>
      </c>
      <c r="S770" s="53">
        <v>1.5</v>
      </c>
      <c r="T770" s="53">
        <f>STOCK[[#This Row],[Costo Unitario (USD)]]+STOCK[[#This Row],[Costo Envío (USD)]]+STOCK[[#This Row],[Comisión 10%]]</f>
        <v>16.7</v>
      </c>
      <c r="U770" s="53">
        <f>STOCK[[#This Row],[Costo total]]*1.5</f>
        <v>25.05</v>
      </c>
      <c r="V770" s="53">
        <v>22</v>
      </c>
      <c r="W770" s="53">
        <f>STOCK[[#This Row],[Precio Final]]-STOCK[[#This Row],[Costo total]]</f>
        <v>5.3</v>
      </c>
      <c r="X770" s="53">
        <f>STOCK[[#This Row],[Ganancia Unitaria]]*STOCK[[#This Row],[Salidas]]</f>
        <v>10.6</v>
      </c>
      <c r="Y770" s="53" t="s">
        <v>1472</v>
      </c>
      <c r="AA770" s="53">
        <f>STOCK[[#This Row],[Costo total]]*STOCK[[#This Row],[Entradas]]</f>
        <v>33.4</v>
      </c>
      <c r="AB770" s="53">
        <f>STOCK[[#This Row],[Stock Actual]]*STOCK[[#This Row],[Costo total]]</f>
        <v>0</v>
      </c>
    </row>
    <row r="771" s="54" customFormat="1" ht="50" customHeight="1" spans="1:28">
      <c r="A771" s="54" t="s">
        <v>1535</v>
      </c>
      <c r="B771" s="66"/>
      <c r="C771" s="54" t="s">
        <v>32</v>
      </c>
      <c r="D771" s="54" t="s">
        <v>174</v>
      </c>
      <c r="E771" s="68" t="s">
        <v>1536</v>
      </c>
      <c r="F771" s="54" t="s">
        <v>49</v>
      </c>
      <c r="G771" s="54" t="s">
        <v>36</v>
      </c>
      <c r="H771" s="54">
        <f>STOCK[[#This Row],[Precio Final]]</f>
        <v>22</v>
      </c>
      <c r="I771" s="54">
        <f>STOCK[[#This Row],[Precio Venta Ideal (x1.5)]]</f>
        <v>25.35</v>
      </c>
      <c r="J771" s="72">
        <v>1</v>
      </c>
      <c r="K771" s="72">
        <f>SUMIFS(VENTAS[Cantidad],VENTAS[Código del producto Vendido],STOCK[[#This Row],[Code]])</f>
        <v>1</v>
      </c>
      <c r="L771" s="72">
        <f>STOCK[[#This Row],[Entradas]]-STOCK[[#This Row],[Salidas]]</f>
        <v>0</v>
      </c>
      <c r="M771" s="54">
        <f>STOCK[[#This Row],[Precio Final]]*10%</f>
        <v>2.2</v>
      </c>
      <c r="N771" s="54">
        <v>0</v>
      </c>
      <c r="O771" s="54">
        <v>0</v>
      </c>
      <c r="P771" s="54">
        <v>13.2</v>
      </c>
      <c r="Q771" s="72">
        <v>0</v>
      </c>
      <c r="R771" s="54">
        <v>0</v>
      </c>
      <c r="S771" s="54">
        <v>1.5</v>
      </c>
      <c r="T771" s="53">
        <f>STOCK[[#This Row],[Costo Unitario (USD)]]+STOCK[[#This Row],[Costo Envío (USD)]]+STOCK[[#This Row],[Comisión 10%]]</f>
        <v>16.9</v>
      </c>
      <c r="U771" s="54">
        <f>STOCK[[#This Row],[Costo total]]*1.5</f>
        <v>25.35</v>
      </c>
      <c r="V771" s="54">
        <v>22</v>
      </c>
      <c r="W771" s="54">
        <f>STOCK[[#This Row],[Precio Final]]-STOCK[[#This Row],[Costo total]]</f>
        <v>5.1</v>
      </c>
      <c r="X771" s="54">
        <f>STOCK[[#This Row],[Ganancia Unitaria]]*STOCK[[#This Row],[Salidas]]</f>
        <v>5.1</v>
      </c>
      <c r="Y771" s="54" t="s">
        <v>1472</v>
      </c>
      <c r="AA771" s="54">
        <f>STOCK[[#This Row],[Costo total]]*STOCK[[#This Row],[Entradas]]</f>
        <v>16.9</v>
      </c>
      <c r="AB771" s="54">
        <f>STOCK[[#This Row],[Stock Actual]]*STOCK[[#This Row],[Costo total]]</f>
        <v>0</v>
      </c>
    </row>
    <row r="772" s="53" customFormat="1" ht="50" customHeight="1" spans="1:28">
      <c r="A772" s="53" t="s">
        <v>1537</v>
      </c>
      <c r="B772" s="66"/>
      <c r="C772" s="53" t="s">
        <v>32</v>
      </c>
      <c r="D772" s="53" t="s">
        <v>515</v>
      </c>
      <c r="E772" s="67" t="s">
        <v>1483</v>
      </c>
      <c r="F772" s="53" t="s">
        <v>40</v>
      </c>
      <c r="G772" s="53" t="s">
        <v>36</v>
      </c>
      <c r="H772" s="53">
        <f>STOCK[[#This Row],[Precio Final]]</f>
        <v>50</v>
      </c>
      <c r="I772" s="53">
        <f>STOCK[[#This Row],[Precio Venta Ideal (x1.5)]]</f>
        <v>47.25</v>
      </c>
      <c r="J772" s="71">
        <v>0</v>
      </c>
      <c r="K772" s="71">
        <f>SUMIFS(VENTAS[Cantidad],VENTAS[Código del producto Vendido],STOCK[[#This Row],[Code]])</f>
        <v>0</v>
      </c>
      <c r="L772" s="71">
        <f>STOCK[[#This Row],[Entradas]]-STOCK[[#This Row],[Salidas]]</f>
        <v>0</v>
      </c>
      <c r="M772" s="53">
        <f>STOCK[[#This Row],[Precio Final]]*10%</f>
        <v>5</v>
      </c>
      <c r="N772" s="53">
        <v>0</v>
      </c>
      <c r="O772" s="53">
        <v>0</v>
      </c>
      <c r="P772" s="53">
        <v>25</v>
      </c>
      <c r="Q772" s="71">
        <v>0</v>
      </c>
      <c r="R772" s="53">
        <v>0</v>
      </c>
      <c r="S772" s="53">
        <v>1.5</v>
      </c>
      <c r="T772" s="53">
        <f>STOCK[[#This Row],[Costo Unitario (USD)]]+STOCK[[#This Row],[Costo Envío (USD)]]+STOCK[[#This Row],[Comisión 10%]]</f>
        <v>31.5</v>
      </c>
      <c r="U772" s="53">
        <f>STOCK[[#This Row],[Costo total]]*1.5</f>
        <v>47.25</v>
      </c>
      <c r="V772" s="53">
        <v>50</v>
      </c>
      <c r="W772" s="53">
        <f>STOCK[[#This Row],[Precio Final]]-STOCK[[#This Row],[Costo total]]</f>
        <v>18.5</v>
      </c>
      <c r="X772" s="53">
        <f>STOCK[[#This Row],[Ganancia Unitaria]]*STOCK[[#This Row],[Salidas]]</f>
        <v>0</v>
      </c>
      <c r="Y772" s="53" t="s">
        <v>1472</v>
      </c>
      <c r="AA772" s="53">
        <f>STOCK[[#This Row],[Costo total]]*STOCK[[#This Row],[Entradas]]</f>
        <v>0</v>
      </c>
      <c r="AB772" s="53">
        <f>STOCK[[#This Row],[Stock Actual]]*STOCK[[#This Row],[Costo total]]</f>
        <v>0</v>
      </c>
    </row>
    <row r="773" s="54" customFormat="1" ht="50" customHeight="1" spans="1:28">
      <c r="A773" s="54" t="s">
        <v>1538</v>
      </c>
      <c r="B773" s="66"/>
      <c r="C773" s="54" t="s">
        <v>32</v>
      </c>
      <c r="D773" s="54" t="s">
        <v>152</v>
      </c>
      <c r="E773" s="68" t="s">
        <v>1539</v>
      </c>
      <c r="F773" s="54" t="s">
        <v>40</v>
      </c>
      <c r="G773" s="54" t="s">
        <v>36</v>
      </c>
      <c r="H773" s="54">
        <f>STOCK[[#This Row],[Precio Final]]</f>
        <v>25</v>
      </c>
      <c r="I773" s="54">
        <f>STOCK[[#This Row],[Precio Venta Ideal (x1.5)]]</f>
        <v>26.25</v>
      </c>
      <c r="J773" s="72">
        <v>1</v>
      </c>
      <c r="K773" s="72">
        <f>SUMIFS(VENTAS[Cantidad],VENTAS[Código del producto Vendido],STOCK[[#This Row],[Code]])</f>
        <v>1</v>
      </c>
      <c r="L773" s="72">
        <f>STOCK[[#This Row],[Entradas]]-STOCK[[#This Row],[Salidas]]</f>
        <v>0</v>
      </c>
      <c r="M773" s="54">
        <f>STOCK[[#This Row],[Precio Final]]*10%</f>
        <v>2.5</v>
      </c>
      <c r="N773" s="54">
        <v>0</v>
      </c>
      <c r="O773" s="54">
        <v>0</v>
      </c>
      <c r="P773" s="54">
        <v>13.5</v>
      </c>
      <c r="Q773" s="72">
        <v>0</v>
      </c>
      <c r="R773" s="54">
        <v>0</v>
      </c>
      <c r="S773" s="54">
        <v>1.5</v>
      </c>
      <c r="T773" s="53">
        <f>STOCK[[#This Row],[Costo Unitario (USD)]]+STOCK[[#This Row],[Costo Envío (USD)]]+STOCK[[#This Row],[Comisión 10%]]</f>
        <v>17.5</v>
      </c>
      <c r="U773" s="54">
        <f>STOCK[[#This Row],[Costo total]]*1.5</f>
        <v>26.25</v>
      </c>
      <c r="V773" s="54">
        <v>25</v>
      </c>
      <c r="W773" s="54">
        <f>STOCK[[#This Row],[Precio Final]]-STOCK[[#This Row],[Costo total]]</f>
        <v>7.5</v>
      </c>
      <c r="X773" s="54">
        <f>STOCK[[#This Row],[Ganancia Unitaria]]*STOCK[[#This Row],[Salidas]]</f>
        <v>7.5</v>
      </c>
      <c r="Y773" s="54" t="s">
        <v>1472</v>
      </c>
      <c r="AA773" s="54">
        <f>STOCK[[#This Row],[Costo total]]*STOCK[[#This Row],[Entradas]]</f>
        <v>17.5</v>
      </c>
      <c r="AB773" s="54">
        <f>STOCK[[#This Row],[Stock Actual]]*STOCK[[#This Row],[Costo total]]</f>
        <v>0</v>
      </c>
    </row>
    <row r="774" s="53" customFormat="1" ht="50" customHeight="1" spans="1:28">
      <c r="A774" s="53" t="s">
        <v>1540</v>
      </c>
      <c r="B774" s="66"/>
      <c r="C774" s="53" t="s">
        <v>32</v>
      </c>
      <c r="D774" s="53" t="s">
        <v>351</v>
      </c>
      <c r="E774" s="67" t="s">
        <v>1541</v>
      </c>
      <c r="F774" s="53" t="s">
        <v>394</v>
      </c>
      <c r="G774" s="53" t="s">
        <v>36</v>
      </c>
      <c r="H774" s="53">
        <f>STOCK[[#This Row],[Precio Final]]</f>
        <v>5</v>
      </c>
      <c r="I774" s="53">
        <f>STOCK[[#This Row],[Precio Venta Ideal (x1.5)]]</f>
        <v>7.35</v>
      </c>
      <c r="J774" s="71">
        <v>1</v>
      </c>
      <c r="K774" s="71">
        <f>SUMIFS(VENTAS[Cantidad],VENTAS[Código del producto Vendido],STOCK[[#This Row],[Code]])</f>
        <v>1</v>
      </c>
      <c r="L774" s="71">
        <f>STOCK[[#This Row],[Entradas]]-STOCK[[#This Row],[Salidas]]</f>
        <v>0</v>
      </c>
      <c r="M774" s="53">
        <f>STOCK[[#This Row],[Precio Final]]*10%</f>
        <v>0.5</v>
      </c>
      <c r="N774" s="53">
        <v>0</v>
      </c>
      <c r="O774" s="53">
        <v>0</v>
      </c>
      <c r="P774" s="53">
        <v>2.9</v>
      </c>
      <c r="Q774" s="71">
        <v>0</v>
      </c>
      <c r="R774" s="53">
        <v>0</v>
      </c>
      <c r="S774" s="53">
        <v>1.5</v>
      </c>
      <c r="T774" s="53">
        <f>STOCK[[#This Row],[Costo Unitario (USD)]]+STOCK[[#This Row],[Costo Envío (USD)]]+STOCK[[#This Row],[Comisión 10%]]</f>
        <v>4.9</v>
      </c>
      <c r="U774" s="53">
        <f>STOCK[[#This Row],[Costo total]]*1.5</f>
        <v>7.35</v>
      </c>
      <c r="V774" s="53">
        <v>5</v>
      </c>
      <c r="W774" s="53">
        <f>STOCK[[#This Row],[Precio Final]]-STOCK[[#This Row],[Costo total]]</f>
        <v>0.0999999999999996</v>
      </c>
      <c r="X774" s="53">
        <f>STOCK[[#This Row],[Ganancia Unitaria]]*STOCK[[#This Row],[Salidas]]</f>
        <v>0.0999999999999996</v>
      </c>
      <c r="Y774" s="53" t="s">
        <v>1472</v>
      </c>
      <c r="AA774" s="53">
        <f>STOCK[[#This Row],[Costo total]]*STOCK[[#This Row],[Entradas]]</f>
        <v>4.9</v>
      </c>
      <c r="AB774" s="53">
        <f>STOCK[[#This Row],[Stock Actual]]*STOCK[[#This Row],[Costo total]]</f>
        <v>0</v>
      </c>
    </row>
    <row r="775" s="54" customFormat="1" ht="50" customHeight="1" spans="1:28">
      <c r="A775" s="54" t="s">
        <v>1542</v>
      </c>
      <c r="B775" s="66"/>
      <c r="C775" s="54" t="s">
        <v>32</v>
      </c>
      <c r="D775" s="54" t="s">
        <v>351</v>
      </c>
      <c r="E775" s="68" t="s">
        <v>1543</v>
      </c>
      <c r="F775" s="54" t="s">
        <v>394</v>
      </c>
      <c r="G775" s="54" t="s">
        <v>36</v>
      </c>
      <c r="H775" s="54">
        <f>STOCK[[#This Row],[Precio Final]]</f>
        <v>8</v>
      </c>
      <c r="I775" s="54">
        <f>STOCK[[#This Row],[Precio Venta Ideal (x1.5)]]</f>
        <v>10.5</v>
      </c>
      <c r="J775" s="72">
        <v>1</v>
      </c>
      <c r="K775" s="72">
        <f>SUMIFS(VENTAS[Cantidad],VENTAS[Código del producto Vendido],STOCK[[#This Row],[Code]])</f>
        <v>1</v>
      </c>
      <c r="L775" s="72">
        <f>STOCK[[#This Row],[Entradas]]-STOCK[[#This Row],[Salidas]]</f>
        <v>0</v>
      </c>
      <c r="M775" s="54">
        <f>STOCK[[#This Row],[Precio Final]]*10%</f>
        <v>0.8</v>
      </c>
      <c r="N775" s="54">
        <v>0</v>
      </c>
      <c r="O775" s="54">
        <v>0</v>
      </c>
      <c r="P775" s="54">
        <v>4.7</v>
      </c>
      <c r="Q775" s="72">
        <v>0</v>
      </c>
      <c r="R775" s="54">
        <v>0</v>
      </c>
      <c r="S775" s="54">
        <v>1.5</v>
      </c>
      <c r="T775" s="53">
        <f>STOCK[[#This Row],[Costo Unitario (USD)]]+STOCK[[#This Row],[Costo Envío (USD)]]+STOCK[[#This Row],[Comisión 10%]]</f>
        <v>7</v>
      </c>
      <c r="U775" s="54">
        <f>STOCK[[#This Row],[Costo total]]*1.5</f>
        <v>10.5</v>
      </c>
      <c r="V775" s="54">
        <v>8</v>
      </c>
      <c r="W775" s="54">
        <f>STOCK[[#This Row],[Precio Final]]-STOCK[[#This Row],[Costo total]]</f>
        <v>1</v>
      </c>
      <c r="X775" s="54">
        <f>STOCK[[#This Row],[Ganancia Unitaria]]*STOCK[[#This Row],[Salidas]]</f>
        <v>1</v>
      </c>
      <c r="Y775" s="54" t="s">
        <v>1472</v>
      </c>
      <c r="AA775" s="54">
        <f>STOCK[[#This Row],[Costo total]]*STOCK[[#This Row],[Entradas]]</f>
        <v>7</v>
      </c>
      <c r="AB775" s="54">
        <f>STOCK[[#This Row],[Stock Actual]]*STOCK[[#This Row],[Costo total]]</f>
        <v>0</v>
      </c>
    </row>
    <row r="776" s="53" customFormat="1" ht="50" customHeight="1" spans="1:28">
      <c r="A776" s="53" t="s">
        <v>1544</v>
      </c>
      <c r="B776" s="66"/>
      <c r="C776" s="53" t="s">
        <v>32</v>
      </c>
      <c r="D776" s="53" t="s">
        <v>351</v>
      </c>
      <c r="E776" s="67" t="s">
        <v>1545</v>
      </c>
      <c r="F776" s="53" t="s">
        <v>394</v>
      </c>
      <c r="G776" s="53" t="s">
        <v>36</v>
      </c>
      <c r="H776" s="53">
        <f>STOCK[[#This Row],[Precio Final]]</f>
        <v>5</v>
      </c>
      <c r="I776" s="53">
        <f>STOCK[[#This Row],[Precio Venta Ideal (x1.5)]]</f>
        <v>7.08</v>
      </c>
      <c r="J776" s="71">
        <v>1</v>
      </c>
      <c r="K776" s="71">
        <f>SUMIFS(VENTAS[Cantidad],VENTAS[Código del producto Vendido],STOCK[[#This Row],[Code]])</f>
        <v>1</v>
      </c>
      <c r="L776" s="71">
        <f>STOCK[[#This Row],[Entradas]]-STOCK[[#This Row],[Salidas]]</f>
        <v>0</v>
      </c>
      <c r="M776" s="53">
        <f>STOCK[[#This Row],[Precio Final]]*10%</f>
        <v>0.5</v>
      </c>
      <c r="N776" s="53">
        <v>0</v>
      </c>
      <c r="O776" s="53">
        <v>0</v>
      </c>
      <c r="P776" s="53">
        <v>2.72</v>
      </c>
      <c r="Q776" s="71">
        <v>0</v>
      </c>
      <c r="R776" s="53">
        <v>0</v>
      </c>
      <c r="S776" s="53">
        <v>1.5</v>
      </c>
      <c r="T776" s="53">
        <f>STOCK[[#This Row],[Costo Unitario (USD)]]+STOCK[[#This Row],[Costo Envío (USD)]]+STOCK[[#This Row],[Comisión 10%]]</f>
        <v>4.72</v>
      </c>
      <c r="U776" s="53">
        <f>STOCK[[#This Row],[Costo total]]*1.5</f>
        <v>7.08</v>
      </c>
      <c r="V776" s="53">
        <v>5</v>
      </c>
      <c r="W776" s="53">
        <f>STOCK[[#This Row],[Precio Final]]-STOCK[[#This Row],[Costo total]]</f>
        <v>0.279999999999999</v>
      </c>
      <c r="X776" s="53">
        <f>STOCK[[#This Row],[Ganancia Unitaria]]*STOCK[[#This Row],[Salidas]]</f>
        <v>0.279999999999999</v>
      </c>
      <c r="Y776" s="53" t="s">
        <v>1472</v>
      </c>
      <c r="AA776" s="53">
        <f>STOCK[[#This Row],[Costo total]]*STOCK[[#This Row],[Entradas]]</f>
        <v>4.72</v>
      </c>
      <c r="AB776" s="53">
        <f>STOCK[[#This Row],[Stock Actual]]*STOCK[[#This Row],[Costo total]]</f>
        <v>0</v>
      </c>
    </row>
    <row r="777" s="54" customFormat="1" ht="50" customHeight="1" spans="1:28">
      <c r="A777" s="54" t="s">
        <v>1546</v>
      </c>
      <c r="B777" s="66"/>
      <c r="C777" s="54" t="s">
        <v>32</v>
      </c>
      <c r="D777" s="54" t="s">
        <v>1547</v>
      </c>
      <c r="E777" s="68" t="s">
        <v>1541</v>
      </c>
      <c r="F777" s="54" t="s">
        <v>394</v>
      </c>
      <c r="G777" s="54" t="s">
        <v>36</v>
      </c>
      <c r="H777" s="54">
        <f>STOCK[[#This Row],[Precio Final]]</f>
        <v>7</v>
      </c>
      <c r="I777" s="54">
        <f>STOCK[[#This Row],[Precio Venta Ideal (x1.5)]]</f>
        <v>10.125</v>
      </c>
      <c r="J777" s="72">
        <v>1</v>
      </c>
      <c r="K777" s="72">
        <f>SUMIFS(VENTAS[Cantidad],VENTAS[Código del producto Vendido],STOCK[[#This Row],[Code]])</f>
        <v>1</v>
      </c>
      <c r="L777" s="72">
        <f>STOCK[[#This Row],[Entradas]]-STOCK[[#This Row],[Salidas]]</f>
        <v>0</v>
      </c>
      <c r="M777" s="54">
        <f>STOCK[[#This Row],[Precio Final]]*10%</f>
        <v>0.7</v>
      </c>
      <c r="N777" s="54">
        <v>0</v>
      </c>
      <c r="O777" s="54">
        <v>0</v>
      </c>
      <c r="P777" s="54">
        <v>4.55</v>
      </c>
      <c r="Q777" s="72">
        <v>0</v>
      </c>
      <c r="R777" s="54">
        <v>0</v>
      </c>
      <c r="S777" s="54">
        <v>1.5</v>
      </c>
      <c r="T777" s="53">
        <f>STOCK[[#This Row],[Costo Unitario (USD)]]+STOCK[[#This Row],[Costo Envío (USD)]]+STOCK[[#This Row],[Comisión 10%]]</f>
        <v>6.75</v>
      </c>
      <c r="U777" s="54">
        <f>STOCK[[#This Row],[Costo total]]*1.5</f>
        <v>10.125</v>
      </c>
      <c r="V777" s="54">
        <v>7</v>
      </c>
      <c r="W777" s="54">
        <f>STOCK[[#This Row],[Precio Final]]-STOCK[[#This Row],[Costo total]]</f>
        <v>0.25</v>
      </c>
      <c r="X777" s="54">
        <f>STOCK[[#This Row],[Ganancia Unitaria]]*STOCK[[#This Row],[Salidas]]</f>
        <v>0.25</v>
      </c>
      <c r="Y777" s="54" t="s">
        <v>1472</v>
      </c>
      <c r="AA777" s="54">
        <f>STOCK[[#This Row],[Costo total]]*STOCK[[#This Row],[Entradas]]</f>
        <v>6.75</v>
      </c>
      <c r="AB777" s="54">
        <f>STOCK[[#This Row],[Stock Actual]]*STOCK[[#This Row],[Costo total]]</f>
        <v>0</v>
      </c>
    </row>
    <row r="778" s="53" customFormat="1" ht="50" customHeight="1" spans="1:28">
      <c r="A778" s="53" t="s">
        <v>1548</v>
      </c>
      <c r="B778" s="66"/>
      <c r="C778" s="53" t="s">
        <v>32</v>
      </c>
      <c r="D778" s="53" t="s">
        <v>1549</v>
      </c>
      <c r="E778" s="67" t="s">
        <v>1550</v>
      </c>
      <c r="F778" s="53" t="s">
        <v>766</v>
      </c>
      <c r="G778" s="53" t="s">
        <v>36</v>
      </c>
      <c r="H778" s="53">
        <f>STOCK[[#This Row],[Precio Final]]</f>
        <v>3</v>
      </c>
      <c r="I778" s="53">
        <f>STOCK[[#This Row],[Precio Venta Ideal (x1.5)]]</f>
        <v>5.325</v>
      </c>
      <c r="J778" s="71">
        <v>1</v>
      </c>
      <c r="K778" s="71">
        <f>SUMIFS(VENTAS[Cantidad],VENTAS[Código del producto Vendido],STOCK[[#This Row],[Code]])</f>
        <v>1</v>
      </c>
      <c r="L778" s="71">
        <f>STOCK[[#This Row],[Entradas]]-STOCK[[#This Row],[Salidas]]</f>
        <v>0</v>
      </c>
      <c r="M778" s="53">
        <f>STOCK[[#This Row],[Precio Final]]*10%</f>
        <v>0.3</v>
      </c>
      <c r="N778" s="53">
        <v>0</v>
      </c>
      <c r="O778" s="53">
        <v>0</v>
      </c>
      <c r="P778" s="53">
        <v>1.75</v>
      </c>
      <c r="Q778" s="71">
        <v>0</v>
      </c>
      <c r="R778" s="53">
        <v>0</v>
      </c>
      <c r="S778" s="53">
        <v>1.5</v>
      </c>
      <c r="T778" s="53">
        <f>STOCK[[#This Row],[Costo Unitario (USD)]]+STOCK[[#This Row],[Costo Envío (USD)]]+STOCK[[#This Row],[Comisión 10%]]</f>
        <v>3.55</v>
      </c>
      <c r="U778" s="53">
        <f>STOCK[[#This Row],[Costo total]]*1.5</f>
        <v>5.325</v>
      </c>
      <c r="V778" s="53">
        <v>3</v>
      </c>
      <c r="W778" s="53">
        <f>STOCK[[#This Row],[Precio Final]]-STOCK[[#This Row],[Costo total]]</f>
        <v>-0.55</v>
      </c>
      <c r="X778" s="53">
        <f>STOCK[[#This Row],[Ganancia Unitaria]]*STOCK[[#This Row],[Salidas]]</f>
        <v>-0.55</v>
      </c>
      <c r="Y778" s="53" t="s">
        <v>1472</v>
      </c>
      <c r="AA778" s="53">
        <f>STOCK[[#This Row],[Costo total]]*STOCK[[#This Row],[Entradas]]</f>
        <v>3.55</v>
      </c>
      <c r="AB778" s="53">
        <f>STOCK[[#This Row],[Stock Actual]]*STOCK[[#This Row],[Costo total]]</f>
        <v>0</v>
      </c>
    </row>
    <row r="779" s="54" customFormat="1" ht="50" customHeight="1" spans="1:28">
      <c r="A779" s="54" t="s">
        <v>1551</v>
      </c>
      <c r="B779" s="66"/>
      <c r="C779" s="54" t="s">
        <v>32</v>
      </c>
      <c r="D779" s="54" t="s">
        <v>1549</v>
      </c>
      <c r="E779" s="68" t="s">
        <v>1552</v>
      </c>
      <c r="F779" s="54" t="s">
        <v>540</v>
      </c>
      <c r="G779" s="54" t="s">
        <v>36</v>
      </c>
      <c r="H779" s="54">
        <f>STOCK[[#This Row],[Precio Final]]</f>
        <v>3</v>
      </c>
      <c r="I779" s="54">
        <f>STOCK[[#This Row],[Precio Venta Ideal (x1.5)]]</f>
        <v>5.7</v>
      </c>
      <c r="J779" s="72">
        <v>1</v>
      </c>
      <c r="K779" s="72">
        <f>SUMIFS(VENTAS[Cantidad],VENTAS[Código del producto Vendido],STOCK[[#This Row],[Code]])</f>
        <v>1</v>
      </c>
      <c r="L779" s="72">
        <f>STOCK[[#This Row],[Entradas]]-STOCK[[#This Row],[Salidas]]</f>
        <v>0</v>
      </c>
      <c r="M779" s="54">
        <f>STOCK[[#This Row],[Precio Final]]*10%</f>
        <v>0.3</v>
      </c>
      <c r="N779" s="54">
        <v>0</v>
      </c>
      <c r="O779" s="54">
        <v>0</v>
      </c>
      <c r="P779" s="54">
        <v>2</v>
      </c>
      <c r="Q779" s="72">
        <v>0</v>
      </c>
      <c r="R779" s="54">
        <v>0</v>
      </c>
      <c r="S779" s="54">
        <v>1.5</v>
      </c>
      <c r="T779" s="53">
        <f>STOCK[[#This Row],[Costo Unitario (USD)]]+STOCK[[#This Row],[Costo Envío (USD)]]+STOCK[[#This Row],[Comisión 10%]]</f>
        <v>3.8</v>
      </c>
      <c r="U779" s="54">
        <f>STOCK[[#This Row],[Costo total]]*1.5</f>
        <v>5.7</v>
      </c>
      <c r="V779" s="54">
        <v>3</v>
      </c>
      <c r="W779" s="54">
        <f>STOCK[[#This Row],[Precio Final]]-STOCK[[#This Row],[Costo total]]</f>
        <v>-0.8</v>
      </c>
      <c r="X779" s="54">
        <f>STOCK[[#This Row],[Ganancia Unitaria]]*STOCK[[#This Row],[Salidas]]</f>
        <v>-0.8</v>
      </c>
      <c r="Y779" s="54" t="s">
        <v>1472</v>
      </c>
      <c r="AA779" s="54">
        <f>STOCK[[#This Row],[Costo total]]*STOCK[[#This Row],[Entradas]]</f>
        <v>3.8</v>
      </c>
      <c r="AB779" s="54">
        <f>STOCK[[#This Row],[Stock Actual]]*STOCK[[#This Row],[Costo total]]</f>
        <v>0</v>
      </c>
    </row>
    <row r="780" s="53" customFormat="1" ht="50" customHeight="1" spans="1:28">
      <c r="A780" s="53" t="s">
        <v>1553</v>
      </c>
      <c r="B780" s="66"/>
      <c r="C780" s="53" t="s">
        <v>32</v>
      </c>
      <c r="D780" s="53" t="s">
        <v>1554</v>
      </c>
      <c r="E780" s="67" t="s">
        <v>1555</v>
      </c>
      <c r="F780" s="53" t="s">
        <v>540</v>
      </c>
      <c r="G780" s="53" t="s">
        <v>704</v>
      </c>
      <c r="H780" s="53">
        <f>STOCK[[#This Row],[Precio Final]]</f>
        <v>55</v>
      </c>
      <c r="I780" s="53">
        <f>STOCK[[#This Row],[Precio Venta Ideal (x1.5)]]</f>
        <v>68.25</v>
      </c>
      <c r="J780" s="71">
        <v>1</v>
      </c>
      <c r="K780" s="71">
        <f>SUMIFS(VENTAS[Cantidad],VENTAS[Código del producto Vendido],STOCK[[#This Row],[Code]])</f>
        <v>1</v>
      </c>
      <c r="L780" s="71">
        <f>STOCK[[#This Row],[Entradas]]-STOCK[[#This Row],[Salidas]]</f>
        <v>0</v>
      </c>
      <c r="M780" s="53">
        <f>STOCK[[#This Row],[Precio Final]]*10%</f>
        <v>5.5</v>
      </c>
      <c r="N780" s="53">
        <v>0</v>
      </c>
      <c r="O780" s="53">
        <v>0</v>
      </c>
      <c r="P780" s="53">
        <v>32</v>
      </c>
      <c r="Q780" s="71">
        <v>0</v>
      </c>
      <c r="R780" s="53">
        <v>0</v>
      </c>
      <c r="S780" s="53">
        <v>8</v>
      </c>
      <c r="T780" s="53">
        <f>STOCK[[#This Row],[Costo Unitario (USD)]]+STOCK[[#This Row],[Costo Envío (USD)]]+STOCK[[#This Row],[Comisión 10%]]</f>
        <v>45.5</v>
      </c>
      <c r="U780" s="53">
        <f>STOCK[[#This Row],[Costo total]]*1.5</f>
        <v>68.25</v>
      </c>
      <c r="V780" s="53">
        <v>55</v>
      </c>
      <c r="W780" s="53">
        <f>STOCK[[#This Row],[Precio Final]]-STOCK[[#This Row],[Costo total]]</f>
        <v>9.5</v>
      </c>
      <c r="X780" s="53">
        <f>STOCK[[#This Row],[Ganancia Unitaria]]*STOCK[[#This Row],[Salidas]]</f>
        <v>9.5</v>
      </c>
      <c r="AA780" s="53">
        <f>STOCK[[#This Row],[Costo total]]*STOCK[[#This Row],[Entradas]]</f>
        <v>45.5</v>
      </c>
      <c r="AB780" s="53">
        <f>STOCK[[#This Row],[Stock Actual]]*STOCK[[#This Row],[Costo total]]</f>
        <v>0</v>
      </c>
    </row>
    <row r="781" s="54" customFormat="1" ht="50" customHeight="1" spans="1:28">
      <c r="A781" s="54" t="s">
        <v>1556</v>
      </c>
      <c r="B781" s="66"/>
      <c r="C781" s="54" t="s">
        <v>32</v>
      </c>
      <c r="D781" s="54" t="s">
        <v>515</v>
      </c>
      <c r="E781" s="68" t="s">
        <v>1557</v>
      </c>
      <c r="F781" s="54" t="s">
        <v>40</v>
      </c>
      <c r="G781" s="54" t="s">
        <v>704</v>
      </c>
      <c r="H781" s="54">
        <f>STOCK[[#This Row],[Precio Final]]</f>
        <v>90</v>
      </c>
      <c r="I781" s="54">
        <f>STOCK[[#This Row],[Precio Venta Ideal (x1.5)]]</f>
        <v>130.5</v>
      </c>
      <c r="J781" s="72">
        <v>1</v>
      </c>
      <c r="K781" s="72">
        <f>SUMIFS(VENTAS[Cantidad],VENTAS[Código del producto Vendido],STOCK[[#This Row],[Code]])</f>
        <v>1</v>
      </c>
      <c r="L781" s="72">
        <f>STOCK[[#This Row],[Entradas]]-STOCK[[#This Row],[Salidas]]</f>
        <v>0</v>
      </c>
      <c r="M781" s="54">
        <f>STOCK[[#This Row],[Precio Final]]*10%</f>
        <v>9</v>
      </c>
      <c r="N781" s="54">
        <v>0</v>
      </c>
      <c r="O781" s="54">
        <v>0</v>
      </c>
      <c r="P781" s="54">
        <v>63</v>
      </c>
      <c r="Q781" s="72">
        <v>0</v>
      </c>
      <c r="R781" s="54">
        <v>0</v>
      </c>
      <c r="S781" s="54">
        <v>15</v>
      </c>
      <c r="T781" s="53">
        <f>STOCK[[#This Row],[Costo Unitario (USD)]]+STOCK[[#This Row],[Costo Envío (USD)]]+STOCK[[#This Row],[Comisión 10%]]</f>
        <v>87</v>
      </c>
      <c r="U781" s="54">
        <f>STOCK[[#This Row],[Costo total]]*1.5</f>
        <v>130.5</v>
      </c>
      <c r="V781" s="54">
        <v>90</v>
      </c>
      <c r="W781" s="54">
        <f>STOCK[[#This Row],[Precio Final]]-STOCK[[#This Row],[Costo total]]</f>
        <v>3</v>
      </c>
      <c r="X781" s="54">
        <f>STOCK[[#This Row],[Ganancia Unitaria]]*STOCK[[#This Row],[Salidas]]</f>
        <v>3</v>
      </c>
      <c r="AA781" s="54">
        <f>STOCK[[#This Row],[Costo total]]*STOCK[[#This Row],[Entradas]]</f>
        <v>87</v>
      </c>
      <c r="AB781" s="54">
        <f>STOCK[[#This Row],[Stock Actual]]*STOCK[[#This Row],[Costo total]]</f>
        <v>0</v>
      </c>
    </row>
    <row r="782" s="53" customFormat="1" ht="50" customHeight="1" spans="1:28">
      <c r="A782" s="53" t="s">
        <v>1558</v>
      </c>
      <c r="B782" s="66"/>
      <c r="C782" s="53" t="s">
        <v>32</v>
      </c>
      <c r="D782" s="53" t="s">
        <v>780</v>
      </c>
      <c r="E782" s="67" t="s">
        <v>1559</v>
      </c>
      <c r="F782" s="53" t="s">
        <v>40</v>
      </c>
      <c r="G782" s="53" t="s">
        <v>704</v>
      </c>
      <c r="H782" s="53">
        <f>STOCK[[#This Row],[Precio Final]]</f>
        <v>20</v>
      </c>
      <c r="I782" s="53">
        <f>STOCK[[#This Row],[Precio Venta Ideal (x1.5)]]</f>
        <v>24.675</v>
      </c>
      <c r="J782" s="71">
        <v>1</v>
      </c>
      <c r="K782" s="71">
        <f>SUMIFS(VENTAS[Cantidad],VENTAS[Código del producto Vendido],STOCK[[#This Row],[Code]])</f>
        <v>0</v>
      </c>
      <c r="L782" s="71">
        <f>STOCK[[#This Row],[Entradas]]-STOCK[[#This Row],[Salidas]]</f>
        <v>1</v>
      </c>
      <c r="M782" s="53">
        <f>STOCK[[#This Row],[Precio Final]]*10%</f>
        <v>2</v>
      </c>
      <c r="N782" s="53">
        <v>0</v>
      </c>
      <c r="O782" s="53">
        <v>0</v>
      </c>
      <c r="P782" s="53">
        <v>12.45</v>
      </c>
      <c r="Q782" s="71">
        <v>0</v>
      </c>
      <c r="R782" s="53">
        <v>0</v>
      </c>
      <c r="S782" s="53">
        <v>2</v>
      </c>
      <c r="T782" s="53">
        <f>STOCK[[#This Row],[Costo Unitario (USD)]]+STOCK[[#This Row],[Costo Envío (USD)]]+STOCK[[#This Row],[Comisión 10%]]</f>
        <v>16.45</v>
      </c>
      <c r="U782" s="53">
        <f>STOCK[[#This Row],[Costo total]]*1.5</f>
        <v>24.675</v>
      </c>
      <c r="V782" s="53">
        <v>20</v>
      </c>
      <c r="W782" s="53">
        <f>STOCK[[#This Row],[Precio Final]]-STOCK[[#This Row],[Costo total]]</f>
        <v>3.55</v>
      </c>
      <c r="X782" s="53">
        <f>STOCK[[#This Row],[Ganancia Unitaria]]*STOCK[[#This Row],[Salidas]]</f>
        <v>0</v>
      </c>
      <c r="AA782" s="53">
        <f>STOCK[[#This Row],[Costo total]]*STOCK[[#This Row],[Entradas]]</f>
        <v>16.45</v>
      </c>
      <c r="AB782" s="53">
        <f>STOCK[[#This Row],[Stock Actual]]*STOCK[[#This Row],[Costo total]]</f>
        <v>16.45</v>
      </c>
    </row>
    <row r="783" s="54" customFormat="1" ht="50" customHeight="1" spans="1:28">
      <c r="A783" s="54" t="s">
        <v>1560</v>
      </c>
      <c r="B783" s="66"/>
      <c r="C783" s="54" t="s">
        <v>32</v>
      </c>
      <c r="D783" s="54" t="s">
        <v>1388</v>
      </c>
      <c r="E783" s="68" t="s">
        <v>1561</v>
      </c>
      <c r="F783" s="54" t="s">
        <v>40</v>
      </c>
      <c r="G783" s="54" t="s">
        <v>704</v>
      </c>
      <c r="H783" s="54">
        <f>STOCK[[#This Row],[Precio Final]]</f>
        <v>50</v>
      </c>
      <c r="I783" s="54">
        <f>STOCK[[#This Row],[Precio Venta Ideal (x1.5)]]</f>
        <v>67.5</v>
      </c>
      <c r="J783" s="72">
        <v>1</v>
      </c>
      <c r="K783" s="72">
        <f>SUMIFS(VENTAS[Cantidad],VENTAS[Código del producto Vendido],STOCK[[#This Row],[Code]])</f>
        <v>0</v>
      </c>
      <c r="L783" s="72">
        <f>STOCK[[#This Row],[Entradas]]-STOCK[[#This Row],[Salidas]]</f>
        <v>1</v>
      </c>
      <c r="M783" s="54">
        <f>STOCK[[#This Row],[Precio Final]]*10%</f>
        <v>5</v>
      </c>
      <c r="N783" s="54">
        <v>0</v>
      </c>
      <c r="O783" s="54">
        <v>0</v>
      </c>
      <c r="P783" s="54">
        <v>35</v>
      </c>
      <c r="Q783" s="72">
        <v>0</v>
      </c>
      <c r="R783" s="54">
        <v>0</v>
      </c>
      <c r="S783" s="54">
        <v>5</v>
      </c>
      <c r="T783" s="53">
        <f>STOCK[[#This Row],[Costo Unitario (USD)]]+STOCK[[#This Row],[Costo Envío (USD)]]+STOCK[[#This Row],[Comisión 10%]]</f>
        <v>45</v>
      </c>
      <c r="U783" s="54">
        <f>STOCK[[#This Row],[Costo total]]*1.5</f>
        <v>67.5</v>
      </c>
      <c r="V783" s="54">
        <v>50</v>
      </c>
      <c r="W783" s="54">
        <f>STOCK[[#This Row],[Precio Final]]-STOCK[[#This Row],[Costo total]]</f>
        <v>5</v>
      </c>
      <c r="X783" s="54">
        <f>STOCK[[#This Row],[Ganancia Unitaria]]*STOCK[[#This Row],[Salidas]]</f>
        <v>0</v>
      </c>
      <c r="AA783" s="54">
        <f>STOCK[[#This Row],[Costo total]]*STOCK[[#This Row],[Entradas]]</f>
        <v>45</v>
      </c>
      <c r="AB783" s="54">
        <f>STOCK[[#This Row],[Stock Actual]]*STOCK[[#This Row],[Costo total]]</f>
        <v>45</v>
      </c>
    </row>
    <row r="784" s="53" customFormat="1" ht="50" customHeight="1" spans="1:28">
      <c r="A784" s="53" t="s">
        <v>1562</v>
      </c>
      <c r="B784" s="66"/>
      <c r="C784" s="53" t="s">
        <v>32</v>
      </c>
      <c r="D784" s="53" t="s">
        <v>1014</v>
      </c>
      <c r="E784" s="67" t="s">
        <v>1563</v>
      </c>
      <c r="F784" s="53" t="s">
        <v>720</v>
      </c>
      <c r="G784" s="53" t="s">
        <v>704</v>
      </c>
      <c r="H784" s="53">
        <f>STOCK[[#This Row],[Precio Final]]</f>
        <v>35</v>
      </c>
      <c r="I784" s="53">
        <f>STOCK[[#This Row],[Precio Venta Ideal (x1.5)]]</f>
        <v>41.25</v>
      </c>
      <c r="J784" s="71">
        <v>1</v>
      </c>
      <c r="K784" s="71">
        <f>SUMIFS(VENTAS[Cantidad],VENTAS[Código del producto Vendido],STOCK[[#This Row],[Code]])</f>
        <v>1</v>
      </c>
      <c r="L784" s="71">
        <f>STOCK[[#This Row],[Entradas]]-STOCK[[#This Row],[Salidas]]</f>
        <v>0</v>
      </c>
      <c r="M784" s="53">
        <f>STOCK[[#This Row],[Precio Final]]*10%</f>
        <v>3.5</v>
      </c>
      <c r="N784" s="53">
        <v>0</v>
      </c>
      <c r="O784" s="53">
        <v>0</v>
      </c>
      <c r="P784" s="53">
        <v>22</v>
      </c>
      <c r="Q784" s="71">
        <v>0</v>
      </c>
      <c r="R784" s="53">
        <v>0</v>
      </c>
      <c r="S784" s="53">
        <v>2</v>
      </c>
      <c r="T784" s="53">
        <f>STOCK[[#This Row],[Costo Unitario (USD)]]+STOCK[[#This Row],[Costo Envío (USD)]]+STOCK[[#This Row],[Comisión 10%]]</f>
        <v>27.5</v>
      </c>
      <c r="U784" s="53">
        <f>STOCK[[#This Row],[Costo total]]*1.5</f>
        <v>41.25</v>
      </c>
      <c r="V784" s="53">
        <v>35</v>
      </c>
      <c r="W784" s="53">
        <f>STOCK[[#This Row],[Precio Final]]-STOCK[[#This Row],[Costo total]]</f>
        <v>7.5</v>
      </c>
      <c r="X784" s="53">
        <f>STOCK[[#This Row],[Ganancia Unitaria]]*STOCK[[#This Row],[Salidas]]</f>
        <v>7.5</v>
      </c>
      <c r="AA784" s="53">
        <f>STOCK[[#This Row],[Costo total]]*STOCK[[#This Row],[Entradas]]</f>
        <v>27.5</v>
      </c>
      <c r="AB784" s="53">
        <f>STOCK[[#This Row],[Stock Actual]]*STOCK[[#This Row],[Costo total]]</f>
        <v>0</v>
      </c>
    </row>
    <row r="785" s="54" customFormat="1" ht="50" customHeight="1" spans="1:28">
      <c r="A785" s="54" t="s">
        <v>1564</v>
      </c>
      <c r="B785" s="66"/>
      <c r="C785" s="54" t="s">
        <v>32</v>
      </c>
      <c r="D785" s="54" t="s">
        <v>1388</v>
      </c>
      <c r="E785" s="68" t="s">
        <v>1565</v>
      </c>
      <c r="F785" s="54" t="s">
        <v>40</v>
      </c>
      <c r="G785" s="54" t="s">
        <v>704</v>
      </c>
      <c r="H785" s="54">
        <f>STOCK[[#This Row],[Precio Final]]</f>
        <v>50</v>
      </c>
      <c r="I785" s="54">
        <f>STOCK[[#This Row],[Precio Venta Ideal (x1.5)]]</f>
        <v>58.275</v>
      </c>
      <c r="J785" s="72">
        <v>1</v>
      </c>
      <c r="K785" s="72">
        <f>SUMIFS(VENTAS[Cantidad],VENTAS[Código del producto Vendido],STOCK[[#This Row],[Code]])</f>
        <v>0</v>
      </c>
      <c r="L785" s="72">
        <f>STOCK[[#This Row],[Entradas]]-STOCK[[#This Row],[Salidas]]</f>
        <v>1</v>
      </c>
      <c r="M785" s="54">
        <f>STOCK[[#This Row],[Precio Final]]*10%</f>
        <v>5</v>
      </c>
      <c r="N785" s="54">
        <v>0</v>
      </c>
      <c r="O785" s="54">
        <v>0</v>
      </c>
      <c r="P785" s="54">
        <v>26.85</v>
      </c>
      <c r="Q785" s="72">
        <v>0</v>
      </c>
      <c r="R785" s="54">
        <v>0</v>
      </c>
      <c r="S785" s="54">
        <v>7</v>
      </c>
      <c r="T785" s="53">
        <f>STOCK[[#This Row],[Costo Unitario (USD)]]+STOCK[[#This Row],[Costo Envío (USD)]]+STOCK[[#This Row],[Comisión 10%]]</f>
        <v>38.85</v>
      </c>
      <c r="U785" s="54">
        <f>STOCK[[#This Row],[Costo total]]*1.5</f>
        <v>58.275</v>
      </c>
      <c r="V785" s="54">
        <v>50</v>
      </c>
      <c r="W785" s="54">
        <f>STOCK[[#This Row],[Precio Final]]-STOCK[[#This Row],[Costo total]]</f>
        <v>11.15</v>
      </c>
      <c r="X785" s="54">
        <f>STOCK[[#This Row],[Ganancia Unitaria]]*STOCK[[#This Row],[Salidas]]</f>
        <v>0</v>
      </c>
      <c r="AA785" s="54">
        <f>STOCK[[#This Row],[Costo total]]*STOCK[[#This Row],[Entradas]]</f>
        <v>38.85</v>
      </c>
      <c r="AB785" s="54">
        <f>STOCK[[#This Row],[Stock Actual]]*STOCK[[#This Row],[Costo total]]</f>
        <v>38.85</v>
      </c>
    </row>
    <row r="786" s="53" customFormat="1" ht="50" customHeight="1" spans="1:28">
      <c r="A786" s="53" t="s">
        <v>1566</v>
      </c>
      <c r="B786" s="66"/>
      <c r="C786" s="53" t="s">
        <v>32</v>
      </c>
      <c r="D786" s="53" t="s">
        <v>1388</v>
      </c>
      <c r="E786" s="67" t="s">
        <v>1567</v>
      </c>
      <c r="F786" s="53" t="s">
        <v>40</v>
      </c>
      <c r="G786" s="53" t="s">
        <v>704</v>
      </c>
      <c r="H786" s="53">
        <f>STOCK[[#This Row],[Precio Final]]</f>
        <v>15</v>
      </c>
      <c r="I786" s="53">
        <f>STOCK[[#This Row],[Precio Venta Ideal (x1.5)]]</f>
        <v>18.57</v>
      </c>
      <c r="J786" s="71">
        <v>4</v>
      </c>
      <c r="K786" s="71">
        <f>SUMIFS(VENTAS[Cantidad],VENTAS[Código del producto Vendido],STOCK[[#This Row],[Code]])</f>
        <v>0</v>
      </c>
      <c r="L786" s="71">
        <f>STOCK[[#This Row],[Entradas]]-STOCK[[#This Row],[Salidas]]</f>
        <v>4</v>
      </c>
      <c r="M786" s="53">
        <f>STOCK[[#This Row],[Precio Final]]*10%</f>
        <v>1.5</v>
      </c>
      <c r="N786" s="53">
        <v>0</v>
      </c>
      <c r="O786" s="53">
        <v>0</v>
      </c>
      <c r="P786" s="53">
        <v>8.88</v>
      </c>
      <c r="Q786" s="71">
        <v>0</v>
      </c>
      <c r="R786" s="53">
        <v>0</v>
      </c>
      <c r="S786" s="53">
        <v>2</v>
      </c>
      <c r="T786" s="53">
        <f>STOCK[[#This Row],[Costo Unitario (USD)]]+STOCK[[#This Row],[Costo Envío (USD)]]+STOCK[[#This Row],[Comisión 10%]]</f>
        <v>12.38</v>
      </c>
      <c r="U786" s="53">
        <f>STOCK[[#This Row],[Costo total]]*1.5</f>
        <v>18.57</v>
      </c>
      <c r="V786" s="53">
        <v>15</v>
      </c>
      <c r="W786" s="53">
        <f>STOCK[[#This Row],[Precio Final]]-STOCK[[#This Row],[Costo total]]</f>
        <v>2.62</v>
      </c>
      <c r="X786" s="53">
        <f>STOCK[[#This Row],[Ganancia Unitaria]]*STOCK[[#This Row],[Salidas]]</f>
        <v>0</v>
      </c>
      <c r="AA786" s="53">
        <f>STOCK[[#This Row],[Costo total]]*STOCK[[#This Row],[Entradas]]</f>
        <v>49.52</v>
      </c>
      <c r="AB786" s="53">
        <f>STOCK[[#This Row],[Stock Actual]]*STOCK[[#This Row],[Costo total]]</f>
        <v>49.52</v>
      </c>
    </row>
    <row r="787" s="54" customFormat="1" ht="50" customHeight="1" spans="1:28">
      <c r="A787" s="54" t="s">
        <v>1568</v>
      </c>
      <c r="B787" s="66"/>
      <c r="C787" s="54" t="s">
        <v>32</v>
      </c>
      <c r="D787" s="54" t="s">
        <v>174</v>
      </c>
      <c r="E787" s="68" t="s">
        <v>1569</v>
      </c>
      <c r="F787" s="54" t="s">
        <v>62</v>
      </c>
      <c r="G787" s="54" t="s">
        <v>1296</v>
      </c>
      <c r="H787" s="54">
        <f>STOCK[[#This Row],[Precio Final]]</f>
        <v>40</v>
      </c>
      <c r="I787" s="54">
        <f>STOCK[[#This Row],[Precio Venta Ideal (x1.5)]]</f>
        <v>36</v>
      </c>
      <c r="J787" s="72">
        <v>3</v>
      </c>
      <c r="K787" s="72">
        <f>SUMIFS(VENTAS[Cantidad],VENTAS[Código del producto Vendido],STOCK[[#This Row],[Code]])</f>
        <v>2</v>
      </c>
      <c r="L787" s="72">
        <f>STOCK[[#This Row],[Entradas]]-STOCK[[#This Row],[Salidas]]</f>
        <v>1</v>
      </c>
      <c r="M787" s="54">
        <f>STOCK[[#This Row],[Precio Final]]*10%</f>
        <v>4</v>
      </c>
      <c r="N787" s="54">
        <v>0</v>
      </c>
      <c r="O787" s="54">
        <v>0</v>
      </c>
      <c r="P787" s="54">
        <v>15</v>
      </c>
      <c r="Q787" s="72">
        <v>0</v>
      </c>
      <c r="R787" s="54">
        <v>0</v>
      </c>
      <c r="S787" s="54">
        <v>5</v>
      </c>
      <c r="T787" s="53">
        <f>STOCK[[#This Row],[Costo Unitario (USD)]]+STOCK[[#This Row],[Costo Envío (USD)]]+STOCK[[#This Row],[Comisión 10%]]</f>
        <v>24</v>
      </c>
      <c r="U787" s="54">
        <f>STOCK[[#This Row],[Costo total]]*1.5</f>
        <v>36</v>
      </c>
      <c r="V787" s="54">
        <v>40</v>
      </c>
      <c r="W787" s="54">
        <f>STOCK[[#This Row],[Precio Final]]-STOCK[[#This Row],[Costo total]]</f>
        <v>16</v>
      </c>
      <c r="X787" s="54">
        <f>STOCK[[#This Row],[Ganancia Unitaria]]*STOCK[[#This Row],[Salidas]]</f>
        <v>32</v>
      </c>
      <c r="AA787" s="54">
        <f>STOCK[[#This Row],[Costo total]]*STOCK[[#This Row],[Entradas]]</f>
        <v>72</v>
      </c>
      <c r="AB787" s="54">
        <f>STOCK[[#This Row],[Stock Actual]]*STOCK[[#This Row],[Costo total]]</f>
        <v>24</v>
      </c>
    </row>
    <row r="788" s="53" customFormat="1" ht="50" customHeight="1" spans="1:28">
      <c r="A788" s="53" t="s">
        <v>1570</v>
      </c>
      <c r="B788" s="66"/>
      <c r="C788" s="53" t="s">
        <v>32</v>
      </c>
      <c r="D788" s="53" t="s">
        <v>1571</v>
      </c>
      <c r="E788" s="67" t="s">
        <v>1572</v>
      </c>
      <c r="F788" s="53" t="s">
        <v>766</v>
      </c>
      <c r="G788" s="53" t="s">
        <v>1296</v>
      </c>
      <c r="H788" s="53">
        <f>STOCK[[#This Row],[Precio Final]]</f>
        <v>25</v>
      </c>
      <c r="I788" s="53">
        <f>STOCK[[#This Row],[Precio Venta Ideal (x1.5)]]</f>
        <v>24.75</v>
      </c>
      <c r="J788" s="71">
        <v>1</v>
      </c>
      <c r="K788" s="71">
        <f>SUMIFS(VENTAS[Cantidad],VENTAS[Código del producto Vendido],STOCK[[#This Row],[Code]])</f>
        <v>1</v>
      </c>
      <c r="L788" s="71">
        <f>STOCK[[#This Row],[Entradas]]-STOCK[[#This Row],[Salidas]]</f>
        <v>0</v>
      </c>
      <c r="M788" s="53">
        <f>STOCK[[#This Row],[Precio Final]]*10%</f>
        <v>2.5</v>
      </c>
      <c r="N788" s="53">
        <v>0</v>
      </c>
      <c r="O788" s="53">
        <v>0</v>
      </c>
      <c r="P788" s="53">
        <v>9</v>
      </c>
      <c r="Q788" s="71">
        <v>0</v>
      </c>
      <c r="R788" s="53">
        <v>0</v>
      </c>
      <c r="S788" s="53">
        <v>5</v>
      </c>
      <c r="T788" s="53">
        <f>STOCK[[#This Row],[Costo Unitario (USD)]]+STOCK[[#This Row],[Costo Envío (USD)]]+STOCK[[#This Row],[Comisión 10%]]</f>
        <v>16.5</v>
      </c>
      <c r="U788" s="53">
        <f>STOCK[[#This Row],[Costo total]]*1.5</f>
        <v>24.75</v>
      </c>
      <c r="V788" s="53">
        <v>25</v>
      </c>
      <c r="W788" s="53">
        <f>STOCK[[#This Row],[Precio Final]]-STOCK[[#This Row],[Costo total]]</f>
        <v>8.5</v>
      </c>
      <c r="X788" s="53">
        <f>STOCK[[#This Row],[Ganancia Unitaria]]*STOCK[[#This Row],[Salidas]]</f>
        <v>8.5</v>
      </c>
      <c r="AA788" s="53">
        <f>STOCK[[#This Row],[Costo total]]*STOCK[[#This Row],[Entradas]]</f>
        <v>16.5</v>
      </c>
      <c r="AB788" s="53">
        <f>STOCK[[#This Row],[Stock Actual]]*STOCK[[#This Row],[Costo total]]</f>
        <v>0</v>
      </c>
    </row>
    <row r="789" s="54" customFormat="1" ht="50" customHeight="1" spans="1:28">
      <c r="A789" s="54" t="s">
        <v>1573</v>
      </c>
      <c r="B789" s="66"/>
      <c r="C789" s="54" t="s">
        <v>32</v>
      </c>
      <c r="D789" s="54" t="s">
        <v>1571</v>
      </c>
      <c r="E789" s="68" t="s">
        <v>1572</v>
      </c>
      <c r="F789" s="54" t="s">
        <v>1574</v>
      </c>
      <c r="G789" s="54" t="s">
        <v>1296</v>
      </c>
      <c r="H789" s="54">
        <f>STOCK[[#This Row],[Precio Final]]</f>
        <v>25</v>
      </c>
      <c r="I789" s="54">
        <f>STOCK[[#This Row],[Precio Venta Ideal (x1.5)]]</f>
        <v>24.75</v>
      </c>
      <c r="J789" s="72">
        <v>3</v>
      </c>
      <c r="K789" s="72">
        <f>SUMIFS(VENTAS[Cantidad],VENTAS[Código del producto Vendido],STOCK[[#This Row],[Code]])</f>
        <v>3</v>
      </c>
      <c r="L789" s="72">
        <f>STOCK[[#This Row],[Entradas]]-STOCK[[#This Row],[Salidas]]</f>
        <v>0</v>
      </c>
      <c r="M789" s="54">
        <f>STOCK[[#This Row],[Precio Final]]*10%</f>
        <v>2.5</v>
      </c>
      <c r="N789" s="54">
        <v>0</v>
      </c>
      <c r="O789" s="54">
        <v>0</v>
      </c>
      <c r="P789" s="54">
        <v>9</v>
      </c>
      <c r="Q789" s="72">
        <v>0</v>
      </c>
      <c r="R789" s="54">
        <v>0</v>
      </c>
      <c r="S789" s="54">
        <v>5</v>
      </c>
      <c r="T789" s="53">
        <f>STOCK[[#This Row],[Costo Unitario (USD)]]+STOCK[[#This Row],[Costo Envío (USD)]]+STOCK[[#This Row],[Comisión 10%]]</f>
        <v>16.5</v>
      </c>
      <c r="U789" s="54">
        <f>STOCK[[#This Row],[Costo total]]*1.5</f>
        <v>24.75</v>
      </c>
      <c r="V789" s="54">
        <v>25</v>
      </c>
      <c r="W789" s="54">
        <f>STOCK[[#This Row],[Precio Final]]-STOCK[[#This Row],[Costo total]]</f>
        <v>8.5</v>
      </c>
      <c r="X789" s="54">
        <f>STOCK[[#This Row],[Ganancia Unitaria]]*STOCK[[#This Row],[Salidas]]</f>
        <v>25.5</v>
      </c>
      <c r="AA789" s="54">
        <f>STOCK[[#This Row],[Costo total]]*STOCK[[#This Row],[Entradas]]</f>
        <v>49.5</v>
      </c>
      <c r="AB789" s="54">
        <f>STOCK[[#This Row],[Stock Actual]]*STOCK[[#This Row],[Costo total]]</f>
        <v>0</v>
      </c>
    </row>
    <row r="790" s="53" customFormat="1" ht="50" customHeight="1" spans="1:28">
      <c r="A790" s="53" t="s">
        <v>1575</v>
      </c>
      <c r="B790" s="66"/>
      <c r="C790" s="53" t="s">
        <v>32</v>
      </c>
      <c r="D790" s="53" t="s">
        <v>1576</v>
      </c>
      <c r="E790" s="67" t="s">
        <v>1577</v>
      </c>
      <c r="F790" s="53" t="s">
        <v>1578</v>
      </c>
      <c r="G790" s="53" t="s">
        <v>1296</v>
      </c>
      <c r="H790" s="53">
        <f>STOCK[[#This Row],[Precio Final]]</f>
        <v>18</v>
      </c>
      <c r="I790" s="53">
        <f>STOCK[[#This Row],[Precio Venta Ideal (x1.5)]]</f>
        <v>19.2</v>
      </c>
      <c r="J790" s="71">
        <v>2</v>
      </c>
      <c r="K790" s="71">
        <f>SUMIFS(VENTAS[Cantidad],VENTAS[Código del producto Vendido],STOCK[[#This Row],[Code]])</f>
        <v>2</v>
      </c>
      <c r="L790" s="71">
        <f>STOCK[[#This Row],[Entradas]]-STOCK[[#This Row],[Salidas]]</f>
        <v>0</v>
      </c>
      <c r="M790" s="53">
        <f>STOCK[[#This Row],[Precio Final]]*10%</f>
        <v>1.8</v>
      </c>
      <c r="N790" s="53">
        <v>0</v>
      </c>
      <c r="O790" s="53">
        <v>0</v>
      </c>
      <c r="P790" s="53">
        <v>7</v>
      </c>
      <c r="Q790" s="71">
        <v>0</v>
      </c>
      <c r="R790" s="53">
        <v>0</v>
      </c>
      <c r="S790" s="53">
        <v>4</v>
      </c>
      <c r="T790" s="53">
        <f>STOCK[[#This Row],[Costo Unitario (USD)]]+STOCK[[#This Row],[Costo Envío (USD)]]+STOCK[[#This Row],[Comisión 10%]]</f>
        <v>12.8</v>
      </c>
      <c r="U790" s="53">
        <f>STOCK[[#This Row],[Costo total]]*1.5</f>
        <v>19.2</v>
      </c>
      <c r="V790" s="53">
        <v>18</v>
      </c>
      <c r="W790" s="53">
        <f>STOCK[[#This Row],[Precio Final]]-STOCK[[#This Row],[Costo total]]</f>
        <v>5.2</v>
      </c>
      <c r="X790" s="53">
        <f>STOCK[[#This Row],[Ganancia Unitaria]]*STOCK[[#This Row],[Salidas]]</f>
        <v>10.4</v>
      </c>
      <c r="AA790" s="53">
        <f>STOCK[[#This Row],[Costo total]]*STOCK[[#This Row],[Entradas]]</f>
        <v>25.6</v>
      </c>
      <c r="AB790" s="53">
        <f>STOCK[[#This Row],[Stock Actual]]*STOCK[[#This Row],[Costo total]]</f>
        <v>0</v>
      </c>
    </row>
    <row r="791" s="54" customFormat="1" ht="50" customHeight="1" spans="1:28">
      <c r="A791" s="54" t="s">
        <v>1579</v>
      </c>
      <c r="B791" s="66"/>
      <c r="C791" s="54" t="s">
        <v>32</v>
      </c>
      <c r="D791" s="54" t="s">
        <v>1576</v>
      </c>
      <c r="E791" s="68" t="s">
        <v>1577</v>
      </c>
      <c r="F791" s="54" t="s">
        <v>1574</v>
      </c>
      <c r="G791" s="54" t="s">
        <v>1296</v>
      </c>
      <c r="H791" s="54">
        <f>STOCK[[#This Row],[Precio Final]]</f>
        <v>18</v>
      </c>
      <c r="I791" s="54">
        <f>STOCK[[#This Row],[Precio Venta Ideal (x1.5)]]</f>
        <v>19.2</v>
      </c>
      <c r="J791" s="72">
        <v>1</v>
      </c>
      <c r="K791" s="72">
        <f>SUMIFS(VENTAS[Cantidad],VENTAS[Código del producto Vendido],STOCK[[#This Row],[Code]])</f>
        <v>1</v>
      </c>
      <c r="L791" s="72">
        <f>STOCK[[#This Row],[Entradas]]-STOCK[[#This Row],[Salidas]]</f>
        <v>0</v>
      </c>
      <c r="M791" s="54">
        <f>STOCK[[#This Row],[Precio Final]]*10%</f>
        <v>1.8</v>
      </c>
      <c r="N791" s="54">
        <v>0</v>
      </c>
      <c r="O791" s="54">
        <v>0</v>
      </c>
      <c r="P791" s="54">
        <v>7</v>
      </c>
      <c r="Q791" s="72">
        <v>0</v>
      </c>
      <c r="R791" s="54">
        <v>0</v>
      </c>
      <c r="S791" s="54">
        <v>4</v>
      </c>
      <c r="T791" s="53">
        <f>STOCK[[#This Row],[Costo Unitario (USD)]]+STOCK[[#This Row],[Costo Envío (USD)]]+STOCK[[#This Row],[Comisión 10%]]</f>
        <v>12.8</v>
      </c>
      <c r="U791" s="54">
        <f>STOCK[[#This Row],[Costo total]]*1.5</f>
        <v>19.2</v>
      </c>
      <c r="V791" s="54">
        <v>18</v>
      </c>
      <c r="W791" s="54">
        <f>STOCK[[#This Row],[Precio Final]]-STOCK[[#This Row],[Costo total]]</f>
        <v>5.2</v>
      </c>
      <c r="X791" s="54">
        <f>STOCK[[#This Row],[Ganancia Unitaria]]*STOCK[[#This Row],[Salidas]]</f>
        <v>5.2</v>
      </c>
      <c r="AA791" s="54">
        <f>STOCK[[#This Row],[Costo total]]*STOCK[[#This Row],[Entradas]]</f>
        <v>12.8</v>
      </c>
      <c r="AB791" s="54">
        <f>STOCK[[#This Row],[Stock Actual]]*STOCK[[#This Row],[Costo total]]</f>
        <v>0</v>
      </c>
    </row>
    <row r="792" s="53" customFormat="1" ht="50" customHeight="1" spans="1:28">
      <c r="A792" s="53" t="s">
        <v>1580</v>
      </c>
      <c r="B792" s="66"/>
      <c r="C792" s="53" t="s">
        <v>32</v>
      </c>
      <c r="D792" s="53" t="s">
        <v>1576</v>
      </c>
      <c r="E792" s="67" t="s">
        <v>1581</v>
      </c>
      <c r="F792" s="53" t="s">
        <v>1578</v>
      </c>
      <c r="G792" s="53" t="s">
        <v>1296</v>
      </c>
      <c r="H792" s="53">
        <f>STOCK[[#This Row],[Precio Final]]</f>
        <v>50</v>
      </c>
      <c r="I792" s="53">
        <f>STOCK[[#This Row],[Precio Venta Ideal (x1.5)]]</f>
        <v>49.5</v>
      </c>
      <c r="J792" s="71">
        <v>2</v>
      </c>
      <c r="K792" s="71">
        <f>SUMIFS(VENTAS[Cantidad],VENTAS[Código del producto Vendido],STOCK[[#This Row],[Code]])</f>
        <v>2</v>
      </c>
      <c r="L792" s="71">
        <f>STOCK[[#This Row],[Entradas]]-STOCK[[#This Row],[Salidas]]</f>
        <v>0</v>
      </c>
      <c r="M792" s="53">
        <f>STOCK[[#This Row],[Precio Final]]*10%</f>
        <v>5</v>
      </c>
      <c r="N792" s="53">
        <v>0</v>
      </c>
      <c r="O792" s="53">
        <v>0</v>
      </c>
      <c r="P792" s="53">
        <v>18</v>
      </c>
      <c r="Q792" s="71">
        <v>0</v>
      </c>
      <c r="R792" s="53">
        <v>0</v>
      </c>
      <c r="S792" s="53">
        <v>10</v>
      </c>
      <c r="T792" s="53">
        <f>STOCK[[#This Row],[Costo Unitario (USD)]]+STOCK[[#This Row],[Costo Envío (USD)]]+STOCK[[#This Row],[Comisión 10%]]</f>
        <v>33</v>
      </c>
      <c r="U792" s="53">
        <f>STOCK[[#This Row],[Costo total]]*1.5</f>
        <v>49.5</v>
      </c>
      <c r="V792" s="53">
        <v>50</v>
      </c>
      <c r="W792" s="53">
        <f>STOCK[[#This Row],[Precio Final]]-STOCK[[#This Row],[Costo total]]</f>
        <v>17</v>
      </c>
      <c r="X792" s="53">
        <f>STOCK[[#This Row],[Ganancia Unitaria]]*STOCK[[#This Row],[Salidas]]</f>
        <v>34</v>
      </c>
      <c r="AA792" s="53">
        <f>STOCK[[#This Row],[Costo total]]*STOCK[[#This Row],[Entradas]]</f>
        <v>66</v>
      </c>
      <c r="AB792" s="53">
        <f>STOCK[[#This Row],[Stock Actual]]*STOCK[[#This Row],[Costo total]]</f>
        <v>0</v>
      </c>
    </row>
    <row r="793" s="54" customFormat="1" ht="50" customHeight="1" spans="1:28">
      <c r="A793" s="54" t="s">
        <v>1582</v>
      </c>
      <c r="B793" s="66"/>
      <c r="C793" s="54" t="s">
        <v>32</v>
      </c>
      <c r="D793" s="54" t="s">
        <v>1576</v>
      </c>
      <c r="E793" s="68" t="s">
        <v>1583</v>
      </c>
      <c r="F793" s="54" t="s">
        <v>1574</v>
      </c>
      <c r="G793" s="54" t="s">
        <v>1296</v>
      </c>
      <c r="H793" s="54">
        <f>STOCK[[#This Row],[Precio Final]]</f>
        <v>50</v>
      </c>
      <c r="I793" s="54">
        <f>STOCK[[#This Row],[Precio Venta Ideal (x1.5)]]</f>
        <v>49.5</v>
      </c>
      <c r="J793" s="72">
        <v>1</v>
      </c>
      <c r="K793" s="72">
        <f>SUMIFS(VENTAS[Cantidad],VENTAS[Código del producto Vendido],STOCK[[#This Row],[Code]])</f>
        <v>1</v>
      </c>
      <c r="L793" s="72">
        <f>STOCK[[#This Row],[Entradas]]-STOCK[[#This Row],[Salidas]]</f>
        <v>0</v>
      </c>
      <c r="M793" s="54">
        <f>STOCK[[#This Row],[Precio Final]]*10%</f>
        <v>5</v>
      </c>
      <c r="N793" s="54">
        <v>0</v>
      </c>
      <c r="O793" s="54">
        <v>0</v>
      </c>
      <c r="P793" s="54">
        <v>18</v>
      </c>
      <c r="Q793" s="72">
        <v>0</v>
      </c>
      <c r="R793" s="54">
        <v>0</v>
      </c>
      <c r="S793" s="54">
        <v>10</v>
      </c>
      <c r="T793" s="53">
        <f>STOCK[[#This Row],[Costo Unitario (USD)]]+STOCK[[#This Row],[Costo Envío (USD)]]+STOCK[[#This Row],[Comisión 10%]]</f>
        <v>33</v>
      </c>
      <c r="U793" s="54">
        <f>STOCK[[#This Row],[Costo total]]*1.5</f>
        <v>49.5</v>
      </c>
      <c r="V793" s="54">
        <v>50</v>
      </c>
      <c r="W793" s="54">
        <f>STOCK[[#This Row],[Precio Final]]-STOCK[[#This Row],[Costo total]]</f>
        <v>17</v>
      </c>
      <c r="X793" s="54">
        <f>STOCK[[#This Row],[Ganancia Unitaria]]*STOCK[[#This Row],[Salidas]]</f>
        <v>17</v>
      </c>
      <c r="AA793" s="54">
        <f>STOCK[[#This Row],[Costo total]]*STOCK[[#This Row],[Entradas]]</f>
        <v>33</v>
      </c>
      <c r="AB793" s="54">
        <f>STOCK[[#This Row],[Stock Actual]]*STOCK[[#This Row],[Costo total]]</f>
        <v>0</v>
      </c>
    </row>
    <row r="794" s="53" customFormat="1" ht="50" customHeight="1" spans="1:28">
      <c r="A794" s="53" t="s">
        <v>1584</v>
      </c>
      <c r="B794" s="66"/>
      <c r="C794" s="53" t="s">
        <v>32</v>
      </c>
      <c r="D794" s="53" t="s">
        <v>515</v>
      </c>
      <c r="E794" s="67" t="s">
        <v>1585</v>
      </c>
      <c r="F794" s="53" t="s">
        <v>764</v>
      </c>
      <c r="G794" s="53" t="s">
        <v>1296</v>
      </c>
      <c r="H794" s="53">
        <f>STOCK[[#This Row],[Precio Final]]</f>
        <v>18</v>
      </c>
      <c r="I794" s="53">
        <f>STOCK[[#This Row],[Precio Venta Ideal (x1.5)]]</f>
        <v>19.2</v>
      </c>
      <c r="J794" s="71">
        <v>2</v>
      </c>
      <c r="K794" s="71">
        <f>SUMIFS(VENTAS[Cantidad],VENTAS[Código del producto Vendido],STOCK[[#This Row],[Code]])</f>
        <v>2</v>
      </c>
      <c r="L794" s="71">
        <f>STOCK[[#This Row],[Entradas]]-STOCK[[#This Row],[Salidas]]</f>
        <v>0</v>
      </c>
      <c r="M794" s="53">
        <f>STOCK[[#This Row],[Precio Final]]*10%</f>
        <v>1.8</v>
      </c>
      <c r="N794" s="53">
        <v>0</v>
      </c>
      <c r="O794" s="53">
        <v>0</v>
      </c>
      <c r="P794" s="53">
        <v>7</v>
      </c>
      <c r="Q794" s="71">
        <v>0</v>
      </c>
      <c r="R794" s="53">
        <v>0</v>
      </c>
      <c r="S794" s="53">
        <v>4</v>
      </c>
      <c r="T794" s="53">
        <f>STOCK[[#This Row],[Costo Unitario (USD)]]+STOCK[[#This Row],[Costo Envío (USD)]]+STOCK[[#This Row],[Comisión 10%]]</f>
        <v>12.8</v>
      </c>
      <c r="U794" s="53">
        <f>STOCK[[#This Row],[Costo total]]*1.5</f>
        <v>19.2</v>
      </c>
      <c r="V794" s="53">
        <v>18</v>
      </c>
      <c r="W794" s="53">
        <f>STOCK[[#This Row],[Precio Final]]-STOCK[[#This Row],[Costo total]]</f>
        <v>5.2</v>
      </c>
      <c r="X794" s="53">
        <f>STOCK[[#This Row],[Ganancia Unitaria]]*STOCK[[#This Row],[Salidas]]</f>
        <v>10.4</v>
      </c>
      <c r="AA794" s="53">
        <f>STOCK[[#This Row],[Costo total]]*STOCK[[#This Row],[Entradas]]</f>
        <v>25.6</v>
      </c>
      <c r="AB794" s="53">
        <f>STOCK[[#This Row],[Stock Actual]]*STOCK[[#This Row],[Costo total]]</f>
        <v>0</v>
      </c>
    </row>
    <row r="795" s="54" customFormat="1" ht="50" customHeight="1" spans="1:28">
      <c r="A795" s="54" t="s">
        <v>1586</v>
      </c>
      <c r="B795" s="66"/>
      <c r="C795" s="54" t="s">
        <v>32</v>
      </c>
      <c r="D795" s="53" t="s">
        <v>515</v>
      </c>
      <c r="E795" s="68" t="s">
        <v>1585</v>
      </c>
      <c r="F795" s="54" t="s">
        <v>764</v>
      </c>
      <c r="G795" s="54" t="s">
        <v>1296</v>
      </c>
      <c r="H795" s="54">
        <f>STOCK[[#This Row],[Precio Final]]</f>
        <v>18</v>
      </c>
      <c r="I795" s="54">
        <f>STOCK[[#This Row],[Precio Venta Ideal (x1.5)]]</f>
        <v>19.2</v>
      </c>
      <c r="J795" s="72">
        <v>1</v>
      </c>
      <c r="K795" s="72">
        <f>SUMIFS(VENTAS[Cantidad],VENTAS[Código del producto Vendido],STOCK[[#This Row],[Code]])</f>
        <v>1</v>
      </c>
      <c r="L795" s="72">
        <f>STOCK[[#This Row],[Entradas]]-STOCK[[#This Row],[Salidas]]</f>
        <v>0</v>
      </c>
      <c r="M795" s="54">
        <f>STOCK[[#This Row],[Precio Final]]*10%</f>
        <v>1.8</v>
      </c>
      <c r="N795" s="54">
        <v>0</v>
      </c>
      <c r="O795" s="54">
        <v>0</v>
      </c>
      <c r="P795" s="54">
        <v>7</v>
      </c>
      <c r="Q795" s="72">
        <v>0</v>
      </c>
      <c r="R795" s="54">
        <v>0</v>
      </c>
      <c r="S795" s="54">
        <v>4</v>
      </c>
      <c r="T795" s="53">
        <f>STOCK[[#This Row],[Costo Unitario (USD)]]+STOCK[[#This Row],[Costo Envío (USD)]]+STOCK[[#This Row],[Comisión 10%]]</f>
        <v>12.8</v>
      </c>
      <c r="U795" s="54">
        <f>STOCK[[#This Row],[Costo total]]*1.5</f>
        <v>19.2</v>
      </c>
      <c r="V795" s="54">
        <v>18</v>
      </c>
      <c r="W795" s="54">
        <f>STOCK[[#This Row],[Precio Final]]-STOCK[[#This Row],[Costo total]]</f>
        <v>5.2</v>
      </c>
      <c r="X795" s="54">
        <f>STOCK[[#This Row],[Ganancia Unitaria]]*STOCK[[#This Row],[Salidas]]</f>
        <v>5.2</v>
      </c>
      <c r="AA795" s="54">
        <f>STOCK[[#This Row],[Costo total]]*STOCK[[#This Row],[Entradas]]</f>
        <v>12.8</v>
      </c>
      <c r="AB795" s="54">
        <f>STOCK[[#This Row],[Stock Actual]]*STOCK[[#This Row],[Costo total]]</f>
        <v>0</v>
      </c>
    </row>
    <row r="796" s="53" customFormat="1" ht="50" customHeight="1" spans="1:28">
      <c r="A796" s="53" t="s">
        <v>1587</v>
      </c>
      <c r="B796" s="66"/>
      <c r="C796" s="53" t="s">
        <v>32</v>
      </c>
      <c r="D796" s="53" t="s">
        <v>515</v>
      </c>
      <c r="E796" s="67" t="s">
        <v>1588</v>
      </c>
      <c r="F796" s="53" t="s">
        <v>1589</v>
      </c>
      <c r="G796" s="53" t="s">
        <v>1296</v>
      </c>
      <c r="H796" s="53">
        <f>STOCK[[#This Row],[Precio Final]]</f>
        <v>15</v>
      </c>
      <c r="I796" s="53">
        <f>STOCK[[#This Row],[Precio Venta Ideal (x1.5)]]</f>
        <v>16.485</v>
      </c>
      <c r="J796" s="71">
        <v>1</v>
      </c>
      <c r="K796" s="71">
        <f>SUMIFS(VENTAS[Cantidad],VENTAS[Código del producto Vendido],STOCK[[#This Row],[Code]])</f>
        <v>0</v>
      </c>
      <c r="L796" s="71">
        <f>STOCK[[#This Row],[Entradas]]-STOCK[[#This Row],[Salidas]]</f>
        <v>1</v>
      </c>
      <c r="M796" s="53">
        <f>STOCK[[#This Row],[Precio Final]]*10%</f>
        <v>1.5</v>
      </c>
      <c r="N796" s="53">
        <v>0</v>
      </c>
      <c r="O796" s="53">
        <v>0</v>
      </c>
      <c r="P796" s="53">
        <v>6.49</v>
      </c>
      <c r="Q796" s="71">
        <v>0</v>
      </c>
      <c r="R796" s="53">
        <v>0</v>
      </c>
      <c r="S796" s="53">
        <v>3</v>
      </c>
      <c r="T796" s="53">
        <f>STOCK[[#This Row],[Costo Unitario (USD)]]+STOCK[[#This Row],[Costo Envío (USD)]]+STOCK[[#This Row],[Comisión 10%]]</f>
        <v>10.99</v>
      </c>
      <c r="U796" s="53">
        <f>STOCK[[#This Row],[Costo total]]*1.5</f>
        <v>16.485</v>
      </c>
      <c r="V796" s="53">
        <v>15</v>
      </c>
      <c r="W796" s="53">
        <f>STOCK[[#This Row],[Precio Final]]-STOCK[[#This Row],[Costo total]]</f>
        <v>4.01</v>
      </c>
      <c r="X796" s="53">
        <f>STOCK[[#This Row],[Ganancia Unitaria]]*STOCK[[#This Row],[Salidas]]</f>
        <v>0</v>
      </c>
      <c r="AA796" s="53">
        <f>STOCK[[#This Row],[Costo total]]*STOCK[[#This Row],[Entradas]]</f>
        <v>10.99</v>
      </c>
      <c r="AB796" s="53">
        <f>STOCK[[#This Row],[Stock Actual]]*STOCK[[#This Row],[Costo total]]</f>
        <v>10.99</v>
      </c>
    </row>
    <row r="797" s="54" customFormat="1" ht="50" customHeight="1" spans="1:28">
      <c r="A797" s="54" t="s">
        <v>1590</v>
      </c>
      <c r="B797" s="66"/>
      <c r="C797" s="54" t="s">
        <v>32</v>
      </c>
      <c r="D797" s="53" t="s">
        <v>515</v>
      </c>
      <c r="E797" s="68" t="s">
        <v>1591</v>
      </c>
      <c r="F797" s="54" t="s">
        <v>1592</v>
      </c>
      <c r="G797" s="54" t="s">
        <v>1296</v>
      </c>
      <c r="H797" s="54">
        <f>STOCK[[#This Row],[Precio Final]]</f>
        <v>15</v>
      </c>
      <c r="I797" s="54">
        <f>STOCK[[#This Row],[Precio Venta Ideal (x1.5)]]</f>
        <v>16.485</v>
      </c>
      <c r="J797" s="72">
        <v>2</v>
      </c>
      <c r="K797" s="72">
        <f>SUMIFS(VENTAS[Cantidad],VENTAS[Código del producto Vendido],STOCK[[#This Row],[Code]])</f>
        <v>1</v>
      </c>
      <c r="L797" s="72">
        <f>STOCK[[#This Row],[Entradas]]-STOCK[[#This Row],[Salidas]]</f>
        <v>1</v>
      </c>
      <c r="M797" s="54">
        <f>STOCK[[#This Row],[Precio Final]]*10%</f>
        <v>1.5</v>
      </c>
      <c r="N797" s="54">
        <v>0</v>
      </c>
      <c r="O797" s="54">
        <v>0</v>
      </c>
      <c r="P797" s="54">
        <v>6.49</v>
      </c>
      <c r="Q797" s="72">
        <v>0</v>
      </c>
      <c r="R797" s="54">
        <v>0</v>
      </c>
      <c r="S797" s="54">
        <v>3</v>
      </c>
      <c r="T797" s="53">
        <f>STOCK[[#This Row],[Costo Unitario (USD)]]+STOCK[[#This Row],[Costo Envío (USD)]]+STOCK[[#This Row],[Comisión 10%]]</f>
        <v>10.99</v>
      </c>
      <c r="U797" s="54">
        <f>STOCK[[#This Row],[Costo total]]*1.5</f>
        <v>16.485</v>
      </c>
      <c r="V797" s="54">
        <v>15</v>
      </c>
      <c r="W797" s="54">
        <f>STOCK[[#This Row],[Precio Final]]-STOCK[[#This Row],[Costo total]]</f>
        <v>4.01</v>
      </c>
      <c r="X797" s="54">
        <f>STOCK[[#This Row],[Ganancia Unitaria]]*STOCK[[#This Row],[Salidas]]</f>
        <v>4.01</v>
      </c>
      <c r="AA797" s="54">
        <f>STOCK[[#This Row],[Costo total]]*STOCK[[#This Row],[Entradas]]</f>
        <v>21.98</v>
      </c>
      <c r="AB797" s="54">
        <f>STOCK[[#This Row],[Stock Actual]]*STOCK[[#This Row],[Costo total]]</f>
        <v>10.99</v>
      </c>
    </row>
    <row r="798" s="53" customFormat="1" ht="50" customHeight="1" spans="1:28">
      <c r="A798" s="53" t="s">
        <v>1593</v>
      </c>
      <c r="B798" s="66"/>
      <c r="C798" s="53" t="s">
        <v>32</v>
      </c>
      <c r="D798" s="53" t="s">
        <v>515</v>
      </c>
      <c r="E798" s="67" t="s">
        <v>1591</v>
      </c>
      <c r="F798" s="53" t="s">
        <v>1594</v>
      </c>
      <c r="G798" s="53" t="s">
        <v>1296</v>
      </c>
      <c r="H798" s="53">
        <f>STOCK[[#This Row],[Precio Final]]</f>
        <v>15</v>
      </c>
      <c r="I798" s="53">
        <f>STOCK[[#This Row],[Precio Venta Ideal (x1.5)]]</f>
        <v>16.485</v>
      </c>
      <c r="J798" s="71">
        <v>1</v>
      </c>
      <c r="K798" s="71">
        <f>SUMIFS(VENTAS[Cantidad],VENTAS[Código del producto Vendido],STOCK[[#This Row],[Code]])</f>
        <v>0</v>
      </c>
      <c r="L798" s="71">
        <f>STOCK[[#This Row],[Entradas]]-STOCK[[#This Row],[Salidas]]</f>
        <v>1</v>
      </c>
      <c r="M798" s="53">
        <f>STOCK[[#This Row],[Precio Final]]*10%</f>
        <v>1.5</v>
      </c>
      <c r="N798" s="53">
        <v>0</v>
      </c>
      <c r="O798" s="53">
        <v>0</v>
      </c>
      <c r="P798" s="53">
        <v>6.49</v>
      </c>
      <c r="Q798" s="71">
        <v>0</v>
      </c>
      <c r="R798" s="53">
        <v>0</v>
      </c>
      <c r="S798" s="53">
        <v>3</v>
      </c>
      <c r="T798" s="53">
        <f>STOCK[[#This Row],[Costo Unitario (USD)]]+STOCK[[#This Row],[Costo Envío (USD)]]+STOCK[[#This Row],[Comisión 10%]]</f>
        <v>10.99</v>
      </c>
      <c r="U798" s="53">
        <f>STOCK[[#This Row],[Costo total]]*1.5</f>
        <v>16.485</v>
      </c>
      <c r="V798" s="53">
        <v>15</v>
      </c>
      <c r="W798" s="53">
        <f>STOCK[[#This Row],[Precio Final]]-STOCK[[#This Row],[Costo total]]</f>
        <v>4.01</v>
      </c>
      <c r="X798" s="53">
        <f>STOCK[[#This Row],[Ganancia Unitaria]]*STOCK[[#This Row],[Salidas]]</f>
        <v>0</v>
      </c>
      <c r="AA798" s="53">
        <f>STOCK[[#This Row],[Costo total]]*STOCK[[#This Row],[Entradas]]</f>
        <v>10.99</v>
      </c>
      <c r="AB798" s="53">
        <f>STOCK[[#This Row],[Stock Actual]]*STOCK[[#This Row],[Costo total]]</f>
        <v>10.99</v>
      </c>
    </row>
    <row r="799" s="54" customFormat="1" ht="50" customHeight="1" spans="1:28">
      <c r="A799" s="54" t="s">
        <v>1595</v>
      </c>
      <c r="B799" s="66"/>
      <c r="C799" s="54" t="s">
        <v>32</v>
      </c>
      <c r="D799" s="53" t="s">
        <v>515</v>
      </c>
      <c r="E799" s="68" t="s">
        <v>1596</v>
      </c>
      <c r="F799" s="54" t="s">
        <v>766</v>
      </c>
      <c r="G799" s="54" t="s">
        <v>1296</v>
      </c>
      <c r="H799" s="54">
        <f>STOCK[[#This Row],[Precio Final]]</f>
        <v>15</v>
      </c>
      <c r="I799" s="54">
        <f>STOCK[[#This Row],[Precio Venta Ideal (x1.5)]]</f>
        <v>16.485</v>
      </c>
      <c r="J799" s="72">
        <v>2</v>
      </c>
      <c r="K799" s="72">
        <f>SUMIFS(VENTAS[Cantidad],VENTAS[Código del producto Vendido],STOCK[[#This Row],[Code]])</f>
        <v>2</v>
      </c>
      <c r="L799" s="72">
        <f>STOCK[[#This Row],[Entradas]]-STOCK[[#This Row],[Salidas]]</f>
        <v>0</v>
      </c>
      <c r="M799" s="54">
        <f>STOCK[[#This Row],[Precio Final]]*10%</f>
        <v>1.5</v>
      </c>
      <c r="N799" s="54">
        <v>0</v>
      </c>
      <c r="O799" s="54">
        <v>0</v>
      </c>
      <c r="P799" s="54">
        <v>6.49</v>
      </c>
      <c r="Q799" s="72">
        <v>0</v>
      </c>
      <c r="R799" s="54">
        <v>0</v>
      </c>
      <c r="S799" s="54">
        <v>3</v>
      </c>
      <c r="T799" s="53">
        <f>STOCK[[#This Row],[Costo Unitario (USD)]]+STOCK[[#This Row],[Costo Envío (USD)]]+STOCK[[#This Row],[Comisión 10%]]</f>
        <v>10.99</v>
      </c>
      <c r="U799" s="54">
        <f>STOCK[[#This Row],[Costo total]]*1.5</f>
        <v>16.485</v>
      </c>
      <c r="V799" s="54">
        <v>15</v>
      </c>
      <c r="W799" s="54">
        <f>STOCK[[#This Row],[Precio Final]]-STOCK[[#This Row],[Costo total]]</f>
        <v>4.01</v>
      </c>
      <c r="X799" s="54">
        <f>STOCK[[#This Row],[Ganancia Unitaria]]*STOCK[[#This Row],[Salidas]]</f>
        <v>8.02</v>
      </c>
      <c r="AA799" s="54">
        <f>STOCK[[#This Row],[Costo total]]*STOCK[[#This Row],[Entradas]]</f>
        <v>21.98</v>
      </c>
      <c r="AB799" s="54">
        <f>STOCK[[#This Row],[Stock Actual]]*STOCK[[#This Row],[Costo total]]</f>
        <v>0</v>
      </c>
    </row>
    <row r="800" s="53" customFormat="1" ht="50" customHeight="1" spans="1:28">
      <c r="A800" s="53" t="s">
        <v>1597</v>
      </c>
      <c r="B800" s="66"/>
      <c r="C800" s="53" t="s">
        <v>32</v>
      </c>
      <c r="D800" s="53" t="s">
        <v>515</v>
      </c>
      <c r="E800" s="67" t="s">
        <v>1598</v>
      </c>
      <c r="F800" s="53" t="s">
        <v>764</v>
      </c>
      <c r="G800" s="53" t="s">
        <v>1296</v>
      </c>
      <c r="H800" s="53">
        <f>STOCK[[#This Row],[Precio Final]]</f>
        <v>15</v>
      </c>
      <c r="I800" s="53">
        <f>STOCK[[#This Row],[Precio Venta Ideal (x1.5)]]</f>
        <v>16.485</v>
      </c>
      <c r="J800" s="71">
        <v>1</v>
      </c>
      <c r="K800" s="71">
        <f>SUMIFS(VENTAS[Cantidad],VENTAS[Código del producto Vendido],STOCK[[#This Row],[Code]])</f>
        <v>1</v>
      </c>
      <c r="L800" s="71">
        <f>STOCK[[#This Row],[Entradas]]-STOCK[[#This Row],[Salidas]]</f>
        <v>0</v>
      </c>
      <c r="M800" s="53">
        <f>STOCK[[#This Row],[Precio Final]]*10%</f>
        <v>1.5</v>
      </c>
      <c r="N800" s="53">
        <v>0</v>
      </c>
      <c r="O800" s="53">
        <v>0</v>
      </c>
      <c r="P800" s="53">
        <v>6.49</v>
      </c>
      <c r="Q800" s="71">
        <v>0</v>
      </c>
      <c r="R800" s="53">
        <v>0</v>
      </c>
      <c r="S800" s="53">
        <v>3</v>
      </c>
      <c r="T800" s="53">
        <f>STOCK[[#This Row],[Costo Unitario (USD)]]+STOCK[[#This Row],[Costo Envío (USD)]]+STOCK[[#This Row],[Comisión 10%]]</f>
        <v>10.99</v>
      </c>
      <c r="U800" s="53">
        <f>STOCK[[#This Row],[Costo total]]*1.5</f>
        <v>16.485</v>
      </c>
      <c r="V800" s="53">
        <v>15</v>
      </c>
      <c r="W800" s="53">
        <f>STOCK[[#This Row],[Precio Final]]-STOCK[[#This Row],[Costo total]]</f>
        <v>4.01</v>
      </c>
      <c r="X800" s="53">
        <f>STOCK[[#This Row],[Ganancia Unitaria]]*STOCK[[#This Row],[Salidas]]</f>
        <v>4.01</v>
      </c>
      <c r="AA800" s="53">
        <f>STOCK[[#This Row],[Costo total]]*STOCK[[#This Row],[Entradas]]</f>
        <v>10.99</v>
      </c>
      <c r="AB800" s="53">
        <f>STOCK[[#This Row],[Stock Actual]]*STOCK[[#This Row],[Costo total]]</f>
        <v>0</v>
      </c>
    </row>
    <row r="801" s="54" customFormat="1" ht="50" customHeight="1" spans="1:28">
      <c r="A801" s="54" t="s">
        <v>1599</v>
      </c>
      <c r="B801" s="66"/>
      <c r="C801" s="54" t="s">
        <v>32</v>
      </c>
      <c r="D801" s="54" t="s">
        <v>247</v>
      </c>
      <c r="E801" s="68" t="s">
        <v>1600</v>
      </c>
      <c r="F801" s="54" t="s">
        <v>42</v>
      </c>
      <c r="G801" s="54" t="s">
        <v>1601</v>
      </c>
      <c r="H801" s="54">
        <f>STOCK[[#This Row],[Precio Final]]</f>
        <v>20</v>
      </c>
      <c r="I801" s="54">
        <f>STOCK[[#This Row],[Precio Venta Ideal (x1.5)]]</f>
        <v>20.7</v>
      </c>
      <c r="J801" s="72">
        <v>3</v>
      </c>
      <c r="K801" s="72">
        <f>SUMIFS(VENTAS[Cantidad],VENTAS[Código del producto Vendido],STOCK[[#This Row],[Code]])</f>
        <v>3</v>
      </c>
      <c r="L801" s="72">
        <f>STOCK[[#This Row],[Entradas]]-STOCK[[#This Row],[Salidas]]</f>
        <v>0</v>
      </c>
      <c r="M801" s="54">
        <f>STOCK[[#This Row],[Precio Final]]*10%</f>
        <v>2</v>
      </c>
      <c r="N801" s="54">
        <v>0</v>
      </c>
      <c r="O801" s="54">
        <v>0</v>
      </c>
      <c r="P801" s="54">
        <v>10.3</v>
      </c>
      <c r="Q801" s="72">
        <v>0</v>
      </c>
      <c r="R801" s="54">
        <v>0</v>
      </c>
      <c r="S801" s="54">
        <v>1.5</v>
      </c>
      <c r="T801" s="53">
        <f>STOCK[[#This Row],[Costo Unitario (USD)]]+STOCK[[#This Row],[Costo Envío (USD)]]+STOCK[[#This Row],[Comisión 10%]]</f>
        <v>13.8</v>
      </c>
      <c r="U801" s="54">
        <f>STOCK[[#This Row],[Costo total]]*1.5</f>
        <v>20.7</v>
      </c>
      <c r="V801" s="54">
        <v>20</v>
      </c>
      <c r="W801" s="54">
        <f>STOCK[[#This Row],[Precio Final]]-STOCK[[#This Row],[Costo total]]</f>
        <v>6.2</v>
      </c>
      <c r="X801" s="54">
        <f>STOCK[[#This Row],[Ganancia Unitaria]]*STOCK[[#This Row],[Salidas]]</f>
        <v>18.6</v>
      </c>
      <c r="Y801" s="54" t="s">
        <v>1602</v>
      </c>
      <c r="AA801" s="54">
        <f>STOCK[[#This Row],[Costo total]]*STOCK[[#This Row],[Entradas]]</f>
        <v>41.4</v>
      </c>
      <c r="AB801" s="54">
        <f>STOCK[[#This Row],[Stock Actual]]*STOCK[[#This Row],[Costo total]]</f>
        <v>0</v>
      </c>
    </row>
    <row r="802" s="53" customFormat="1" ht="50" customHeight="1" spans="1:28">
      <c r="A802" s="53" t="s">
        <v>1603</v>
      </c>
      <c r="B802" s="66"/>
      <c r="C802" s="53" t="s">
        <v>32</v>
      </c>
      <c r="D802" s="53" t="s">
        <v>515</v>
      </c>
      <c r="E802" s="67" t="s">
        <v>1604</v>
      </c>
      <c r="F802" s="53" t="s">
        <v>540</v>
      </c>
      <c r="G802" s="53" t="s">
        <v>36</v>
      </c>
      <c r="H802" s="53">
        <f>STOCK[[#This Row],[Precio Final]]</f>
        <v>35</v>
      </c>
      <c r="I802" s="53">
        <f>STOCK[[#This Row],[Precio Venta Ideal (x1.5)]]</f>
        <v>31.29</v>
      </c>
      <c r="J802" s="71">
        <v>1</v>
      </c>
      <c r="K802" s="71">
        <f>SUMIFS(VENTAS[Cantidad],VENTAS[Código del producto Vendido],STOCK[[#This Row],[Code]])</f>
        <v>1</v>
      </c>
      <c r="L802" s="71">
        <f>STOCK[[#This Row],[Entradas]]-STOCK[[#This Row],[Salidas]]</f>
        <v>0</v>
      </c>
      <c r="M802" s="53">
        <f>STOCK[[#This Row],[Precio Final]]*10%</f>
        <v>3.5</v>
      </c>
      <c r="N802" s="53">
        <v>0</v>
      </c>
      <c r="O802" s="53">
        <v>0</v>
      </c>
      <c r="P802" s="53">
        <v>15.86</v>
      </c>
      <c r="Q802" s="71">
        <v>0</v>
      </c>
      <c r="R802" s="53">
        <v>0</v>
      </c>
      <c r="S802" s="53">
        <v>1.5</v>
      </c>
      <c r="T802" s="53">
        <f>STOCK[[#This Row],[Costo Unitario (USD)]]+STOCK[[#This Row],[Costo Envío (USD)]]+STOCK[[#This Row],[Comisión 10%]]</f>
        <v>20.86</v>
      </c>
      <c r="U802" s="53">
        <f>STOCK[[#This Row],[Costo total]]*1.5</f>
        <v>31.29</v>
      </c>
      <c r="V802" s="53">
        <v>35</v>
      </c>
      <c r="W802" s="53">
        <f>STOCK[[#This Row],[Precio Final]]-STOCK[[#This Row],[Costo total]]</f>
        <v>14.14</v>
      </c>
      <c r="X802" s="53">
        <f>STOCK[[#This Row],[Ganancia Unitaria]]*STOCK[[#This Row],[Salidas]]</f>
        <v>14.14</v>
      </c>
      <c r="AA802" s="53">
        <f>STOCK[[#This Row],[Costo total]]*STOCK[[#This Row],[Entradas]]</f>
        <v>20.86</v>
      </c>
      <c r="AB802" s="53">
        <f>STOCK[[#This Row],[Stock Actual]]*STOCK[[#This Row],[Costo total]]</f>
        <v>0</v>
      </c>
    </row>
    <row r="803" s="54" customFormat="1" ht="50" customHeight="1" spans="1:28">
      <c r="A803" s="54" t="s">
        <v>1605</v>
      </c>
      <c r="B803" s="66"/>
      <c r="C803" s="54" t="s">
        <v>32</v>
      </c>
      <c r="D803" s="53" t="s">
        <v>515</v>
      </c>
      <c r="E803" s="68" t="s">
        <v>1604</v>
      </c>
      <c r="F803" s="54" t="s">
        <v>764</v>
      </c>
      <c r="G803" s="54" t="s">
        <v>36</v>
      </c>
      <c r="H803" s="54">
        <f>STOCK[[#This Row],[Precio Final]]</f>
        <v>35</v>
      </c>
      <c r="I803" s="54">
        <f>STOCK[[#This Row],[Precio Venta Ideal (x1.5)]]</f>
        <v>31.29</v>
      </c>
      <c r="J803" s="72">
        <v>1</v>
      </c>
      <c r="K803" s="72">
        <f>SUMIFS(VENTAS[Cantidad],VENTAS[Código del producto Vendido],STOCK[[#This Row],[Code]])</f>
        <v>1</v>
      </c>
      <c r="L803" s="72">
        <f>STOCK[[#This Row],[Entradas]]-STOCK[[#This Row],[Salidas]]</f>
        <v>0</v>
      </c>
      <c r="M803" s="54">
        <f>STOCK[[#This Row],[Precio Final]]*10%</f>
        <v>3.5</v>
      </c>
      <c r="N803" s="54">
        <v>0</v>
      </c>
      <c r="O803" s="54">
        <v>0</v>
      </c>
      <c r="P803" s="54">
        <v>15.86</v>
      </c>
      <c r="Q803" s="72">
        <v>0</v>
      </c>
      <c r="R803" s="54">
        <v>0</v>
      </c>
      <c r="S803" s="54">
        <v>1.5</v>
      </c>
      <c r="T803" s="53">
        <f>STOCK[[#This Row],[Costo Unitario (USD)]]+STOCK[[#This Row],[Costo Envío (USD)]]+STOCK[[#This Row],[Comisión 10%]]</f>
        <v>20.86</v>
      </c>
      <c r="U803" s="54">
        <f>STOCK[[#This Row],[Costo total]]*1.5</f>
        <v>31.29</v>
      </c>
      <c r="V803" s="54">
        <v>35</v>
      </c>
      <c r="W803" s="54">
        <f>STOCK[[#This Row],[Precio Final]]-STOCK[[#This Row],[Costo total]]</f>
        <v>14.14</v>
      </c>
      <c r="X803" s="54">
        <f>STOCK[[#This Row],[Ganancia Unitaria]]*STOCK[[#This Row],[Salidas]]</f>
        <v>14.14</v>
      </c>
      <c r="Y803" s="54" t="s">
        <v>1602</v>
      </c>
      <c r="AA803" s="54">
        <f>STOCK[[#This Row],[Costo total]]*STOCK[[#This Row],[Entradas]]</f>
        <v>20.86</v>
      </c>
      <c r="AB803" s="54">
        <f>STOCK[[#This Row],[Stock Actual]]*STOCK[[#This Row],[Costo total]]</f>
        <v>0</v>
      </c>
    </row>
    <row r="804" s="53" customFormat="1" ht="50" customHeight="1" spans="1:28">
      <c r="A804" s="53" t="s">
        <v>1606</v>
      </c>
      <c r="B804" s="66"/>
      <c r="C804" s="53" t="s">
        <v>32</v>
      </c>
      <c r="D804" s="53" t="s">
        <v>44</v>
      </c>
      <c r="E804" s="67" t="s">
        <v>1607</v>
      </c>
      <c r="F804" s="53" t="s">
        <v>49</v>
      </c>
      <c r="G804" s="53" t="s">
        <v>36</v>
      </c>
      <c r="H804" s="53">
        <f>STOCK[[#This Row],[Precio Final]]</f>
        <v>30</v>
      </c>
      <c r="I804" s="53">
        <f>STOCK[[#This Row],[Precio Venta Ideal (x1.5)]]</f>
        <v>26.76</v>
      </c>
      <c r="J804" s="71">
        <v>2</v>
      </c>
      <c r="K804" s="71">
        <f>SUMIFS(VENTAS[Cantidad],VENTAS[Código del producto Vendido],STOCK[[#This Row],[Code]])</f>
        <v>2</v>
      </c>
      <c r="L804" s="71">
        <f>STOCK[[#This Row],[Entradas]]-STOCK[[#This Row],[Salidas]]</f>
        <v>0</v>
      </c>
      <c r="M804" s="53">
        <f>STOCK[[#This Row],[Precio Final]]*10%</f>
        <v>3</v>
      </c>
      <c r="N804" s="53">
        <v>0</v>
      </c>
      <c r="O804" s="53">
        <v>0</v>
      </c>
      <c r="P804" s="53">
        <v>13.34</v>
      </c>
      <c r="Q804" s="71">
        <v>0</v>
      </c>
      <c r="R804" s="53">
        <v>0</v>
      </c>
      <c r="S804" s="53">
        <v>1.5</v>
      </c>
      <c r="T804" s="53">
        <f>STOCK[[#This Row],[Costo Unitario (USD)]]+STOCK[[#This Row],[Costo Envío (USD)]]+STOCK[[#This Row],[Comisión 10%]]</f>
        <v>17.84</v>
      </c>
      <c r="U804" s="53">
        <f>STOCK[[#This Row],[Costo total]]*1.5</f>
        <v>26.76</v>
      </c>
      <c r="V804" s="53">
        <v>30</v>
      </c>
      <c r="W804" s="53">
        <f>STOCK[[#This Row],[Precio Final]]-STOCK[[#This Row],[Costo total]]</f>
        <v>12.16</v>
      </c>
      <c r="X804" s="53">
        <f>STOCK[[#This Row],[Ganancia Unitaria]]*STOCK[[#This Row],[Salidas]]</f>
        <v>24.32</v>
      </c>
      <c r="Y804" s="53" t="s">
        <v>1602</v>
      </c>
      <c r="AA804" s="53">
        <f>STOCK[[#This Row],[Costo total]]*STOCK[[#This Row],[Entradas]]</f>
        <v>35.68</v>
      </c>
      <c r="AB804" s="53">
        <f>STOCK[[#This Row],[Stock Actual]]*STOCK[[#This Row],[Costo total]]</f>
        <v>0</v>
      </c>
    </row>
    <row r="805" s="54" customFormat="1" ht="50" customHeight="1" spans="1:28">
      <c r="A805" s="54" t="s">
        <v>1608</v>
      </c>
      <c r="B805" s="66"/>
      <c r="C805" s="54" t="s">
        <v>32</v>
      </c>
      <c r="D805" s="54" t="s">
        <v>44</v>
      </c>
      <c r="E805" s="68" t="s">
        <v>1607</v>
      </c>
      <c r="F805" s="54" t="s">
        <v>62</v>
      </c>
      <c r="G805" s="54" t="s">
        <v>36</v>
      </c>
      <c r="H805" s="54">
        <f>STOCK[[#This Row],[Precio Final]]</f>
        <v>30</v>
      </c>
      <c r="I805" s="54">
        <f>STOCK[[#This Row],[Precio Venta Ideal (x1.5)]]</f>
        <v>26.76</v>
      </c>
      <c r="J805" s="72">
        <v>1</v>
      </c>
      <c r="K805" s="72">
        <f>SUMIFS(VENTAS[Cantidad],VENTAS[Código del producto Vendido],STOCK[[#This Row],[Code]])</f>
        <v>1</v>
      </c>
      <c r="L805" s="72">
        <f>STOCK[[#This Row],[Entradas]]-STOCK[[#This Row],[Salidas]]</f>
        <v>0</v>
      </c>
      <c r="M805" s="54">
        <f>STOCK[[#This Row],[Precio Final]]*10%</f>
        <v>3</v>
      </c>
      <c r="N805" s="54">
        <v>0</v>
      </c>
      <c r="O805" s="54">
        <v>0</v>
      </c>
      <c r="P805" s="54">
        <v>13.34</v>
      </c>
      <c r="Q805" s="72">
        <v>0</v>
      </c>
      <c r="R805" s="54">
        <v>0</v>
      </c>
      <c r="S805" s="54">
        <v>1.5</v>
      </c>
      <c r="T805" s="53">
        <f>STOCK[[#This Row],[Costo Unitario (USD)]]+STOCK[[#This Row],[Costo Envío (USD)]]+STOCK[[#This Row],[Comisión 10%]]</f>
        <v>17.84</v>
      </c>
      <c r="U805" s="54">
        <f>STOCK[[#This Row],[Costo total]]*1.5</f>
        <v>26.76</v>
      </c>
      <c r="V805" s="54">
        <v>30</v>
      </c>
      <c r="W805" s="54">
        <f>STOCK[[#This Row],[Precio Final]]-STOCK[[#This Row],[Costo total]]</f>
        <v>12.16</v>
      </c>
      <c r="X805" s="54">
        <f>STOCK[[#This Row],[Ganancia Unitaria]]*STOCK[[#This Row],[Salidas]]</f>
        <v>12.16</v>
      </c>
      <c r="Y805" s="54" t="s">
        <v>1602</v>
      </c>
      <c r="AA805" s="54">
        <f>STOCK[[#This Row],[Costo total]]*STOCK[[#This Row],[Entradas]]</f>
        <v>17.84</v>
      </c>
      <c r="AB805" s="54">
        <f>STOCK[[#This Row],[Stock Actual]]*STOCK[[#This Row],[Costo total]]</f>
        <v>0</v>
      </c>
    </row>
    <row r="806" s="53" customFormat="1" ht="50" customHeight="1" spans="1:28">
      <c r="A806" s="53" t="s">
        <v>1609</v>
      </c>
      <c r="B806" s="66"/>
      <c r="C806" s="53" t="s">
        <v>32</v>
      </c>
      <c r="D806" s="53" t="s">
        <v>1610</v>
      </c>
      <c r="E806" s="67" t="s">
        <v>1611</v>
      </c>
      <c r="F806" s="53" t="s">
        <v>83</v>
      </c>
      <c r="G806" s="53" t="s">
        <v>36</v>
      </c>
      <c r="H806" s="53">
        <f>STOCK[[#This Row],[Precio Final]]</f>
        <v>30</v>
      </c>
      <c r="I806" s="53">
        <f>STOCK[[#This Row],[Precio Venta Ideal (x1.5)]]</f>
        <v>26.76</v>
      </c>
      <c r="J806" s="71">
        <v>2</v>
      </c>
      <c r="K806" s="71">
        <f>SUMIFS(VENTAS[Cantidad],VENTAS[Código del producto Vendido],STOCK[[#This Row],[Code]])</f>
        <v>2</v>
      </c>
      <c r="L806" s="71">
        <f>STOCK[[#This Row],[Entradas]]-STOCK[[#This Row],[Salidas]]</f>
        <v>0</v>
      </c>
      <c r="M806" s="53">
        <f>STOCK[[#This Row],[Precio Final]]*10%</f>
        <v>3</v>
      </c>
      <c r="N806" s="53">
        <v>0</v>
      </c>
      <c r="O806" s="53">
        <v>0</v>
      </c>
      <c r="P806" s="53">
        <v>13.34</v>
      </c>
      <c r="Q806" s="71">
        <v>0</v>
      </c>
      <c r="R806" s="53">
        <v>0</v>
      </c>
      <c r="S806" s="53">
        <v>1.5</v>
      </c>
      <c r="T806" s="53">
        <f>STOCK[[#This Row],[Costo Unitario (USD)]]+STOCK[[#This Row],[Costo Envío (USD)]]+STOCK[[#This Row],[Comisión 10%]]</f>
        <v>17.84</v>
      </c>
      <c r="U806" s="53">
        <f>STOCK[[#This Row],[Costo total]]*1.5</f>
        <v>26.76</v>
      </c>
      <c r="V806" s="53">
        <v>30</v>
      </c>
      <c r="W806" s="53">
        <f>STOCK[[#This Row],[Precio Final]]-STOCK[[#This Row],[Costo total]]</f>
        <v>12.16</v>
      </c>
      <c r="X806" s="53">
        <f>STOCK[[#This Row],[Ganancia Unitaria]]*STOCK[[#This Row],[Salidas]]</f>
        <v>24.32</v>
      </c>
      <c r="Y806" s="53" t="s">
        <v>1602</v>
      </c>
      <c r="AA806" s="53">
        <f>STOCK[[#This Row],[Costo total]]*STOCK[[#This Row],[Entradas]]</f>
        <v>35.68</v>
      </c>
      <c r="AB806" s="53">
        <f>STOCK[[#This Row],[Stock Actual]]*STOCK[[#This Row],[Costo total]]</f>
        <v>0</v>
      </c>
    </row>
    <row r="807" s="54" customFormat="1" ht="50" customHeight="1" spans="1:28">
      <c r="A807" s="54" t="s">
        <v>1612</v>
      </c>
      <c r="B807" s="66"/>
      <c r="C807" s="54" t="s">
        <v>32</v>
      </c>
      <c r="D807" s="54" t="s">
        <v>174</v>
      </c>
      <c r="E807" s="68" t="s">
        <v>1613</v>
      </c>
      <c r="F807" s="54" t="s">
        <v>211</v>
      </c>
      <c r="G807" s="54" t="s">
        <v>36</v>
      </c>
      <c r="H807" s="54">
        <f>STOCK[[#This Row],[Precio Final]]</f>
        <v>22</v>
      </c>
      <c r="I807" s="54">
        <f>STOCK[[#This Row],[Precio Venta Ideal (x1.5)]]</f>
        <v>17.91</v>
      </c>
      <c r="J807" s="72">
        <v>4</v>
      </c>
      <c r="K807" s="72">
        <f>SUMIFS(VENTAS[Cantidad],VENTAS[Código del producto Vendido],STOCK[[#This Row],[Code]])</f>
        <v>4</v>
      </c>
      <c r="L807" s="72">
        <f>STOCK[[#This Row],[Entradas]]-STOCK[[#This Row],[Salidas]]</f>
        <v>0</v>
      </c>
      <c r="M807" s="54">
        <f>STOCK[[#This Row],[Precio Final]]*10%</f>
        <v>2.2</v>
      </c>
      <c r="N807" s="54">
        <v>0</v>
      </c>
      <c r="O807" s="54">
        <v>0</v>
      </c>
      <c r="P807" s="54">
        <v>8.24</v>
      </c>
      <c r="Q807" s="72">
        <v>0</v>
      </c>
      <c r="R807" s="54">
        <v>0</v>
      </c>
      <c r="S807" s="54">
        <v>1.5</v>
      </c>
      <c r="T807" s="53">
        <f>STOCK[[#This Row],[Costo Unitario (USD)]]+STOCK[[#This Row],[Costo Envío (USD)]]+STOCK[[#This Row],[Comisión 10%]]</f>
        <v>11.94</v>
      </c>
      <c r="U807" s="54">
        <f>STOCK[[#This Row],[Costo total]]*1.5</f>
        <v>17.91</v>
      </c>
      <c r="V807" s="54">
        <v>22</v>
      </c>
      <c r="W807" s="54">
        <f>STOCK[[#This Row],[Precio Final]]-STOCK[[#This Row],[Costo total]]</f>
        <v>10.06</v>
      </c>
      <c r="X807" s="54">
        <f>STOCK[[#This Row],[Ganancia Unitaria]]*STOCK[[#This Row],[Salidas]]</f>
        <v>40.24</v>
      </c>
      <c r="Y807" s="54" t="s">
        <v>1602</v>
      </c>
      <c r="AA807" s="54">
        <f>STOCK[[#This Row],[Costo total]]*STOCK[[#This Row],[Entradas]]</f>
        <v>47.76</v>
      </c>
      <c r="AB807" s="54">
        <f>STOCK[[#This Row],[Stock Actual]]*STOCK[[#This Row],[Costo total]]</f>
        <v>0</v>
      </c>
    </row>
    <row r="808" s="53" customFormat="1" ht="50" customHeight="1" spans="1:28">
      <c r="A808" s="53" t="s">
        <v>1614</v>
      </c>
      <c r="B808" s="66"/>
      <c r="C808" s="53" t="s">
        <v>32</v>
      </c>
      <c r="D808" s="53" t="s">
        <v>174</v>
      </c>
      <c r="E808" s="67" t="s">
        <v>1613</v>
      </c>
      <c r="F808" s="53" t="s">
        <v>62</v>
      </c>
      <c r="G808" s="53" t="s">
        <v>36</v>
      </c>
      <c r="H808" s="53">
        <f>STOCK[[#This Row],[Precio Final]]</f>
        <v>22</v>
      </c>
      <c r="I808" s="53">
        <f>STOCK[[#This Row],[Precio Venta Ideal (x1.5)]]</f>
        <v>17.91</v>
      </c>
      <c r="J808" s="71">
        <v>4</v>
      </c>
      <c r="K808" s="71">
        <f>SUMIFS(VENTAS[Cantidad],VENTAS[Código del producto Vendido],STOCK[[#This Row],[Code]])</f>
        <v>4</v>
      </c>
      <c r="L808" s="71">
        <f>STOCK[[#This Row],[Entradas]]-STOCK[[#This Row],[Salidas]]</f>
        <v>0</v>
      </c>
      <c r="M808" s="53">
        <f>STOCK[[#This Row],[Precio Final]]*10%</f>
        <v>2.2</v>
      </c>
      <c r="N808" s="53">
        <v>0</v>
      </c>
      <c r="O808" s="53">
        <v>0</v>
      </c>
      <c r="P808" s="53">
        <v>8.24</v>
      </c>
      <c r="Q808" s="71">
        <v>0</v>
      </c>
      <c r="R808" s="53">
        <v>0</v>
      </c>
      <c r="S808" s="53">
        <v>1.5</v>
      </c>
      <c r="T808" s="53">
        <f>STOCK[[#This Row],[Costo Unitario (USD)]]+STOCK[[#This Row],[Costo Envío (USD)]]+STOCK[[#This Row],[Comisión 10%]]</f>
        <v>11.94</v>
      </c>
      <c r="U808" s="53">
        <f>STOCK[[#This Row],[Costo total]]*1.5</f>
        <v>17.91</v>
      </c>
      <c r="V808" s="53">
        <v>22</v>
      </c>
      <c r="W808" s="53">
        <f>STOCK[[#This Row],[Precio Final]]-STOCK[[#This Row],[Costo total]]</f>
        <v>10.06</v>
      </c>
      <c r="X808" s="53">
        <f>STOCK[[#This Row],[Ganancia Unitaria]]*STOCK[[#This Row],[Salidas]]</f>
        <v>40.24</v>
      </c>
      <c r="Y808" s="53" t="s">
        <v>1602</v>
      </c>
      <c r="AA808" s="53">
        <f>STOCK[[#This Row],[Costo total]]*STOCK[[#This Row],[Entradas]]</f>
        <v>47.76</v>
      </c>
      <c r="AB808" s="53">
        <f>STOCK[[#This Row],[Stock Actual]]*STOCK[[#This Row],[Costo total]]</f>
        <v>0</v>
      </c>
    </row>
    <row r="809" s="54" customFormat="1" ht="50" customHeight="1" spans="1:28">
      <c r="A809" s="54" t="s">
        <v>1615</v>
      </c>
      <c r="B809" s="66"/>
      <c r="C809" s="54" t="s">
        <v>32</v>
      </c>
      <c r="D809" s="54" t="s">
        <v>247</v>
      </c>
      <c r="E809" s="68" t="s">
        <v>1613</v>
      </c>
      <c r="F809" s="54" t="s">
        <v>46</v>
      </c>
      <c r="G809" s="54" t="s">
        <v>36</v>
      </c>
      <c r="H809" s="54">
        <f>STOCK[[#This Row],[Precio Final]]</f>
        <v>22</v>
      </c>
      <c r="I809" s="54">
        <f>STOCK[[#This Row],[Precio Venta Ideal (x1.5)]]</f>
        <v>17.91</v>
      </c>
      <c r="J809" s="72">
        <v>2</v>
      </c>
      <c r="K809" s="72">
        <f>SUMIFS(VENTAS[Cantidad],VENTAS[Código del producto Vendido],STOCK[[#This Row],[Code]])</f>
        <v>2</v>
      </c>
      <c r="L809" s="72">
        <f>STOCK[[#This Row],[Entradas]]-STOCK[[#This Row],[Salidas]]</f>
        <v>0</v>
      </c>
      <c r="M809" s="54">
        <f>STOCK[[#This Row],[Precio Final]]*10%</f>
        <v>2.2</v>
      </c>
      <c r="N809" s="54">
        <v>0</v>
      </c>
      <c r="O809" s="54">
        <v>0</v>
      </c>
      <c r="P809" s="54">
        <v>8.24</v>
      </c>
      <c r="Q809" s="72">
        <v>0</v>
      </c>
      <c r="R809" s="54">
        <v>0</v>
      </c>
      <c r="S809" s="54">
        <v>1.5</v>
      </c>
      <c r="T809" s="53">
        <f>STOCK[[#This Row],[Costo Unitario (USD)]]+STOCK[[#This Row],[Costo Envío (USD)]]+STOCK[[#This Row],[Comisión 10%]]</f>
        <v>11.94</v>
      </c>
      <c r="U809" s="54">
        <f>STOCK[[#This Row],[Costo total]]*1.5</f>
        <v>17.91</v>
      </c>
      <c r="V809" s="54">
        <v>22</v>
      </c>
      <c r="W809" s="54">
        <f>STOCK[[#This Row],[Precio Final]]-STOCK[[#This Row],[Costo total]]</f>
        <v>10.06</v>
      </c>
      <c r="X809" s="54">
        <f>STOCK[[#This Row],[Ganancia Unitaria]]*STOCK[[#This Row],[Salidas]]</f>
        <v>20.12</v>
      </c>
      <c r="Y809" s="54" t="s">
        <v>1602</v>
      </c>
      <c r="AA809" s="54">
        <f>STOCK[[#This Row],[Costo total]]*STOCK[[#This Row],[Entradas]]</f>
        <v>23.88</v>
      </c>
      <c r="AB809" s="54">
        <f>STOCK[[#This Row],[Stock Actual]]*STOCK[[#This Row],[Costo total]]</f>
        <v>0</v>
      </c>
    </row>
    <row r="810" s="53" customFormat="1" ht="50" customHeight="1" spans="1:28">
      <c r="A810" s="53" t="s">
        <v>1616</v>
      </c>
      <c r="B810" s="66"/>
      <c r="C810" s="53" t="s">
        <v>32</v>
      </c>
      <c r="D810" s="53" t="s">
        <v>44</v>
      </c>
      <c r="E810" s="67" t="s">
        <v>1617</v>
      </c>
      <c r="F810" s="53" t="s">
        <v>49</v>
      </c>
      <c r="G810" s="53" t="s">
        <v>36</v>
      </c>
      <c r="H810" s="53">
        <f>STOCK[[#This Row],[Precio Final]]</f>
        <v>30</v>
      </c>
      <c r="I810" s="53">
        <f>STOCK[[#This Row],[Precio Venta Ideal (x1.5)]]</f>
        <v>27.135</v>
      </c>
      <c r="J810" s="71">
        <v>1</v>
      </c>
      <c r="K810" s="71">
        <f>SUMIFS(VENTAS[Cantidad],VENTAS[Código del producto Vendido],STOCK[[#This Row],[Code]])</f>
        <v>1</v>
      </c>
      <c r="L810" s="71">
        <f>STOCK[[#This Row],[Entradas]]-STOCK[[#This Row],[Salidas]]</f>
        <v>0</v>
      </c>
      <c r="M810" s="53">
        <f>STOCK[[#This Row],[Precio Final]]*10%</f>
        <v>3</v>
      </c>
      <c r="N810" s="53">
        <v>0</v>
      </c>
      <c r="O810" s="53">
        <v>0</v>
      </c>
      <c r="P810" s="53">
        <v>13.59</v>
      </c>
      <c r="Q810" s="71">
        <v>0</v>
      </c>
      <c r="R810" s="53">
        <v>0</v>
      </c>
      <c r="S810" s="53">
        <v>1.5</v>
      </c>
      <c r="T810" s="53">
        <f>STOCK[[#This Row],[Costo Unitario (USD)]]+STOCK[[#This Row],[Costo Envío (USD)]]+STOCK[[#This Row],[Comisión 10%]]</f>
        <v>18.09</v>
      </c>
      <c r="U810" s="53">
        <f>STOCK[[#This Row],[Costo total]]*1.5</f>
        <v>27.135</v>
      </c>
      <c r="V810" s="53">
        <v>30</v>
      </c>
      <c r="W810" s="53">
        <f>STOCK[[#This Row],[Precio Final]]-STOCK[[#This Row],[Costo total]]</f>
        <v>11.91</v>
      </c>
      <c r="X810" s="53">
        <f>STOCK[[#This Row],[Ganancia Unitaria]]*STOCK[[#This Row],[Salidas]]</f>
        <v>11.91</v>
      </c>
      <c r="Y810" s="53" t="s">
        <v>1602</v>
      </c>
      <c r="AA810" s="53">
        <f>STOCK[[#This Row],[Costo total]]*STOCK[[#This Row],[Entradas]]</f>
        <v>18.09</v>
      </c>
      <c r="AB810" s="53">
        <f>STOCK[[#This Row],[Stock Actual]]*STOCK[[#This Row],[Costo total]]</f>
        <v>0</v>
      </c>
    </row>
    <row r="811" s="54" customFormat="1" ht="50" customHeight="1" spans="1:28">
      <c r="A811" s="54" t="s">
        <v>1618</v>
      </c>
      <c r="B811" s="66"/>
      <c r="C811" s="54" t="s">
        <v>32</v>
      </c>
      <c r="D811" s="54" t="s">
        <v>44</v>
      </c>
      <c r="E811" s="68" t="s">
        <v>1617</v>
      </c>
      <c r="F811" s="54" t="s">
        <v>88</v>
      </c>
      <c r="G811" s="54" t="s">
        <v>36</v>
      </c>
      <c r="H811" s="54">
        <f>STOCK[[#This Row],[Precio Final]]</f>
        <v>30</v>
      </c>
      <c r="I811" s="54">
        <f>STOCK[[#This Row],[Precio Venta Ideal (x1.5)]]</f>
        <v>27.135</v>
      </c>
      <c r="J811" s="72">
        <v>1</v>
      </c>
      <c r="K811" s="72">
        <f>SUMIFS(VENTAS[Cantidad],VENTAS[Código del producto Vendido],STOCK[[#This Row],[Code]])</f>
        <v>1</v>
      </c>
      <c r="L811" s="72">
        <f>STOCK[[#This Row],[Entradas]]-STOCK[[#This Row],[Salidas]]</f>
        <v>0</v>
      </c>
      <c r="M811" s="54">
        <f>STOCK[[#This Row],[Precio Final]]*10%</f>
        <v>3</v>
      </c>
      <c r="N811" s="54">
        <v>0</v>
      </c>
      <c r="O811" s="54">
        <v>0</v>
      </c>
      <c r="P811" s="54">
        <v>13.59</v>
      </c>
      <c r="Q811" s="72">
        <v>0</v>
      </c>
      <c r="R811" s="54">
        <v>0</v>
      </c>
      <c r="S811" s="54">
        <v>1.5</v>
      </c>
      <c r="T811" s="53">
        <f>STOCK[[#This Row],[Costo Unitario (USD)]]+STOCK[[#This Row],[Costo Envío (USD)]]+STOCK[[#This Row],[Comisión 10%]]</f>
        <v>18.09</v>
      </c>
      <c r="U811" s="54">
        <f>STOCK[[#This Row],[Costo total]]*1.5</f>
        <v>27.135</v>
      </c>
      <c r="V811" s="54">
        <v>30</v>
      </c>
      <c r="W811" s="54">
        <f>STOCK[[#This Row],[Precio Final]]-STOCK[[#This Row],[Costo total]]</f>
        <v>11.91</v>
      </c>
      <c r="X811" s="54">
        <f>STOCK[[#This Row],[Ganancia Unitaria]]*STOCK[[#This Row],[Salidas]]</f>
        <v>11.91</v>
      </c>
      <c r="Y811" s="54" t="s">
        <v>1602</v>
      </c>
      <c r="AA811" s="54">
        <f>STOCK[[#This Row],[Costo total]]*STOCK[[#This Row],[Entradas]]</f>
        <v>18.09</v>
      </c>
      <c r="AB811" s="54">
        <f>STOCK[[#This Row],[Stock Actual]]*STOCK[[#This Row],[Costo total]]</f>
        <v>0</v>
      </c>
    </row>
    <row r="812" s="53" customFormat="1" ht="50" customHeight="1" spans="1:28">
      <c r="A812" s="53" t="s">
        <v>1619</v>
      </c>
      <c r="B812" s="66"/>
      <c r="C812" s="53" t="s">
        <v>32</v>
      </c>
      <c r="D812" s="53" t="s">
        <v>44</v>
      </c>
      <c r="E812" s="67" t="s">
        <v>1620</v>
      </c>
      <c r="F812" s="53" t="s">
        <v>211</v>
      </c>
      <c r="G812" s="53" t="s">
        <v>36</v>
      </c>
      <c r="H812" s="53">
        <f>STOCK[[#This Row],[Precio Final]]</f>
        <v>25</v>
      </c>
      <c r="I812" s="53">
        <f>STOCK[[#This Row],[Precio Venta Ideal (x1.5)]]</f>
        <v>22.35</v>
      </c>
      <c r="J812" s="71">
        <v>1</v>
      </c>
      <c r="K812" s="71">
        <f>SUMIFS(VENTAS[Cantidad],VENTAS[Código del producto Vendido],STOCK[[#This Row],[Code]])</f>
        <v>1</v>
      </c>
      <c r="L812" s="71">
        <f>STOCK[[#This Row],[Entradas]]-STOCK[[#This Row],[Salidas]]</f>
        <v>0</v>
      </c>
      <c r="M812" s="53">
        <f>STOCK[[#This Row],[Precio Final]]*10%</f>
        <v>2.5</v>
      </c>
      <c r="N812" s="53">
        <v>0</v>
      </c>
      <c r="O812" s="53">
        <v>0</v>
      </c>
      <c r="P812" s="53">
        <v>10.9</v>
      </c>
      <c r="Q812" s="71">
        <v>0</v>
      </c>
      <c r="R812" s="53">
        <v>0</v>
      </c>
      <c r="S812" s="53">
        <v>1.5</v>
      </c>
      <c r="T812" s="53">
        <f>STOCK[[#This Row],[Costo Unitario (USD)]]+STOCK[[#This Row],[Costo Envío (USD)]]+STOCK[[#This Row],[Comisión 10%]]</f>
        <v>14.9</v>
      </c>
      <c r="U812" s="53">
        <f>STOCK[[#This Row],[Costo total]]*1.5</f>
        <v>22.35</v>
      </c>
      <c r="V812" s="53">
        <v>25</v>
      </c>
      <c r="W812" s="53">
        <f>STOCK[[#This Row],[Precio Final]]-STOCK[[#This Row],[Costo total]]</f>
        <v>10.1</v>
      </c>
      <c r="X812" s="53">
        <f>STOCK[[#This Row],[Ganancia Unitaria]]*STOCK[[#This Row],[Salidas]]</f>
        <v>10.1</v>
      </c>
      <c r="Y812" s="53" t="s">
        <v>1602</v>
      </c>
      <c r="AA812" s="53">
        <f>STOCK[[#This Row],[Costo total]]*STOCK[[#This Row],[Entradas]]</f>
        <v>14.9</v>
      </c>
      <c r="AB812" s="53">
        <f>STOCK[[#This Row],[Stock Actual]]*STOCK[[#This Row],[Costo total]]</f>
        <v>0</v>
      </c>
    </row>
    <row r="813" s="54" customFormat="1" ht="50" customHeight="1" spans="1:28">
      <c r="A813" s="54" t="s">
        <v>1621</v>
      </c>
      <c r="B813" s="66"/>
      <c r="C813" s="54" t="s">
        <v>32</v>
      </c>
      <c r="D813" s="54" t="s">
        <v>1014</v>
      </c>
      <c r="E813" s="68" t="s">
        <v>1620</v>
      </c>
      <c r="F813" s="54" t="s">
        <v>88</v>
      </c>
      <c r="G813" s="54" t="s">
        <v>36</v>
      </c>
      <c r="H813" s="54">
        <f>STOCK[[#This Row],[Precio Final]]</f>
        <v>35</v>
      </c>
      <c r="I813" s="54">
        <f>STOCK[[#This Row],[Precio Venta Ideal (x1.5)]]</f>
        <v>23.85</v>
      </c>
      <c r="J813" s="72">
        <v>2</v>
      </c>
      <c r="K813" s="72">
        <f>SUMIFS(VENTAS[Cantidad],VENTAS[Código del producto Vendido],STOCK[[#This Row],[Code]])</f>
        <v>2</v>
      </c>
      <c r="L813" s="72">
        <f>STOCK[[#This Row],[Entradas]]-STOCK[[#This Row],[Salidas]]</f>
        <v>0</v>
      </c>
      <c r="M813" s="54">
        <f>STOCK[[#This Row],[Precio Final]]*10%</f>
        <v>3.5</v>
      </c>
      <c r="N813" s="54">
        <v>0</v>
      </c>
      <c r="O813" s="54">
        <v>0</v>
      </c>
      <c r="P813" s="54">
        <v>10.9</v>
      </c>
      <c r="Q813" s="72">
        <v>0</v>
      </c>
      <c r="R813" s="54">
        <v>0</v>
      </c>
      <c r="S813" s="54">
        <v>1.5</v>
      </c>
      <c r="T813" s="53">
        <f>STOCK[[#This Row],[Costo Unitario (USD)]]+STOCK[[#This Row],[Costo Envío (USD)]]+STOCK[[#This Row],[Comisión 10%]]</f>
        <v>15.9</v>
      </c>
      <c r="U813" s="54">
        <f>STOCK[[#This Row],[Costo total]]*1.5</f>
        <v>23.85</v>
      </c>
      <c r="V813" s="54">
        <v>35</v>
      </c>
      <c r="W813" s="54">
        <f>STOCK[[#This Row],[Precio Final]]-STOCK[[#This Row],[Costo total]]</f>
        <v>19.1</v>
      </c>
      <c r="X813" s="54">
        <f>STOCK[[#This Row],[Ganancia Unitaria]]*STOCK[[#This Row],[Salidas]]</f>
        <v>38.2</v>
      </c>
      <c r="Y813" s="54" t="s">
        <v>1602</v>
      </c>
      <c r="AA813" s="54">
        <f>STOCK[[#This Row],[Costo total]]*STOCK[[#This Row],[Entradas]]</f>
        <v>31.8</v>
      </c>
      <c r="AB813" s="54">
        <f>STOCK[[#This Row],[Stock Actual]]*STOCK[[#This Row],[Costo total]]</f>
        <v>0</v>
      </c>
    </row>
    <row r="814" s="53" customFormat="1" ht="50" customHeight="1" spans="1:28">
      <c r="A814" s="53" t="s">
        <v>1622</v>
      </c>
      <c r="B814" s="66"/>
      <c r="C814" s="53" t="s">
        <v>32</v>
      </c>
      <c r="D814" s="53" t="s">
        <v>44</v>
      </c>
      <c r="E814" s="67" t="s">
        <v>1620</v>
      </c>
      <c r="F814" s="53" t="s">
        <v>46</v>
      </c>
      <c r="G814" s="53" t="s">
        <v>36</v>
      </c>
      <c r="H814" s="53">
        <f>STOCK[[#This Row],[Precio Final]]</f>
        <v>25</v>
      </c>
      <c r="I814" s="53">
        <f>STOCK[[#This Row],[Precio Venta Ideal (x1.5)]]</f>
        <v>22.35</v>
      </c>
      <c r="J814" s="71">
        <v>1</v>
      </c>
      <c r="K814" s="71">
        <f>SUMIFS(VENTAS[Cantidad],VENTAS[Código del producto Vendido],STOCK[[#This Row],[Code]])</f>
        <v>1</v>
      </c>
      <c r="L814" s="71">
        <f>STOCK[[#This Row],[Entradas]]-STOCK[[#This Row],[Salidas]]</f>
        <v>0</v>
      </c>
      <c r="M814" s="53">
        <f>STOCK[[#This Row],[Precio Final]]*10%</f>
        <v>2.5</v>
      </c>
      <c r="N814" s="53">
        <v>0</v>
      </c>
      <c r="O814" s="53">
        <v>0</v>
      </c>
      <c r="P814" s="53">
        <v>10.9</v>
      </c>
      <c r="Q814" s="71">
        <v>0</v>
      </c>
      <c r="R814" s="53">
        <v>0</v>
      </c>
      <c r="S814" s="53">
        <v>1.5</v>
      </c>
      <c r="T814" s="53">
        <f>STOCK[[#This Row],[Costo Unitario (USD)]]+STOCK[[#This Row],[Costo Envío (USD)]]+STOCK[[#This Row],[Comisión 10%]]</f>
        <v>14.9</v>
      </c>
      <c r="U814" s="53">
        <f>STOCK[[#This Row],[Costo total]]*1.5</f>
        <v>22.35</v>
      </c>
      <c r="V814" s="53">
        <v>25</v>
      </c>
      <c r="W814" s="53">
        <f>STOCK[[#This Row],[Precio Final]]-STOCK[[#This Row],[Costo total]]</f>
        <v>10.1</v>
      </c>
      <c r="X814" s="53">
        <f>STOCK[[#This Row],[Ganancia Unitaria]]*STOCK[[#This Row],[Salidas]]</f>
        <v>10.1</v>
      </c>
      <c r="Y814" s="53" t="s">
        <v>1602</v>
      </c>
      <c r="AA814" s="53">
        <f>STOCK[[#This Row],[Costo total]]*STOCK[[#This Row],[Entradas]]</f>
        <v>14.9</v>
      </c>
      <c r="AB814" s="53">
        <f>STOCK[[#This Row],[Stock Actual]]*STOCK[[#This Row],[Costo total]]</f>
        <v>0</v>
      </c>
    </row>
    <row r="815" s="54" customFormat="1" ht="50" customHeight="1" spans="1:28">
      <c r="A815" s="54" t="s">
        <v>1623</v>
      </c>
      <c r="B815" s="66"/>
      <c r="C815" s="54" t="s">
        <v>32</v>
      </c>
      <c r="D815" s="53" t="s">
        <v>515</v>
      </c>
      <c r="E815" s="68" t="s">
        <v>1604</v>
      </c>
      <c r="F815" s="54" t="s">
        <v>540</v>
      </c>
      <c r="G815" s="54" t="s">
        <v>36</v>
      </c>
      <c r="H815" s="54">
        <f>STOCK[[#This Row],[Precio Final]]</f>
        <v>40</v>
      </c>
      <c r="I815" s="54">
        <f>STOCK[[#This Row],[Precio Venta Ideal (x1.5)]]</f>
        <v>37.29</v>
      </c>
      <c r="J815" s="72">
        <v>1</v>
      </c>
      <c r="K815" s="72">
        <f>SUMIFS(VENTAS[Cantidad],VENTAS[Código del producto Vendido],STOCK[[#This Row],[Code]])</f>
        <v>1</v>
      </c>
      <c r="L815" s="72">
        <f>STOCK[[#This Row],[Entradas]]-STOCK[[#This Row],[Salidas]]</f>
        <v>0</v>
      </c>
      <c r="M815" s="54">
        <f>STOCK[[#This Row],[Precio Final]]*10%</f>
        <v>4</v>
      </c>
      <c r="N815" s="54">
        <v>0</v>
      </c>
      <c r="O815" s="54">
        <v>0</v>
      </c>
      <c r="P815" s="54">
        <v>15.86</v>
      </c>
      <c r="Q815" s="72">
        <v>0</v>
      </c>
      <c r="R815" s="54">
        <v>0</v>
      </c>
      <c r="S815" s="54">
        <v>5</v>
      </c>
      <c r="T815" s="53">
        <f>STOCK[[#This Row],[Costo Unitario (USD)]]+STOCK[[#This Row],[Costo Envío (USD)]]+STOCK[[#This Row],[Comisión 10%]]</f>
        <v>24.86</v>
      </c>
      <c r="U815" s="54">
        <f>STOCK[[#This Row],[Costo total]]*1.5</f>
        <v>37.29</v>
      </c>
      <c r="V815" s="54">
        <v>40</v>
      </c>
      <c r="W815" s="54">
        <f>STOCK[[#This Row],[Precio Final]]-STOCK[[#This Row],[Costo total]]</f>
        <v>15.14</v>
      </c>
      <c r="X815" s="54">
        <f>STOCK[[#This Row],[Ganancia Unitaria]]*STOCK[[#This Row],[Salidas]]</f>
        <v>15.14</v>
      </c>
      <c r="Y815" s="54" t="s">
        <v>1602</v>
      </c>
      <c r="AA815" s="54">
        <f>STOCK[[#This Row],[Costo total]]*STOCK[[#This Row],[Entradas]]</f>
        <v>24.86</v>
      </c>
      <c r="AB815" s="54">
        <f>STOCK[[#This Row],[Stock Actual]]*STOCK[[#This Row],[Costo total]]</f>
        <v>0</v>
      </c>
    </row>
    <row r="816" s="53" customFormat="1" ht="50" customHeight="1" spans="1:28">
      <c r="A816" s="53" t="s">
        <v>1624</v>
      </c>
      <c r="B816" s="66"/>
      <c r="C816" s="53" t="s">
        <v>32</v>
      </c>
      <c r="D816" s="53" t="s">
        <v>44</v>
      </c>
      <c r="E816" s="67" t="s">
        <v>1625</v>
      </c>
      <c r="F816" s="53" t="s">
        <v>62</v>
      </c>
      <c r="G816" s="53" t="s">
        <v>36</v>
      </c>
      <c r="H816" s="53">
        <f>STOCK[[#This Row],[Precio Final]]</f>
        <v>27</v>
      </c>
      <c r="I816" s="53">
        <f>STOCK[[#This Row],[Precio Venta Ideal (x1.5)]]</f>
        <v>25.005</v>
      </c>
      <c r="J816" s="71">
        <v>2</v>
      </c>
      <c r="K816" s="71">
        <f>SUMIFS(VENTAS[Cantidad],VENTAS[Código del producto Vendido],STOCK[[#This Row],[Code]])</f>
        <v>2</v>
      </c>
      <c r="L816" s="71">
        <f>STOCK[[#This Row],[Entradas]]-STOCK[[#This Row],[Salidas]]</f>
        <v>0</v>
      </c>
      <c r="M816" s="53">
        <f>STOCK[[#This Row],[Precio Final]]*10%</f>
        <v>2.7</v>
      </c>
      <c r="N816" s="53">
        <v>0</v>
      </c>
      <c r="O816" s="53">
        <v>0</v>
      </c>
      <c r="P816" s="53">
        <v>12.47</v>
      </c>
      <c r="Q816" s="71">
        <v>0</v>
      </c>
      <c r="R816" s="53">
        <v>0</v>
      </c>
      <c r="S816" s="53">
        <v>1.5</v>
      </c>
      <c r="T816" s="53">
        <f>STOCK[[#This Row],[Costo Unitario (USD)]]+STOCK[[#This Row],[Costo Envío (USD)]]+STOCK[[#This Row],[Comisión 10%]]</f>
        <v>16.67</v>
      </c>
      <c r="U816" s="53">
        <f>STOCK[[#This Row],[Costo total]]*1.5</f>
        <v>25.005</v>
      </c>
      <c r="V816" s="53">
        <v>27</v>
      </c>
      <c r="W816" s="53">
        <f>STOCK[[#This Row],[Precio Final]]-STOCK[[#This Row],[Costo total]]</f>
        <v>10.33</v>
      </c>
      <c r="X816" s="53">
        <f>STOCK[[#This Row],[Ganancia Unitaria]]*STOCK[[#This Row],[Salidas]]</f>
        <v>20.66</v>
      </c>
      <c r="Y816" s="53" t="s">
        <v>1602</v>
      </c>
      <c r="AA816" s="53">
        <f>STOCK[[#This Row],[Costo total]]*STOCK[[#This Row],[Entradas]]</f>
        <v>33.34</v>
      </c>
      <c r="AB816" s="53">
        <f>STOCK[[#This Row],[Stock Actual]]*STOCK[[#This Row],[Costo total]]</f>
        <v>0</v>
      </c>
    </row>
    <row r="817" s="54" customFormat="1" ht="50" customHeight="1" spans="1:28">
      <c r="A817" s="54" t="s">
        <v>1626</v>
      </c>
      <c r="B817" s="66"/>
      <c r="C817" s="54" t="s">
        <v>32</v>
      </c>
      <c r="D817" s="54" t="s">
        <v>44</v>
      </c>
      <c r="E817" s="68" t="s">
        <v>1625</v>
      </c>
      <c r="F817" s="54" t="s">
        <v>211</v>
      </c>
      <c r="G817" s="54" t="s">
        <v>36</v>
      </c>
      <c r="H817" s="54">
        <f>STOCK[[#This Row],[Precio Final]]</f>
        <v>27</v>
      </c>
      <c r="I817" s="54">
        <f>STOCK[[#This Row],[Precio Venta Ideal (x1.5)]]</f>
        <v>25.005</v>
      </c>
      <c r="J817" s="72">
        <v>3</v>
      </c>
      <c r="K817" s="72">
        <f>SUMIFS(VENTAS[Cantidad],VENTAS[Código del producto Vendido],STOCK[[#This Row],[Code]])</f>
        <v>3</v>
      </c>
      <c r="L817" s="72">
        <f>STOCK[[#This Row],[Entradas]]-STOCK[[#This Row],[Salidas]]</f>
        <v>0</v>
      </c>
      <c r="M817" s="54">
        <f>STOCK[[#This Row],[Precio Final]]*10%</f>
        <v>2.7</v>
      </c>
      <c r="N817" s="54">
        <v>0</v>
      </c>
      <c r="O817" s="54">
        <v>0</v>
      </c>
      <c r="P817" s="54">
        <v>12.47</v>
      </c>
      <c r="Q817" s="72">
        <v>0</v>
      </c>
      <c r="R817" s="54">
        <v>0</v>
      </c>
      <c r="S817" s="54">
        <v>1.5</v>
      </c>
      <c r="T817" s="53">
        <f>STOCK[[#This Row],[Costo Unitario (USD)]]+STOCK[[#This Row],[Costo Envío (USD)]]+STOCK[[#This Row],[Comisión 10%]]</f>
        <v>16.67</v>
      </c>
      <c r="U817" s="54">
        <f>STOCK[[#This Row],[Costo total]]*1.5</f>
        <v>25.005</v>
      </c>
      <c r="V817" s="54">
        <v>27</v>
      </c>
      <c r="W817" s="54">
        <f>STOCK[[#This Row],[Precio Final]]-STOCK[[#This Row],[Costo total]]</f>
        <v>10.33</v>
      </c>
      <c r="X817" s="54">
        <f>STOCK[[#This Row],[Ganancia Unitaria]]*STOCK[[#This Row],[Salidas]]</f>
        <v>30.99</v>
      </c>
      <c r="Y817" s="54" t="s">
        <v>1602</v>
      </c>
      <c r="AA817" s="54">
        <f>STOCK[[#This Row],[Costo total]]*STOCK[[#This Row],[Entradas]]</f>
        <v>50.01</v>
      </c>
      <c r="AB817" s="54">
        <f>STOCK[[#This Row],[Stock Actual]]*STOCK[[#This Row],[Costo total]]</f>
        <v>0</v>
      </c>
    </row>
    <row r="818" s="53" customFormat="1" ht="50" customHeight="1" spans="1:28">
      <c r="A818" s="53" t="s">
        <v>1627</v>
      </c>
      <c r="B818" s="66"/>
      <c r="C818" s="53" t="s">
        <v>32</v>
      </c>
      <c r="D818" s="53" t="s">
        <v>44</v>
      </c>
      <c r="E818" s="67" t="s">
        <v>1625</v>
      </c>
      <c r="F818" s="53" t="s">
        <v>205</v>
      </c>
      <c r="G818" s="53" t="s">
        <v>36</v>
      </c>
      <c r="H818" s="53">
        <f>STOCK[[#This Row],[Precio Final]]</f>
        <v>27</v>
      </c>
      <c r="I818" s="53">
        <f>STOCK[[#This Row],[Precio Venta Ideal (x1.5)]]</f>
        <v>25.005</v>
      </c>
      <c r="J818" s="71">
        <v>1</v>
      </c>
      <c r="K818" s="71">
        <f>SUMIFS(VENTAS[Cantidad],VENTAS[Código del producto Vendido],STOCK[[#This Row],[Code]])</f>
        <v>1</v>
      </c>
      <c r="L818" s="71">
        <f>STOCK[[#This Row],[Entradas]]-STOCK[[#This Row],[Salidas]]</f>
        <v>0</v>
      </c>
      <c r="M818" s="53">
        <f>STOCK[[#This Row],[Precio Final]]*10%</f>
        <v>2.7</v>
      </c>
      <c r="N818" s="53">
        <v>0</v>
      </c>
      <c r="O818" s="53">
        <v>0</v>
      </c>
      <c r="P818" s="53">
        <v>12.47</v>
      </c>
      <c r="Q818" s="71">
        <v>0</v>
      </c>
      <c r="R818" s="53">
        <v>0</v>
      </c>
      <c r="S818" s="53">
        <v>1.5</v>
      </c>
      <c r="T818" s="53">
        <f>STOCK[[#This Row],[Costo Unitario (USD)]]+STOCK[[#This Row],[Costo Envío (USD)]]+STOCK[[#This Row],[Comisión 10%]]</f>
        <v>16.67</v>
      </c>
      <c r="U818" s="53">
        <f>STOCK[[#This Row],[Costo total]]*1.5</f>
        <v>25.005</v>
      </c>
      <c r="V818" s="53">
        <v>27</v>
      </c>
      <c r="W818" s="53">
        <f>STOCK[[#This Row],[Precio Final]]-STOCK[[#This Row],[Costo total]]</f>
        <v>10.33</v>
      </c>
      <c r="X818" s="53">
        <f>STOCK[[#This Row],[Ganancia Unitaria]]*STOCK[[#This Row],[Salidas]]</f>
        <v>10.33</v>
      </c>
      <c r="Y818" s="53" t="s">
        <v>1602</v>
      </c>
      <c r="AA818" s="53">
        <f>STOCK[[#This Row],[Costo total]]*STOCK[[#This Row],[Entradas]]</f>
        <v>16.67</v>
      </c>
      <c r="AB818" s="53">
        <f>STOCK[[#This Row],[Stock Actual]]*STOCK[[#This Row],[Costo total]]</f>
        <v>0</v>
      </c>
    </row>
    <row r="819" s="54" customFormat="1" ht="50" customHeight="1" spans="1:28">
      <c r="A819" s="54" t="s">
        <v>1628</v>
      </c>
      <c r="B819" s="66"/>
      <c r="C819" s="54" t="s">
        <v>32</v>
      </c>
      <c r="D819" s="54" t="s">
        <v>44</v>
      </c>
      <c r="E819" s="68" t="s">
        <v>1629</v>
      </c>
      <c r="F819" s="54" t="s">
        <v>1630</v>
      </c>
      <c r="G819" s="54" t="s">
        <v>36</v>
      </c>
      <c r="H819" s="54">
        <f>STOCK[[#This Row],[Precio Final]]</f>
        <v>30</v>
      </c>
      <c r="I819" s="54">
        <f>STOCK[[#This Row],[Precio Venta Ideal (x1.5)]]</f>
        <v>25.995</v>
      </c>
      <c r="J819" s="72">
        <v>1</v>
      </c>
      <c r="K819" s="72">
        <f>SUMIFS(VENTAS[Cantidad],VENTAS[Código del producto Vendido],STOCK[[#This Row],[Code]])</f>
        <v>1</v>
      </c>
      <c r="L819" s="72">
        <f>STOCK[[#This Row],[Entradas]]-STOCK[[#This Row],[Salidas]]</f>
        <v>0</v>
      </c>
      <c r="M819" s="54">
        <f>STOCK[[#This Row],[Precio Final]]*10%</f>
        <v>3</v>
      </c>
      <c r="N819" s="54">
        <v>0</v>
      </c>
      <c r="O819" s="54">
        <v>0</v>
      </c>
      <c r="P819" s="54">
        <v>12.83</v>
      </c>
      <c r="Q819" s="72">
        <v>0</v>
      </c>
      <c r="R819" s="54">
        <v>0</v>
      </c>
      <c r="S819" s="54">
        <v>1.5</v>
      </c>
      <c r="T819" s="53">
        <f>STOCK[[#This Row],[Costo Unitario (USD)]]+STOCK[[#This Row],[Costo Envío (USD)]]+STOCK[[#This Row],[Comisión 10%]]</f>
        <v>17.33</v>
      </c>
      <c r="U819" s="54">
        <f>STOCK[[#This Row],[Costo total]]*1.5</f>
        <v>25.995</v>
      </c>
      <c r="V819" s="54">
        <v>30</v>
      </c>
      <c r="W819" s="54">
        <f>STOCK[[#This Row],[Precio Final]]-STOCK[[#This Row],[Costo total]]</f>
        <v>12.67</v>
      </c>
      <c r="X819" s="54">
        <f>STOCK[[#This Row],[Ganancia Unitaria]]*STOCK[[#This Row],[Salidas]]</f>
        <v>12.67</v>
      </c>
      <c r="Y819" s="54" t="s">
        <v>1602</v>
      </c>
      <c r="AA819" s="54">
        <f>STOCK[[#This Row],[Costo total]]*STOCK[[#This Row],[Entradas]]</f>
        <v>17.33</v>
      </c>
      <c r="AB819" s="54">
        <f>STOCK[[#This Row],[Stock Actual]]*STOCK[[#This Row],[Costo total]]</f>
        <v>0</v>
      </c>
    </row>
    <row r="820" s="53" customFormat="1" ht="50" customHeight="1" spans="1:28">
      <c r="A820" s="53" t="s">
        <v>1631</v>
      </c>
      <c r="B820" s="66"/>
      <c r="C820" s="53" t="s">
        <v>32</v>
      </c>
      <c r="D820" s="53" t="s">
        <v>44</v>
      </c>
      <c r="E820" s="67" t="s">
        <v>1632</v>
      </c>
      <c r="F820" s="53" t="s">
        <v>62</v>
      </c>
      <c r="G820" s="53" t="s">
        <v>36</v>
      </c>
      <c r="H820" s="53">
        <f>STOCK[[#This Row],[Precio Final]]</f>
        <v>30</v>
      </c>
      <c r="I820" s="53">
        <f>STOCK[[#This Row],[Precio Venta Ideal (x1.5)]]</f>
        <v>25.995</v>
      </c>
      <c r="J820" s="71">
        <v>1</v>
      </c>
      <c r="K820" s="71">
        <f>SUMIFS(VENTAS[Cantidad],VENTAS[Código del producto Vendido],STOCK[[#This Row],[Code]])</f>
        <v>1</v>
      </c>
      <c r="L820" s="71">
        <f>STOCK[[#This Row],[Entradas]]-STOCK[[#This Row],[Salidas]]</f>
        <v>0</v>
      </c>
      <c r="M820" s="53">
        <f>STOCK[[#This Row],[Precio Final]]*10%</f>
        <v>3</v>
      </c>
      <c r="N820" s="53">
        <v>0</v>
      </c>
      <c r="O820" s="53">
        <v>0</v>
      </c>
      <c r="P820" s="53">
        <v>12.83</v>
      </c>
      <c r="Q820" s="71">
        <v>0</v>
      </c>
      <c r="R820" s="53">
        <v>0</v>
      </c>
      <c r="S820" s="53">
        <v>1.5</v>
      </c>
      <c r="T820" s="53">
        <f>STOCK[[#This Row],[Costo Unitario (USD)]]+STOCK[[#This Row],[Costo Envío (USD)]]+STOCK[[#This Row],[Comisión 10%]]</f>
        <v>17.33</v>
      </c>
      <c r="U820" s="53">
        <f>STOCK[[#This Row],[Costo total]]*1.5</f>
        <v>25.995</v>
      </c>
      <c r="V820" s="53">
        <v>30</v>
      </c>
      <c r="W820" s="53">
        <f>STOCK[[#This Row],[Precio Final]]-STOCK[[#This Row],[Costo total]]</f>
        <v>12.67</v>
      </c>
      <c r="X820" s="53">
        <f>STOCK[[#This Row],[Ganancia Unitaria]]*STOCK[[#This Row],[Salidas]]</f>
        <v>12.67</v>
      </c>
      <c r="Y820" s="53" t="s">
        <v>1602</v>
      </c>
      <c r="AA820" s="53">
        <f>STOCK[[#This Row],[Costo total]]*STOCK[[#This Row],[Entradas]]</f>
        <v>17.33</v>
      </c>
      <c r="AB820" s="53">
        <f>STOCK[[#This Row],[Stock Actual]]*STOCK[[#This Row],[Costo total]]</f>
        <v>0</v>
      </c>
    </row>
    <row r="821" s="54" customFormat="1" ht="50" customHeight="1" spans="1:28">
      <c r="A821" s="54" t="s">
        <v>1633</v>
      </c>
      <c r="B821" s="66"/>
      <c r="C821" s="54" t="s">
        <v>32</v>
      </c>
      <c r="D821" s="54" t="s">
        <v>44</v>
      </c>
      <c r="E821" s="68" t="s">
        <v>1634</v>
      </c>
      <c r="F821" s="54" t="s">
        <v>40</v>
      </c>
      <c r="G821" s="54" t="s">
        <v>36</v>
      </c>
      <c r="H821" s="54">
        <f>STOCK[[#This Row],[Precio Final]]</f>
        <v>25</v>
      </c>
      <c r="I821" s="54">
        <f>STOCK[[#This Row],[Precio Venta Ideal (x1.5)]]</f>
        <v>20.4</v>
      </c>
      <c r="J821" s="72">
        <v>1</v>
      </c>
      <c r="K821" s="72">
        <f>SUMIFS(VENTAS[Cantidad],VENTAS[Código del producto Vendido],STOCK[[#This Row],[Code]])</f>
        <v>1</v>
      </c>
      <c r="L821" s="72">
        <f>STOCK[[#This Row],[Entradas]]-STOCK[[#This Row],[Salidas]]</f>
        <v>0</v>
      </c>
      <c r="M821" s="54">
        <f>STOCK[[#This Row],[Precio Final]]*10%</f>
        <v>2.5</v>
      </c>
      <c r="N821" s="54">
        <v>0</v>
      </c>
      <c r="O821" s="54">
        <v>0</v>
      </c>
      <c r="P821" s="54">
        <v>9.6</v>
      </c>
      <c r="Q821" s="72">
        <v>0</v>
      </c>
      <c r="R821" s="54">
        <v>0</v>
      </c>
      <c r="S821" s="54">
        <v>1.5</v>
      </c>
      <c r="T821" s="53">
        <f>STOCK[[#This Row],[Costo Unitario (USD)]]+STOCK[[#This Row],[Costo Envío (USD)]]+STOCK[[#This Row],[Comisión 10%]]</f>
        <v>13.6</v>
      </c>
      <c r="U821" s="54">
        <f>STOCK[[#This Row],[Costo total]]*1.5</f>
        <v>20.4</v>
      </c>
      <c r="V821" s="54">
        <v>25</v>
      </c>
      <c r="W821" s="54">
        <f>STOCK[[#This Row],[Precio Final]]-STOCK[[#This Row],[Costo total]]</f>
        <v>11.4</v>
      </c>
      <c r="X821" s="54">
        <f>STOCK[[#This Row],[Ganancia Unitaria]]*STOCK[[#This Row],[Salidas]]</f>
        <v>11.4</v>
      </c>
      <c r="Y821" s="54" t="s">
        <v>1602</v>
      </c>
      <c r="AA821" s="54">
        <f>STOCK[[#This Row],[Costo total]]*STOCK[[#This Row],[Entradas]]</f>
        <v>13.6</v>
      </c>
      <c r="AB821" s="54">
        <f>STOCK[[#This Row],[Stock Actual]]*STOCK[[#This Row],[Costo total]]</f>
        <v>0</v>
      </c>
    </row>
    <row r="822" s="53" customFormat="1" ht="50" customHeight="1" spans="1:28">
      <c r="A822" s="53" t="s">
        <v>1635</v>
      </c>
      <c r="B822" s="66"/>
      <c r="C822" s="53" t="s">
        <v>32</v>
      </c>
      <c r="D822" s="53" t="s">
        <v>213</v>
      </c>
      <c r="E822" s="67" t="s">
        <v>1636</v>
      </c>
      <c r="F822" s="53" t="s">
        <v>205</v>
      </c>
      <c r="G822" s="53" t="s">
        <v>36</v>
      </c>
      <c r="H822" s="53">
        <f>STOCK[[#This Row],[Precio Final]]</f>
        <v>25</v>
      </c>
      <c r="I822" s="53">
        <f>STOCK[[#This Row],[Precio Venta Ideal (x1.5)]]</f>
        <v>20.4</v>
      </c>
      <c r="J822" s="71">
        <v>2</v>
      </c>
      <c r="K822" s="71">
        <f>SUMIFS(VENTAS[Cantidad],VENTAS[Código del producto Vendido],STOCK[[#This Row],[Code]])</f>
        <v>2</v>
      </c>
      <c r="L822" s="71">
        <f>STOCK[[#This Row],[Entradas]]-STOCK[[#This Row],[Salidas]]</f>
        <v>0</v>
      </c>
      <c r="M822" s="53">
        <f>STOCK[[#This Row],[Precio Final]]*10%</f>
        <v>2.5</v>
      </c>
      <c r="N822" s="53">
        <v>0</v>
      </c>
      <c r="O822" s="53">
        <v>0</v>
      </c>
      <c r="P822" s="53">
        <v>9.6</v>
      </c>
      <c r="Q822" s="71">
        <v>0</v>
      </c>
      <c r="R822" s="53">
        <v>0</v>
      </c>
      <c r="S822" s="53">
        <v>1.5</v>
      </c>
      <c r="T822" s="53">
        <f>STOCK[[#This Row],[Costo Unitario (USD)]]+STOCK[[#This Row],[Costo Envío (USD)]]+STOCK[[#This Row],[Comisión 10%]]</f>
        <v>13.6</v>
      </c>
      <c r="U822" s="53">
        <f>STOCK[[#This Row],[Costo total]]*1.5</f>
        <v>20.4</v>
      </c>
      <c r="V822" s="53">
        <v>25</v>
      </c>
      <c r="W822" s="53">
        <f>STOCK[[#This Row],[Precio Final]]-STOCK[[#This Row],[Costo total]]</f>
        <v>11.4</v>
      </c>
      <c r="X822" s="53">
        <f>STOCK[[#This Row],[Ganancia Unitaria]]*STOCK[[#This Row],[Salidas]]</f>
        <v>22.8</v>
      </c>
      <c r="Y822" s="53" t="s">
        <v>1602</v>
      </c>
      <c r="AA822" s="53">
        <f>STOCK[[#This Row],[Costo total]]*STOCK[[#This Row],[Entradas]]</f>
        <v>27.2</v>
      </c>
      <c r="AB822" s="53">
        <f>STOCK[[#This Row],[Stock Actual]]*STOCK[[#This Row],[Costo total]]</f>
        <v>0</v>
      </c>
    </row>
    <row r="823" s="54" customFormat="1" ht="50" customHeight="1" spans="1:28">
      <c r="A823" s="54" t="s">
        <v>1637</v>
      </c>
      <c r="B823" s="66"/>
      <c r="C823" s="54" t="s">
        <v>32</v>
      </c>
      <c r="D823" s="54" t="s">
        <v>44</v>
      </c>
      <c r="E823" s="68" t="s">
        <v>1634</v>
      </c>
      <c r="F823" s="54" t="s">
        <v>211</v>
      </c>
      <c r="G823" s="54" t="s">
        <v>36</v>
      </c>
      <c r="H823" s="54">
        <f>STOCK[[#This Row],[Precio Final]]</f>
        <v>25</v>
      </c>
      <c r="I823" s="54">
        <f>STOCK[[#This Row],[Precio Venta Ideal (x1.5)]]</f>
        <v>20.4</v>
      </c>
      <c r="J823" s="72">
        <v>1</v>
      </c>
      <c r="K823" s="72">
        <f>SUMIFS(VENTAS[Cantidad],VENTAS[Código del producto Vendido],STOCK[[#This Row],[Code]])</f>
        <v>1</v>
      </c>
      <c r="L823" s="72">
        <f>STOCK[[#This Row],[Entradas]]-STOCK[[#This Row],[Salidas]]</f>
        <v>0</v>
      </c>
      <c r="M823" s="54">
        <f>STOCK[[#This Row],[Precio Final]]*10%</f>
        <v>2.5</v>
      </c>
      <c r="N823" s="54">
        <v>0</v>
      </c>
      <c r="O823" s="54">
        <v>0</v>
      </c>
      <c r="P823" s="54">
        <v>9.6</v>
      </c>
      <c r="Q823" s="72">
        <v>0</v>
      </c>
      <c r="R823" s="54">
        <v>0</v>
      </c>
      <c r="S823" s="54">
        <v>1.5</v>
      </c>
      <c r="T823" s="53">
        <f>STOCK[[#This Row],[Costo Unitario (USD)]]+STOCK[[#This Row],[Costo Envío (USD)]]+STOCK[[#This Row],[Comisión 10%]]</f>
        <v>13.6</v>
      </c>
      <c r="U823" s="54">
        <f>STOCK[[#This Row],[Costo total]]*1.5</f>
        <v>20.4</v>
      </c>
      <c r="V823" s="54">
        <v>25</v>
      </c>
      <c r="W823" s="54">
        <f>STOCK[[#This Row],[Precio Final]]-STOCK[[#This Row],[Costo total]]</f>
        <v>11.4</v>
      </c>
      <c r="X823" s="54">
        <f>STOCK[[#This Row],[Ganancia Unitaria]]*STOCK[[#This Row],[Salidas]]</f>
        <v>11.4</v>
      </c>
      <c r="Y823" s="54" t="s">
        <v>1602</v>
      </c>
      <c r="AA823" s="54">
        <f>STOCK[[#This Row],[Costo total]]*STOCK[[#This Row],[Entradas]]</f>
        <v>13.6</v>
      </c>
      <c r="AB823" s="54">
        <f>STOCK[[#This Row],[Stock Actual]]*STOCK[[#This Row],[Costo total]]</f>
        <v>0</v>
      </c>
    </row>
    <row r="824" s="53" customFormat="1" ht="50" customHeight="1" spans="1:28">
      <c r="A824" s="53" t="s">
        <v>1638</v>
      </c>
      <c r="B824" s="66"/>
      <c r="C824" s="53" t="s">
        <v>32</v>
      </c>
      <c r="D824" s="53" t="s">
        <v>1014</v>
      </c>
      <c r="E824" s="67" t="s">
        <v>1639</v>
      </c>
      <c r="F824" s="53" t="s">
        <v>88</v>
      </c>
      <c r="G824" s="53" t="s">
        <v>36</v>
      </c>
      <c r="H824" s="53">
        <f>STOCK[[#This Row],[Precio Final]]</f>
        <v>30</v>
      </c>
      <c r="I824" s="53">
        <f>STOCK[[#This Row],[Precio Venta Ideal (x1.5)]]</f>
        <v>21.15</v>
      </c>
      <c r="J824" s="71">
        <v>1</v>
      </c>
      <c r="K824" s="71">
        <f>SUMIFS(VENTAS[Cantidad],VENTAS[Código del producto Vendido],STOCK[[#This Row],[Code]])</f>
        <v>1</v>
      </c>
      <c r="L824" s="71">
        <f>STOCK[[#This Row],[Entradas]]-STOCK[[#This Row],[Salidas]]</f>
        <v>0</v>
      </c>
      <c r="M824" s="53">
        <f>STOCK[[#This Row],[Precio Final]]*10%</f>
        <v>3</v>
      </c>
      <c r="N824" s="53">
        <v>0</v>
      </c>
      <c r="O824" s="53">
        <v>0</v>
      </c>
      <c r="P824" s="53">
        <v>9.6</v>
      </c>
      <c r="Q824" s="71">
        <v>0</v>
      </c>
      <c r="R824" s="53">
        <v>0</v>
      </c>
      <c r="S824" s="53">
        <v>1.5</v>
      </c>
      <c r="T824" s="53">
        <f>STOCK[[#This Row],[Costo Unitario (USD)]]+STOCK[[#This Row],[Costo Envío (USD)]]+STOCK[[#This Row],[Comisión 10%]]</f>
        <v>14.1</v>
      </c>
      <c r="U824" s="53">
        <f>STOCK[[#This Row],[Costo total]]*1.5</f>
        <v>21.15</v>
      </c>
      <c r="V824" s="53">
        <v>30</v>
      </c>
      <c r="W824" s="53">
        <f>STOCK[[#This Row],[Precio Final]]-STOCK[[#This Row],[Costo total]]</f>
        <v>15.9</v>
      </c>
      <c r="X824" s="53">
        <f>STOCK[[#This Row],[Ganancia Unitaria]]*STOCK[[#This Row],[Salidas]]</f>
        <v>15.9</v>
      </c>
      <c r="Y824" s="53" t="s">
        <v>1602</v>
      </c>
      <c r="AA824" s="53">
        <f>STOCK[[#This Row],[Costo total]]*STOCK[[#This Row],[Entradas]]</f>
        <v>14.1</v>
      </c>
      <c r="AB824" s="53">
        <f>STOCK[[#This Row],[Stock Actual]]*STOCK[[#This Row],[Costo total]]</f>
        <v>0</v>
      </c>
    </row>
    <row r="825" s="54" customFormat="1" ht="50" customHeight="1" spans="1:28">
      <c r="A825" s="54" t="s">
        <v>1640</v>
      </c>
      <c r="B825" s="66"/>
      <c r="C825" s="54" t="s">
        <v>32</v>
      </c>
      <c r="D825" s="54" t="s">
        <v>174</v>
      </c>
      <c r="E825" s="68" t="s">
        <v>1641</v>
      </c>
      <c r="F825" s="54" t="s">
        <v>46</v>
      </c>
      <c r="G825" s="54" t="s">
        <v>36</v>
      </c>
      <c r="H825" s="54">
        <f>STOCK[[#This Row],[Precio Final]]</f>
        <v>12</v>
      </c>
      <c r="I825" s="54">
        <f>STOCK[[#This Row],[Precio Venta Ideal (x1.5)]]</f>
        <v>10.35</v>
      </c>
      <c r="J825" s="72">
        <v>1</v>
      </c>
      <c r="K825" s="72">
        <f>SUMIFS(VENTAS[Cantidad],VENTAS[Código del producto Vendido],STOCK[[#This Row],[Code]])</f>
        <v>1</v>
      </c>
      <c r="L825" s="72">
        <f>STOCK[[#This Row],[Entradas]]-STOCK[[#This Row],[Salidas]]</f>
        <v>0</v>
      </c>
      <c r="M825" s="54">
        <f>STOCK[[#This Row],[Precio Final]]*10%</f>
        <v>1.2</v>
      </c>
      <c r="N825" s="54">
        <v>0</v>
      </c>
      <c r="O825" s="54">
        <v>0</v>
      </c>
      <c r="P825" s="54">
        <v>4.2</v>
      </c>
      <c r="Q825" s="72">
        <v>0</v>
      </c>
      <c r="R825" s="54">
        <v>0</v>
      </c>
      <c r="S825" s="54">
        <v>1.5</v>
      </c>
      <c r="T825" s="53">
        <f>STOCK[[#This Row],[Costo Unitario (USD)]]+STOCK[[#This Row],[Costo Envío (USD)]]+STOCK[[#This Row],[Comisión 10%]]</f>
        <v>6.9</v>
      </c>
      <c r="U825" s="54">
        <f>STOCK[[#This Row],[Costo total]]*1.5</f>
        <v>10.35</v>
      </c>
      <c r="V825" s="54">
        <v>12</v>
      </c>
      <c r="W825" s="54">
        <f>STOCK[[#This Row],[Precio Final]]-STOCK[[#This Row],[Costo total]]</f>
        <v>5.1</v>
      </c>
      <c r="X825" s="54">
        <f>STOCK[[#This Row],[Ganancia Unitaria]]*STOCK[[#This Row],[Salidas]]</f>
        <v>5.1</v>
      </c>
      <c r="Y825" s="54" t="s">
        <v>1602</v>
      </c>
      <c r="AA825" s="54">
        <f>STOCK[[#This Row],[Costo total]]*STOCK[[#This Row],[Entradas]]</f>
        <v>6.9</v>
      </c>
      <c r="AB825" s="54">
        <f>STOCK[[#This Row],[Stock Actual]]*STOCK[[#This Row],[Costo total]]</f>
        <v>0</v>
      </c>
    </row>
    <row r="826" s="53" customFormat="1" ht="50" customHeight="1" spans="1:28">
      <c r="A826" s="53" t="s">
        <v>1642</v>
      </c>
      <c r="B826" s="66"/>
      <c r="C826" s="53" t="s">
        <v>32</v>
      </c>
      <c r="D826" s="53" t="s">
        <v>174</v>
      </c>
      <c r="E826" s="67" t="s">
        <v>1641</v>
      </c>
      <c r="F826" s="53" t="s">
        <v>62</v>
      </c>
      <c r="G826" s="53" t="s">
        <v>36</v>
      </c>
      <c r="H826" s="53">
        <f>STOCK[[#This Row],[Precio Final]]</f>
        <v>12</v>
      </c>
      <c r="I826" s="53">
        <f>STOCK[[#This Row],[Precio Venta Ideal (x1.5)]]</f>
        <v>10.35</v>
      </c>
      <c r="J826" s="71">
        <v>1</v>
      </c>
      <c r="K826" s="71">
        <f>SUMIFS(VENTAS[Cantidad],VENTAS[Código del producto Vendido],STOCK[[#This Row],[Code]])</f>
        <v>1</v>
      </c>
      <c r="L826" s="71">
        <f>STOCK[[#This Row],[Entradas]]-STOCK[[#This Row],[Salidas]]</f>
        <v>0</v>
      </c>
      <c r="M826" s="53">
        <f>STOCK[[#This Row],[Precio Final]]*10%</f>
        <v>1.2</v>
      </c>
      <c r="N826" s="53">
        <v>0</v>
      </c>
      <c r="O826" s="53">
        <v>0</v>
      </c>
      <c r="P826" s="53">
        <v>4.2</v>
      </c>
      <c r="Q826" s="71">
        <v>0</v>
      </c>
      <c r="R826" s="53">
        <v>0</v>
      </c>
      <c r="S826" s="53">
        <v>1.5</v>
      </c>
      <c r="T826" s="53">
        <f>STOCK[[#This Row],[Costo Unitario (USD)]]+STOCK[[#This Row],[Costo Envío (USD)]]+STOCK[[#This Row],[Comisión 10%]]</f>
        <v>6.9</v>
      </c>
      <c r="U826" s="53">
        <f>STOCK[[#This Row],[Costo total]]*1.5</f>
        <v>10.35</v>
      </c>
      <c r="V826" s="53">
        <v>12</v>
      </c>
      <c r="W826" s="53">
        <f>STOCK[[#This Row],[Precio Final]]-STOCK[[#This Row],[Costo total]]</f>
        <v>5.1</v>
      </c>
      <c r="X826" s="53">
        <f>STOCK[[#This Row],[Ganancia Unitaria]]*STOCK[[#This Row],[Salidas]]</f>
        <v>5.1</v>
      </c>
      <c r="Y826" s="53" t="s">
        <v>1602</v>
      </c>
      <c r="AA826" s="53">
        <f>STOCK[[#This Row],[Costo total]]*STOCK[[#This Row],[Entradas]]</f>
        <v>6.9</v>
      </c>
      <c r="AB826" s="53">
        <f>STOCK[[#This Row],[Stock Actual]]*STOCK[[#This Row],[Costo total]]</f>
        <v>0</v>
      </c>
    </row>
    <row r="827" s="54" customFormat="1" ht="50" customHeight="1" spans="1:29">
      <c r="A827" s="54" t="s">
        <v>1643</v>
      </c>
      <c r="B827" s="66"/>
      <c r="C827" s="54" t="s">
        <v>32</v>
      </c>
      <c r="D827" s="54" t="s">
        <v>294</v>
      </c>
      <c r="E827" s="68" t="s">
        <v>1644</v>
      </c>
      <c r="F827" s="54" t="s">
        <v>46</v>
      </c>
      <c r="G827" s="54" t="s">
        <v>36</v>
      </c>
      <c r="H827" s="54">
        <f>STOCK[[#This Row],[Precio Final]]</f>
        <v>20</v>
      </c>
      <c r="I827" s="54">
        <f>STOCK[[#This Row],[Precio Venta Ideal (x1.5)]]</f>
        <v>15.99</v>
      </c>
      <c r="J827" s="72">
        <v>1</v>
      </c>
      <c r="K827" s="72">
        <f>SUMIFS(VENTAS[Cantidad],VENTAS[Código del producto Vendido],STOCK[[#This Row],[Code]])</f>
        <v>1</v>
      </c>
      <c r="L827" s="72">
        <f>STOCK[[#This Row],[Entradas]]-STOCK[[#This Row],[Salidas]]</f>
        <v>0</v>
      </c>
      <c r="M827" s="54">
        <f>STOCK[[#This Row],[Precio Final]]*10%</f>
        <v>2</v>
      </c>
      <c r="N827" s="54">
        <v>0</v>
      </c>
      <c r="O827" s="54">
        <v>0</v>
      </c>
      <c r="P827" s="54">
        <v>7.16</v>
      </c>
      <c r="Q827" s="72">
        <v>0</v>
      </c>
      <c r="R827" s="54">
        <v>0</v>
      </c>
      <c r="S827" s="54">
        <v>1.5</v>
      </c>
      <c r="T827" s="53">
        <f>STOCK[[#This Row],[Costo Unitario (USD)]]+STOCK[[#This Row],[Costo Envío (USD)]]+STOCK[[#This Row],[Comisión 10%]]</f>
        <v>10.66</v>
      </c>
      <c r="U827" s="54">
        <f>STOCK[[#This Row],[Costo total]]*1.5</f>
        <v>15.99</v>
      </c>
      <c r="V827" s="54">
        <v>20</v>
      </c>
      <c r="W827" s="54">
        <f>STOCK[[#This Row],[Precio Final]]-STOCK[[#This Row],[Costo total]]</f>
        <v>9.34</v>
      </c>
      <c r="X827" s="54">
        <f>STOCK[[#This Row],[Ganancia Unitaria]]*STOCK[[#This Row],[Salidas]]</f>
        <v>9.34</v>
      </c>
      <c r="Y827" s="54" t="s">
        <v>1602</v>
      </c>
      <c r="AA827" s="54">
        <f>STOCK[[#This Row],[Costo total]]*STOCK[[#This Row],[Entradas]]</f>
        <v>10.66</v>
      </c>
      <c r="AB827" s="54">
        <f>STOCK[[#This Row],[Stock Actual]]*STOCK[[#This Row],[Costo total]]</f>
        <v>0</v>
      </c>
      <c r="AC827" s="54">
        <v>15</v>
      </c>
    </row>
    <row r="828" s="53" customFormat="1" ht="50" customHeight="1" spans="1:29">
      <c r="A828" s="53" t="s">
        <v>1645</v>
      </c>
      <c r="B828" s="66"/>
      <c r="C828" s="53" t="s">
        <v>32</v>
      </c>
      <c r="D828" s="53" t="s">
        <v>294</v>
      </c>
      <c r="E828" s="67" t="s">
        <v>1646</v>
      </c>
      <c r="F828" s="53" t="s">
        <v>62</v>
      </c>
      <c r="G828" s="53" t="s">
        <v>36</v>
      </c>
      <c r="H828" s="53">
        <f>STOCK[[#This Row],[Precio Final]]</f>
        <v>20</v>
      </c>
      <c r="I828" s="53">
        <f>STOCK[[#This Row],[Precio Venta Ideal (x1.5)]]</f>
        <v>15.99</v>
      </c>
      <c r="J828" s="71">
        <v>1</v>
      </c>
      <c r="K828" s="71">
        <f>SUMIFS(VENTAS[Cantidad],VENTAS[Código del producto Vendido],STOCK[[#This Row],[Code]])</f>
        <v>0</v>
      </c>
      <c r="L828" s="71">
        <f>STOCK[[#This Row],[Entradas]]-STOCK[[#This Row],[Salidas]]</f>
        <v>1</v>
      </c>
      <c r="M828" s="53">
        <f>STOCK[[#This Row],[Precio Final]]*10%</f>
        <v>2</v>
      </c>
      <c r="N828" s="53">
        <v>0</v>
      </c>
      <c r="O828" s="53">
        <v>0</v>
      </c>
      <c r="P828" s="53">
        <v>7.16</v>
      </c>
      <c r="Q828" s="71">
        <v>0</v>
      </c>
      <c r="R828" s="53">
        <v>0</v>
      </c>
      <c r="S828" s="53">
        <v>1.5</v>
      </c>
      <c r="T828" s="53">
        <f>STOCK[[#This Row],[Costo Unitario (USD)]]+STOCK[[#This Row],[Costo Envío (USD)]]+STOCK[[#This Row],[Comisión 10%]]</f>
        <v>10.66</v>
      </c>
      <c r="U828" s="53">
        <f>STOCK[[#This Row],[Costo total]]*1.5</f>
        <v>15.99</v>
      </c>
      <c r="V828" s="53">
        <v>20</v>
      </c>
      <c r="W828" s="53">
        <f>STOCK[[#This Row],[Precio Final]]-STOCK[[#This Row],[Costo total]]</f>
        <v>9.34</v>
      </c>
      <c r="X828" s="53">
        <f>STOCK[[#This Row],[Ganancia Unitaria]]*STOCK[[#This Row],[Salidas]]</f>
        <v>0</v>
      </c>
      <c r="Y828" s="53" t="s">
        <v>1602</v>
      </c>
      <c r="AA828" s="53">
        <f>STOCK[[#This Row],[Costo total]]*STOCK[[#This Row],[Entradas]]</f>
        <v>10.66</v>
      </c>
      <c r="AB828" s="53">
        <f>STOCK[[#This Row],[Stock Actual]]*STOCK[[#This Row],[Costo total]]</f>
        <v>10.66</v>
      </c>
      <c r="AC828" s="53">
        <v>15</v>
      </c>
    </row>
    <row r="829" s="54" customFormat="1" ht="50" customHeight="1" spans="1:28">
      <c r="A829" s="54" t="s">
        <v>1647</v>
      </c>
      <c r="B829" s="66"/>
      <c r="C829" s="54" t="s">
        <v>32</v>
      </c>
      <c r="D829" s="54" t="s">
        <v>302</v>
      </c>
      <c r="E829" s="68" t="s">
        <v>1648</v>
      </c>
      <c r="F829" s="54" t="s">
        <v>211</v>
      </c>
      <c r="G829" s="54" t="s">
        <v>36</v>
      </c>
      <c r="H829" s="54">
        <f>STOCK[[#This Row],[Precio Final]]</f>
        <v>30</v>
      </c>
      <c r="I829" s="54">
        <f>STOCK[[#This Row],[Precio Venta Ideal (x1.5)]]</f>
        <v>31.305</v>
      </c>
      <c r="J829" s="72">
        <v>1</v>
      </c>
      <c r="K829" s="72">
        <f>SUMIFS(VENTAS[Cantidad],VENTAS[Código del producto Vendido],STOCK[[#This Row],[Code]])</f>
        <v>1</v>
      </c>
      <c r="L829" s="72">
        <f>STOCK[[#This Row],[Entradas]]-STOCK[[#This Row],[Salidas]]</f>
        <v>0</v>
      </c>
      <c r="M829" s="54">
        <f>STOCK[[#This Row],[Precio Final]]*10%</f>
        <v>3</v>
      </c>
      <c r="N829" s="54">
        <v>0</v>
      </c>
      <c r="O829" s="54">
        <v>0</v>
      </c>
      <c r="P829" s="54">
        <v>16.37</v>
      </c>
      <c r="Q829" s="72">
        <v>0</v>
      </c>
      <c r="R829" s="54">
        <v>0</v>
      </c>
      <c r="S829" s="54">
        <v>1.5</v>
      </c>
      <c r="T829" s="53">
        <f>STOCK[[#This Row],[Costo Unitario (USD)]]+STOCK[[#This Row],[Costo Envío (USD)]]+STOCK[[#This Row],[Comisión 10%]]</f>
        <v>20.87</v>
      </c>
      <c r="U829" s="54">
        <f>STOCK[[#This Row],[Costo total]]*1.5</f>
        <v>31.305</v>
      </c>
      <c r="V829" s="54">
        <v>30</v>
      </c>
      <c r="W829" s="54">
        <f>STOCK[[#This Row],[Precio Final]]-STOCK[[#This Row],[Costo total]]</f>
        <v>9.13</v>
      </c>
      <c r="X829" s="54">
        <f>STOCK[[#This Row],[Ganancia Unitaria]]*STOCK[[#This Row],[Salidas]]</f>
        <v>9.13</v>
      </c>
      <c r="Y829" s="54" t="s">
        <v>1602</v>
      </c>
      <c r="AA829" s="54">
        <f>STOCK[[#This Row],[Costo total]]*STOCK[[#This Row],[Entradas]]</f>
        <v>20.87</v>
      </c>
      <c r="AB829" s="54">
        <f>STOCK[[#This Row],[Stock Actual]]*STOCK[[#This Row],[Costo total]]</f>
        <v>0</v>
      </c>
    </row>
    <row r="830" s="53" customFormat="1" ht="50" customHeight="1" spans="1:28">
      <c r="A830" s="53" t="s">
        <v>1649</v>
      </c>
      <c r="B830" s="66"/>
      <c r="C830" s="53" t="s">
        <v>32</v>
      </c>
      <c r="D830" s="53" t="s">
        <v>302</v>
      </c>
      <c r="E830" s="67" t="s">
        <v>1648</v>
      </c>
      <c r="F830" s="53" t="s">
        <v>62</v>
      </c>
      <c r="G830" s="53" t="s">
        <v>36</v>
      </c>
      <c r="H830" s="53">
        <f>STOCK[[#This Row],[Precio Final]]</f>
        <v>30</v>
      </c>
      <c r="I830" s="53">
        <f>STOCK[[#This Row],[Precio Venta Ideal (x1.5)]]</f>
        <v>31.305</v>
      </c>
      <c r="J830" s="71">
        <v>1</v>
      </c>
      <c r="K830" s="71">
        <f>SUMIFS(VENTAS[Cantidad],VENTAS[Código del producto Vendido],STOCK[[#This Row],[Code]])</f>
        <v>1</v>
      </c>
      <c r="L830" s="71">
        <f>STOCK[[#This Row],[Entradas]]-STOCK[[#This Row],[Salidas]]</f>
        <v>0</v>
      </c>
      <c r="M830" s="53">
        <f>STOCK[[#This Row],[Precio Final]]*10%</f>
        <v>3</v>
      </c>
      <c r="N830" s="53">
        <v>0</v>
      </c>
      <c r="O830" s="53">
        <v>0</v>
      </c>
      <c r="P830" s="53">
        <v>16.37</v>
      </c>
      <c r="Q830" s="71">
        <v>0</v>
      </c>
      <c r="R830" s="53">
        <v>0</v>
      </c>
      <c r="S830" s="53">
        <v>1.5</v>
      </c>
      <c r="T830" s="53">
        <f>STOCK[[#This Row],[Costo Unitario (USD)]]+STOCK[[#This Row],[Costo Envío (USD)]]+STOCK[[#This Row],[Comisión 10%]]</f>
        <v>20.87</v>
      </c>
      <c r="U830" s="53">
        <f>STOCK[[#This Row],[Costo total]]*1.5</f>
        <v>31.305</v>
      </c>
      <c r="V830" s="53">
        <v>30</v>
      </c>
      <c r="W830" s="53">
        <f>STOCK[[#This Row],[Precio Final]]-STOCK[[#This Row],[Costo total]]</f>
        <v>9.13</v>
      </c>
      <c r="X830" s="53">
        <f>STOCK[[#This Row],[Ganancia Unitaria]]*STOCK[[#This Row],[Salidas]]</f>
        <v>9.13</v>
      </c>
      <c r="Y830" s="53" t="s">
        <v>1602</v>
      </c>
      <c r="AA830" s="53">
        <f>STOCK[[#This Row],[Costo total]]*STOCK[[#This Row],[Entradas]]</f>
        <v>20.87</v>
      </c>
      <c r="AB830" s="53">
        <f>STOCK[[#This Row],[Stock Actual]]*STOCK[[#This Row],[Costo total]]</f>
        <v>0</v>
      </c>
    </row>
    <row r="831" s="54" customFormat="1" ht="50" customHeight="1" spans="1:29">
      <c r="A831" s="54" t="s">
        <v>1650</v>
      </c>
      <c r="B831" s="66"/>
      <c r="C831" s="54" t="s">
        <v>32</v>
      </c>
      <c r="D831" s="54" t="s">
        <v>216</v>
      </c>
      <c r="E831" s="68" t="s">
        <v>1651</v>
      </c>
      <c r="F831" s="54" t="s">
        <v>1468</v>
      </c>
      <c r="G831" s="54" t="s">
        <v>1601</v>
      </c>
      <c r="H831" s="54">
        <f>STOCK[[#This Row],[Precio Final]]</f>
        <v>25</v>
      </c>
      <c r="I831" s="54">
        <f>STOCK[[#This Row],[Precio Venta Ideal (x1.5)]]</f>
        <v>21.09</v>
      </c>
      <c r="J831" s="72">
        <v>1</v>
      </c>
      <c r="K831" s="72">
        <f>SUMIFS(VENTAS[Cantidad],VENTAS[Código del producto Vendido],STOCK[[#This Row],[Code]])</f>
        <v>1</v>
      </c>
      <c r="L831" s="72">
        <f>STOCK[[#This Row],[Entradas]]-STOCK[[#This Row],[Salidas]]</f>
        <v>0</v>
      </c>
      <c r="M831" s="54">
        <f>STOCK[[#This Row],[Precio Final]]*10%</f>
        <v>2.5</v>
      </c>
      <c r="N831" s="54">
        <v>0</v>
      </c>
      <c r="O831" s="54">
        <v>0</v>
      </c>
      <c r="P831" s="54">
        <v>10.06</v>
      </c>
      <c r="Q831" s="72">
        <v>0</v>
      </c>
      <c r="R831" s="54">
        <v>0</v>
      </c>
      <c r="S831" s="54">
        <v>1.5</v>
      </c>
      <c r="T831" s="53">
        <f>STOCK[[#This Row],[Costo Unitario (USD)]]+STOCK[[#This Row],[Costo Envío (USD)]]+STOCK[[#This Row],[Comisión 10%]]</f>
        <v>14.06</v>
      </c>
      <c r="U831" s="54">
        <f>STOCK[[#This Row],[Costo total]]*1.5</f>
        <v>21.09</v>
      </c>
      <c r="V831" s="54">
        <v>25</v>
      </c>
      <c r="W831" s="54">
        <f>STOCK[[#This Row],[Precio Final]]-STOCK[[#This Row],[Costo total]]</f>
        <v>10.94</v>
      </c>
      <c r="X831" s="54">
        <f>STOCK[[#This Row],[Ganancia Unitaria]]*STOCK[[#This Row],[Salidas]]</f>
        <v>10.94</v>
      </c>
      <c r="Y831" s="54" t="s">
        <v>1602</v>
      </c>
      <c r="AA831" s="54">
        <f>STOCK[[#This Row],[Costo total]]*STOCK[[#This Row],[Entradas]]</f>
        <v>14.06</v>
      </c>
      <c r="AB831" s="54">
        <f>STOCK[[#This Row],[Stock Actual]]*STOCK[[#This Row],[Costo total]]</f>
        <v>0</v>
      </c>
      <c r="AC831" s="54">
        <v>20</v>
      </c>
    </row>
    <row r="832" s="53" customFormat="1" ht="50" customHeight="1" spans="1:28">
      <c r="A832" s="53" t="s">
        <v>1652</v>
      </c>
      <c r="B832" s="66"/>
      <c r="C832" s="53" t="s">
        <v>32</v>
      </c>
      <c r="D832" s="53" t="s">
        <v>44</v>
      </c>
      <c r="E832" s="67" t="s">
        <v>1653</v>
      </c>
      <c r="F832" s="53" t="s">
        <v>88</v>
      </c>
      <c r="G832" s="53" t="s">
        <v>1601</v>
      </c>
      <c r="H832" s="53">
        <f>STOCK[[#This Row],[Precio Final]]</f>
        <v>20</v>
      </c>
      <c r="I832" s="53">
        <f>STOCK[[#This Row],[Precio Venta Ideal (x1.5)]]</f>
        <v>20.34</v>
      </c>
      <c r="J832" s="71">
        <v>1</v>
      </c>
      <c r="K832" s="71">
        <f>SUMIFS(VENTAS[Cantidad],VENTAS[Código del producto Vendido],STOCK[[#This Row],[Code]])</f>
        <v>1</v>
      </c>
      <c r="L832" s="71">
        <f>STOCK[[#This Row],[Entradas]]-STOCK[[#This Row],[Salidas]]</f>
        <v>0</v>
      </c>
      <c r="M832" s="53">
        <f>STOCK[[#This Row],[Precio Final]]*10%</f>
        <v>2</v>
      </c>
      <c r="N832" s="53">
        <v>0</v>
      </c>
      <c r="O832" s="53">
        <v>0</v>
      </c>
      <c r="P832" s="53">
        <v>10.06</v>
      </c>
      <c r="Q832" s="71">
        <v>0</v>
      </c>
      <c r="R832" s="53">
        <v>0</v>
      </c>
      <c r="S832" s="53">
        <v>1.5</v>
      </c>
      <c r="T832" s="53">
        <f>STOCK[[#This Row],[Costo Unitario (USD)]]+STOCK[[#This Row],[Costo Envío (USD)]]+STOCK[[#This Row],[Comisión 10%]]</f>
        <v>13.56</v>
      </c>
      <c r="U832" s="53">
        <f>STOCK[[#This Row],[Costo total]]*1.5</f>
        <v>20.34</v>
      </c>
      <c r="V832" s="53">
        <v>20</v>
      </c>
      <c r="W832" s="53">
        <f>STOCK[[#This Row],[Precio Final]]-STOCK[[#This Row],[Costo total]]</f>
        <v>6.44</v>
      </c>
      <c r="X832" s="53">
        <f>STOCK[[#This Row],[Ganancia Unitaria]]*STOCK[[#This Row],[Salidas]]</f>
        <v>6.44</v>
      </c>
      <c r="Y832" s="53" t="s">
        <v>1602</v>
      </c>
      <c r="AA832" s="53">
        <f>STOCK[[#This Row],[Costo total]]*STOCK[[#This Row],[Entradas]]</f>
        <v>13.56</v>
      </c>
      <c r="AB832" s="53">
        <f>STOCK[[#This Row],[Stock Actual]]*STOCK[[#This Row],[Costo total]]</f>
        <v>0</v>
      </c>
    </row>
    <row r="833" s="54" customFormat="1" ht="50" customHeight="1" spans="1:28">
      <c r="A833" s="54" t="s">
        <v>1654</v>
      </c>
      <c r="B833" s="66"/>
      <c r="C833" s="54" t="s">
        <v>32</v>
      </c>
      <c r="D833" s="54" t="s">
        <v>44</v>
      </c>
      <c r="E833" s="68" t="s">
        <v>1655</v>
      </c>
      <c r="F833" s="54" t="s">
        <v>62</v>
      </c>
      <c r="G833" s="54" t="s">
        <v>1601</v>
      </c>
      <c r="H833" s="54">
        <f>STOCK[[#This Row],[Precio Final]]</f>
        <v>28</v>
      </c>
      <c r="I833" s="54">
        <f>STOCK[[#This Row],[Precio Venta Ideal (x1.5)]]</f>
        <v>26.775</v>
      </c>
      <c r="J833" s="72">
        <v>1</v>
      </c>
      <c r="K833" s="72">
        <f>SUMIFS(VENTAS[Cantidad],VENTAS[Código del producto Vendido],STOCK[[#This Row],[Code]])</f>
        <v>1</v>
      </c>
      <c r="L833" s="72">
        <f>STOCK[[#This Row],[Entradas]]-STOCK[[#This Row],[Salidas]]</f>
        <v>0</v>
      </c>
      <c r="M833" s="54">
        <f>STOCK[[#This Row],[Precio Final]]*10%</f>
        <v>2.8</v>
      </c>
      <c r="N833" s="54">
        <v>0</v>
      </c>
      <c r="O833" s="54">
        <v>0</v>
      </c>
      <c r="P833" s="54">
        <v>13.55</v>
      </c>
      <c r="Q833" s="72">
        <v>0</v>
      </c>
      <c r="R833" s="54">
        <v>0</v>
      </c>
      <c r="S833" s="54">
        <v>1.5</v>
      </c>
      <c r="T833" s="53">
        <f>STOCK[[#This Row],[Costo Unitario (USD)]]+STOCK[[#This Row],[Costo Envío (USD)]]+STOCK[[#This Row],[Comisión 10%]]</f>
        <v>17.85</v>
      </c>
      <c r="U833" s="54">
        <f>STOCK[[#This Row],[Costo total]]*1.5</f>
        <v>26.775</v>
      </c>
      <c r="V833" s="54">
        <v>28</v>
      </c>
      <c r="W833" s="54">
        <f>STOCK[[#This Row],[Precio Final]]-STOCK[[#This Row],[Costo total]]</f>
        <v>10.15</v>
      </c>
      <c r="X833" s="54">
        <f>STOCK[[#This Row],[Ganancia Unitaria]]*STOCK[[#This Row],[Salidas]]</f>
        <v>10.15</v>
      </c>
      <c r="Y833" s="54" t="s">
        <v>1602</v>
      </c>
      <c r="AA833" s="54">
        <f>STOCK[[#This Row],[Costo total]]*STOCK[[#This Row],[Entradas]]</f>
        <v>17.85</v>
      </c>
      <c r="AB833" s="54">
        <f>STOCK[[#This Row],[Stock Actual]]*STOCK[[#This Row],[Costo total]]</f>
        <v>0</v>
      </c>
    </row>
    <row r="834" s="53" customFormat="1" ht="50" customHeight="1" spans="1:28">
      <c r="A834" s="53" t="s">
        <v>1656</v>
      </c>
      <c r="B834" s="66"/>
      <c r="C834" s="53" t="s">
        <v>32</v>
      </c>
      <c r="D834" s="53" t="s">
        <v>44</v>
      </c>
      <c r="E834" s="67" t="s">
        <v>1657</v>
      </c>
      <c r="F834" s="53" t="s">
        <v>211</v>
      </c>
      <c r="G834" s="53" t="s">
        <v>1601</v>
      </c>
      <c r="H834" s="53">
        <f>STOCK[[#This Row],[Precio Final]]</f>
        <v>28</v>
      </c>
      <c r="I834" s="53">
        <f>STOCK[[#This Row],[Precio Venta Ideal (x1.5)]]</f>
        <v>26.775</v>
      </c>
      <c r="J834" s="71">
        <v>1</v>
      </c>
      <c r="K834" s="71">
        <f>SUMIFS(VENTAS[Cantidad],VENTAS[Código del producto Vendido],STOCK[[#This Row],[Code]])</f>
        <v>1</v>
      </c>
      <c r="L834" s="71">
        <f>STOCK[[#This Row],[Entradas]]-STOCK[[#This Row],[Salidas]]</f>
        <v>0</v>
      </c>
      <c r="M834" s="53">
        <f>STOCK[[#This Row],[Precio Final]]*10%</f>
        <v>2.8</v>
      </c>
      <c r="N834" s="53">
        <v>0</v>
      </c>
      <c r="O834" s="53">
        <v>0</v>
      </c>
      <c r="P834" s="53">
        <v>13.55</v>
      </c>
      <c r="Q834" s="71">
        <v>0</v>
      </c>
      <c r="R834" s="53">
        <v>0</v>
      </c>
      <c r="S834" s="53">
        <v>1.5</v>
      </c>
      <c r="T834" s="53">
        <f>STOCK[[#This Row],[Costo Unitario (USD)]]+STOCK[[#This Row],[Costo Envío (USD)]]+STOCK[[#This Row],[Comisión 10%]]</f>
        <v>17.85</v>
      </c>
      <c r="U834" s="53">
        <f>STOCK[[#This Row],[Costo total]]*1.5</f>
        <v>26.775</v>
      </c>
      <c r="V834" s="53">
        <v>28</v>
      </c>
      <c r="W834" s="53">
        <f>STOCK[[#This Row],[Precio Final]]-STOCK[[#This Row],[Costo total]]</f>
        <v>10.15</v>
      </c>
      <c r="X834" s="53">
        <f>STOCK[[#This Row],[Ganancia Unitaria]]*STOCK[[#This Row],[Salidas]]</f>
        <v>10.15</v>
      </c>
      <c r="Y834" s="53" t="s">
        <v>1602</v>
      </c>
      <c r="AA834" s="53">
        <f>STOCK[[#This Row],[Costo total]]*STOCK[[#This Row],[Entradas]]</f>
        <v>17.85</v>
      </c>
      <c r="AB834" s="53">
        <f>STOCK[[#This Row],[Stock Actual]]*STOCK[[#This Row],[Costo total]]</f>
        <v>0</v>
      </c>
    </row>
    <row r="835" s="54" customFormat="1" ht="50" customHeight="1" spans="1:28">
      <c r="A835" s="54" t="s">
        <v>1658</v>
      </c>
      <c r="B835" s="66"/>
      <c r="C835" s="54" t="s">
        <v>32</v>
      </c>
      <c r="D835" s="54" t="s">
        <v>174</v>
      </c>
      <c r="E835" s="68" t="s">
        <v>1659</v>
      </c>
      <c r="F835" s="54" t="s">
        <v>40</v>
      </c>
      <c r="G835" s="54" t="s">
        <v>1601</v>
      </c>
      <c r="H835" s="54">
        <f>STOCK[[#This Row],[Precio Final]]</f>
        <v>15</v>
      </c>
      <c r="I835" s="54">
        <f>STOCK[[#This Row],[Precio Venta Ideal (x1.5)]]</f>
        <v>10.92</v>
      </c>
      <c r="J835" s="72">
        <v>1</v>
      </c>
      <c r="K835" s="72">
        <f>SUMIFS(VENTAS[Cantidad],VENTAS[Código del producto Vendido],STOCK[[#This Row],[Code]])</f>
        <v>1</v>
      </c>
      <c r="L835" s="72">
        <f>STOCK[[#This Row],[Entradas]]-STOCK[[#This Row],[Salidas]]</f>
        <v>0</v>
      </c>
      <c r="M835" s="54">
        <f>STOCK[[#This Row],[Precio Final]]*10%</f>
        <v>1.5</v>
      </c>
      <c r="N835" s="54">
        <v>0</v>
      </c>
      <c r="O835" s="54">
        <v>0</v>
      </c>
      <c r="P835" s="54">
        <v>4.28</v>
      </c>
      <c r="Q835" s="72">
        <v>0</v>
      </c>
      <c r="R835" s="54">
        <v>0</v>
      </c>
      <c r="S835" s="54">
        <v>1.5</v>
      </c>
      <c r="T835" s="53">
        <f>STOCK[[#This Row],[Costo Unitario (USD)]]+STOCK[[#This Row],[Costo Envío (USD)]]+STOCK[[#This Row],[Comisión 10%]]</f>
        <v>7.28</v>
      </c>
      <c r="U835" s="54">
        <f>STOCK[[#This Row],[Costo total]]*1.5</f>
        <v>10.92</v>
      </c>
      <c r="V835" s="54">
        <v>15</v>
      </c>
      <c r="W835" s="54">
        <f>STOCK[[#This Row],[Precio Final]]-STOCK[[#This Row],[Costo total]]</f>
        <v>7.72</v>
      </c>
      <c r="X835" s="54">
        <f>STOCK[[#This Row],[Ganancia Unitaria]]*STOCK[[#This Row],[Salidas]]</f>
        <v>7.72</v>
      </c>
      <c r="Y835" s="54" t="s">
        <v>1602</v>
      </c>
      <c r="AA835" s="54">
        <f>STOCK[[#This Row],[Costo total]]*STOCK[[#This Row],[Entradas]]</f>
        <v>7.28</v>
      </c>
      <c r="AB835" s="54">
        <f>STOCK[[#This Row],[Stock Actual]]*STOCK[[#This Row],[Costo total]]</f>
        <v>0</v>
      </c>
    </row>
    <row r="836" s="53" customFormat="1" ht="50" customHeight="1" spans="1:28">
      <c r="A836" s="53" t="s">
        <v>1660</v>
      </c>
      <c r="B836" s="66"/>
      <c r="C836" s="53" t="s">
        <v>32</v>
      </c>
      <c r="D836" s="53" t="s">
        <v>174</v>
      </c>
      <c r="E836" s="67" t="s">
        <v>1659</v>
      </c>
      <c r="F836" s="53" t="s">
        <v>49</v>
      </c>
      <c r="G836" s="53" t="s">
        <v>1601</v>
      </c>
      <c r="H836" s="53">
        <f>STOCK[[#This Row],[Precio Final]]</f>
        <v>15</v>
      </c>
      <c r="I836" s="53">
        <f>STOCK[[#This Row],[Precio Venta Ideal (x1.5)]]</f>
        <v>10.92</v>
      </c>
      <c r="J836" s="71">
        <v>1</v>
      </c>
      <c r="K836" s="71">
        <f>SUMIFS(VENTAS[Cantidad],VENTAS[Código del producto Vendido],STOCK[[#This Row],[Code]])</f>
        <v>1</v>
      </c>
      <c r="L836" s="71">
        <f>STOCK[[#This Row],[Entradas]]-STOCK[[#This Row],[Salidas]]</f>
        <v>0</v>
      </c>
      <c r="M836" s="53">
        <f>STOCK[[#This Row],[Precio Final]]*10%</f>
        <v>1.5</v>
      </c>
      <c r="N836" s="53">
        <v>0</v>
      </c>
      <c r="O836" s="53">
        <v>0</v>
      </c>
      <c r="P836" s="53">
        <v>4.28</v>
      </c>
      <c r="Q836" s="71">
        <v>0</v>
      </c>
      <c r="R836" s="53">
        <v>0</v>
      </c>
      <c r="S836" s="53">
        <v>1.5</v>
      </c>
      <c r="T836" s="53">
        <f>STOCK[[#This Row],[Costo Unitario (USD)]]+STOCK[[#This Row],[Costo Envío (USD)]]+STOCK[[#This Row],[Comisión 10%]]</f>
        <v>7.28</v>
      </c>
      <c r="U836" s="53">
        <f>STOCK[[#This Row],[Costo total]]*1.5</f>
        <v>10.92</v>
      </c>
      <c r="V836" s="53">
        <v>15</v>
      </c>
      <c r="W836" s="53">
        <f>STOCK[[#This Row],[Precio Final]]-STOCK[[#This Row],[Costo total]]</f>
        <v>7.72</v>
      </c>
      <c r="X836" s="53">
        <f>STOCK[[#This Row],[Ganancia Unitaria]]*STOCK[[#This Row],[Salidas]]</f>
        <v>7.72</v>
      </c>
      <c r="Y836" s="53" t="s">
        <v>1602</v>
      </c>
      <c r="AA836" s="53">
        <f>STOCK[[#This Row],[Costo total]]*STOCK[[#This Row],[Entradas]]</f>
        <v>7.28</v>
      </c>
      <c r="AB836" s="53">
        <f>STOCK[[#This Row],[Stock Actual]]*STOCK[[#This Row],[Costo total]]</f>
        <v>0</v>
      </c>
    </row>
    <row r="837" s="54" customFormat="1" ht="50" customHeight="1" spans="1:28">
      <c r="A837" s="54" t="s">
        <v>1661</v>
      </c>
      <c r="B837" s="66"/>
      <c r="C837" s="54" t="s">
        <v>32</v>
      </c>
      <c r="D837" s="54" t="s">
        <v>174</v>
      </c>
      <c r="E837" s="68" t="s">
        <v>1659</v>
      </c>
      <c r="F837" s="54" t="s">
        <v>62</v>
      </c>
      <c r="G837" s="54" t="s">
        <v>1601</v>
      </c>
      <c r="H837" s="54">
        <f>STOCK[[#This Row],[Precio Final]]</f>
        <v>15</v>
      </c>
      <c r="I837" s="54">
        <f>STOCK[[#This Row],[Precio Venta Ideal (x1.5)]]</f>
        <v>10.92</v>
      </c>
      <c r="J837" s="72">
        <v>1</v>
      </c>
      <c r="K837" s="72">
        <f>SUMIFS(VENTAS[Cantidad],VENTAS[Código del producto Vendido],STOCK[[#This Row],[Code]])</f>
        <v>1</v>
      </c>
      <c r="L837" s="72">
        <f>STOCK[[#This Row],[Entradas]]-STOCK[[#This Row],[Salidas]]</f>
        <v>0</v>
      </c>
      <c r="M837" s="54">
        <f>STOCK[[#This Row],[Precio Final]]*10%</f>
        <v>1.5</v>
      </c>
      <c r="N837" s="54">
        <v>0</v>
      </c>
      <c r="O837" s="54">
        <v>0</v>
      </c>
      <c r="P837" s="54">
        <v>4.28</v>
      </c>
      <c r="Q837" s="72">
        <v>0</v>
      </c>
      <c r="R837" s="54">
        <v>0</v>
      </c>
      <c r="S837" s="54">
        <v>1.5</v>
      </c>
      <c r="T837" s="53">
        <f>STOCK[[#This Row],[Costo Unitario (USD)]]+STOCK[[#This Row],[Costo Envío (USD)]]+STOCK[[#This Row],[Comisión 10%]]</f>
        <v>7.28</v>
      </c>
      <c r="U837" s="54">
        <f>STOCK[[#This Row],[Costo total]]*1.5</f>
        <v>10.92</v>
      </c>
      <c r="V837" s="54">
        <v>15</v>
      </c>
      <c r="W837" s="54">
        <f>STOCK[[#This Row],[Precio Final]]-STOCK[[#This Row],[Costo total]]</f>
        <v>7.72</v>
      </c>
      <c r="X837" s="54">
        <f>STOCK[[#This Row],[Ganancia Unitaria]]*STOCK[[#This Row],[Salidas]]</f>
        <v>7.72</v>
      </c>
      <c r="Y837" s="54" t="s">
        <v>1602</v>
      </c>
      <c r="AA837" s="54">
        <f>STOCK[[#This Row],[Costo total]]*STOCK[[#This Row],[Entradas]]</f>
        <v>7.28</v>
      </c>
      <c r="AB837" s="54">
        <f>STOCK[[#This Row],[Stock Actual]]*STOCK[[#This Row],[Costo total]]</f>
        <v>0</v>
      </c>
    </row>
    <row r="838" s="53" customFormat="1" ht="50" customHeight="1" spans="1:28">
      <c r="A838" s="53" t="s">
        <v>1662</v>
      </c>
      <c r="B838" s="66"/>
      <c r="C838" s="53" t="s">
        <v>32</v>
      </c>
      <c r="D838" s="53" t="s">
        <v>174</v>
      </c>
      <c r="E838" s="67" t="s">
        <v>1663</v>
      </c>
      <c r="F838" s="53" t="s">
        <v>62</v>
      </c>
      <c r="G838" s="53" t="s">
        <v>1601</v>
      </c>
      <c r="H838" s="53">
        <f>STOCK[[#This Row],[Precio Final]]</f>
        <v>12</v>
      </c>
      <c r="I838" s="53">
        <f>STOCK[[#This Row],[Precio Venta Ideal (x1.5)]]</f>
        <v>11.355</v>
      </c>
      <c r="J838" s="71">
        <v>1</v>
      </c>
      <c r="K838" s="71">
        <f>SUMIFS(VENTAS[Cantidad],VENTAS[Código del producto Vendido],STOCK[[#This Row],[Code]])</f>
        <v>1</v>
      </c>
      <c r="L838" s="71">
        <f>STOCK[[#This Row],[Entradas]]-STOCK[[#This Row],[Salidas]]</f>
        <v>0</v>
      </c>
      <c r="M838" s="53">
        <f>STOCK[[#This Row],[Precio Final]]*10%</f>
        <v>1.2</v>
      </c>
      <c r="N838" s="53">
        <v>0</v>
      </c>
      <c r="O838" s="53">
        <v>0</v>
      </c>
      <c r="P838" s="53">
        <v>4.87</v>
      </c>
      <c r="Q838" s="71">
        <v>0</v>
      </c>
      <c r="R838" s="53">
        <v>0</v>
      </c>
      <c r="S838" s="53">
        <v>1.5</v>
      </c>
      <c r="T838" s="53">
        <f>STOCK[[#This Row],[Costo Unitario (USD)]]+STOCK[[#This Row],[Costo Envío (USD)]]+STOCK[[#This Row],[Comisión 10%]]</f>
        <v>7.57</v>
      </c>
      <c r="U838" s="53">
        <f>STOCK[[#This Row],[Costo total]]*1.5</f>
        <v>11.355</v>
      </c>
      <c r="V838" s="53">
        <v>12</v>
      </c>
      <c r="W838" s="53">
        <f>STOCK[[#This Row],[Precio Final]]-STOCK[[#This Row],[Costo total]]</f>
        <v>4.43</v>
      </c>
      <c r="X838" s="53">
        <f>STOCK[[#This Row],[Ganancia Unitaria]]*STOCK[[#This Row],[Salidas]]</f>
        <v>4.43</v>
      </c>
      <c r="Y838" s="53" t="s">
        <v>1602</v>
      </c>
      <c r="AA838" s="53">
        <f>STOCK[[#This Row],[Costo total]]*STOCK[[#This Row],[Entradas]]</f>
        <v>7.57</v>
      </c>
      <c r="AB838" s="53">
        <f>STOCK[[#This Row],[Stock Actual]]*STOCK[[#This Row],[Costo total]]</f>
        <v>0</v>
      </c>
    </row>
    <row r="839" s="54" customFormat="1" ht="50" customHeight="1" spans="1:28">
      <c r="A839" s="54" t="s">
        <v>1664</v>
      </c>
      <c r="B839" s="66"/>
      <c r="C839" s="54" t="s">
        <v>32</v>
      </c>
      <c r="D839" s="54" t="s">
        <v>174</v>
      </c>
      <c r="E839" s="68" t="s">
        <v>1665</v>
      </c>
      <c r="F839" s="54" t="s">
        <v>49</v>
      </c>
      <c r="G839" s="54" t="s">
        <v>1601</v>
      </c>
      <c r="H839" s="54">
        <f>STOCK[[#This Row],[Precio Final]]</f>
        <v>12</v>
      </c>
      <c r="I839" s="54">
        <f>STOCK[[#This Row],[Precio Venta Ideal (x1.5)]]</f>
        <v>11.355</v>
      </c>
      <c r="J839" s="72">
        <v>1</v>
      </c>
      <c r="K839" s="72">
        <f>SUMIFS(VENTAS[Cantidad],VENTAS[Código del producto Vendido],STOCK[[#This Row],[Code]])</f>
        <v>1</v>
      </c>
      <c r="L839" s="72">
        <f>STOCK[[#This Row],[Entradas]]-STOCK[[#This Row],[Salidas]]</f>
        <v>0</v>
      </c>
      <c r="M839" s="54">
        <f>STOCK[[#This Row],[Precio Final]]*10%</f>
        <v>1.2</v>
      </c>
      <c r="N839" s="54">
        <v>0</v>
      </c>
      <c r="O839" s="54">
        <v>0</v>
      </c>
      <c r="P839" s="54">
        <v>4.87</v>
      </c>
      <c r="Q839" s="72">
        <v>0</v>
      </c>
      <c r="R839" s="54">
        <v>0</v>
      </c>
      <c r="S839" s="54">
        <v>1.5</v>
      </c>
      <c r="T839" s="53">
        <f>STOCK[[#This Row],[Costo Unitario (USD)]]+STOCK[[#This Row],[Costo Envío (USD)]]+STOCK[[#This Row],[Comisión 10%]]</f>
        <v>7.57</v>
      </c>
      <c r="U839" s="54">
        <f>STOCK[[#This Row],[Costo total]]*1.5</f>
        <v>11.355</v>
      </c>
      <c r="V839" s="54">
        <v>12</v>
      </c>
      <c r="W839" s="54">
        <f>STOCK[[#This Row],[Precio Final]]-STOCK[[#This Row],[Costo total]]</f>
        <v>4.43</v>
      </c>
      <c r="X839" s="54">
        <f>STOCK[[#This Row],[Ganancia Unitaria]]*STOCK[[#This Row],[Salidas]]</f>
        <v>4.43</v>
      </c>
      <c r="Y839" s="54" t="s">
        <v>1602</v>
      </c>
      <c r="AA839" s="54">
        <f>STOCK[[#This Row],[Costo total]]*STOCK[[#This Row],[Entradas]]</f>
        <v>7.57</v>
      </c>
      <c r="AB839" s="54">
        <f>STOCK[[#This Row],[Stock Actual]]*STOCK[[#This Row],[Costo total]]</f>
        <v>0</v>
      </c>
    </row>
    <row r="840" s="53" customFormat="1" ht="50" customHeight="1" spans="1:28">
      <c r="A840" s="53" t="s">
        <v>1666</v>
      </c>
      <c r="B840" s="66"/>
      <c r="C840" s="53" t="s">
        <v>32</v>
      </c>
      <c r="D840" s="53" t="s">
        <v>302</v>
      </c>
      <c r="E840" s="67" t="s">
        <v>1667</v>
      </c>
      <c r="F840" s="53" t="s">
        <v>49</v>
      </c>
      <c r="G840" s="53" t="s">
        <v>1601</v>
      </c>
      <c r="H840" s="53">
        <f>STOCK[[#This Row],[Precio Final]]</f>
        <v>28</v>
      </c>
      <c r="I840" s="53">
        <f>STOCK[[#This Row],[Precio Venta Ideal (x1.5)]]</f>
        <v>32.25</v>
      </c>
      <c r="J840" s="71">
        <v>1</v>
      </c>
      <c r="K840" s="71">
        <f>SUMIFS(VENTAS[Cantidad],VENTAS[Código del producto Vendido],STOCK[[#This Row],[Code]])</f>
        <v>1</v>
      </c>
      <c r="L840" s="71">
        <f>STOCK[[#This Row],[Entradas]]-STOCK[[#This Row],[Salidas]]</f>
        <v>0</v>
      </c>
      <c r="M840" s="53">
        <f>STOCK[[#This Row],[Precio Final]]*10%</f>
        <v>2.8</v>
      </c>
      <c r="N840" s="53">
        <v>0</v>
      </c>
      <c r="O840" s="53">
        <v>0</v>
      </c>
      <c r="P840" s="53">
        <v>17.2</v>
      </c>
      <c r="Q840" s="71">
        <v>0</v>
      </c>
      <c r="R840" s="53">
        <v>0</v>
      </c>
      <c r="S840" s="53">
        <v>1.5</v>
      </c>
      <c r="T840" s="53">
        <f>STOCK[[#This Row],[Costo Unitario (USD)]]+STOCK[[#This Row],[Costo Envío (USD)]]+STOCK[[#This Row],[Comisión 10%]]</f>
        <v>21.5</v>
      </c>
      <c r="U840" s="53">
        <f>STOCK[[#This Row],[Costo total]]*1.5</f>
        <v>32.25</v>
      </c>
      <c r="V840" s="53">
        <v>28</v>
      </c>
      <c r="W840" s="53">
        <f>STOCK[[#This Row],[Precio Final]]-STOCK[[#This Row],[Costo total]]</f>
        <v>6.5</v>
      </c>
      <c r="X840" s="53">
        <f>STOCK[[#This Row],[Ganancia Unitaria]]*STOCK[[#This Row],[Salidas]]</f>
        <v>6.5</v>
      </c>
      <c r="Y840" s="53" t="s">
        <v>1602</v>
      </c>
      <c r="AA840" s="53">
        <f>STOCK[[#This Row],[Costo total]]*STOCK[[#This Row],[Entradas]]</f>
        <v>21.5</v>
      </c>
      <c r="AB840" s="53">
        <f>STOCK[[#This Row],[Stock Actual]]*STOCK[[#This Row],[Costo total]]</f>
        <v>0</v>
      </c>
    </row>
    <row r="841" s="54" customFormat="1" ht="50" customHeight="1" spans="1:28">
      <c r="A841" s="54" t="s">
        <v>1668</v>
      </c>
      <c r="B841" s="66"/>
      <c r="C841" s="54" t="s">
        <v>32</v>
      </c>
      <c r="D841" s="54" t="s">
        <v>213</v>
      </c>
      <c r="E841" s="68" t="s">
        <v>1669</v>
      </c>
      <c r="F841" s="54" t="s">
        <v>42</v>
      </c>
      <c r="G841" s="54" t="s">
        <v>1601</v>
      </c>
      <c r="H841" s="54">
        <f>STOCK[[#This Row],[Precio Final]]</f>
        <v>23</v>
      </c>
      <c r="I841" s="54">
        <f>STOCK[[#This Row],[Precio Venta Ideal (x1.5)]]</f>
        <v>25.425</v>
      </c>
      <c r="J841" s="72">
        <v>1</v>
      </c>
      <c r="K841" s="72">
        <f>SUMIFS(VENTAS[Cantidad],VENTAS[Código del producto Vendido],STOCK[[#This Row],[Code]])</f>
        <v>1</v>
      </c>
      <c r="L841" s="72">
        <f>STOCK[[#This Row],[Entradas]]-STOCK[[#This Row],[Salidas]]</f>
        <v>0</v>
      </c>
      <c r="M841" s="54">
        <f>STOCK[[#This Row],[Precio Final]]*10%</f>
        <v>2.3</v>
      </c>
      <c r="N841" s="54">
        <v>0</v>
      </c>
      <c r="O841" s="54">
        <v>0</v>
      </c>
      <c r="P841" s="54">
        <v>13.15</v>
      </c>
      <c r="Q841" s="72">
        <v>0</v>
      </c>
      <c r="R841" s="54">
        <v>0</v>
      </c>
      <c r="S841" s="54">
        <v>1.5</v>
      </c>
      <c r="T841" s="53">
        <f>STOCK[[#This Row],[Costo Unitario (USD)]]+STOCK[[#This Row],[Costo Envío (USD)]]+STOCK[[#This Row],[Comisión 10%]]</f>
        <v>16.95</v>
      </c>
      <c r="U841" s="54">
        <f>STOCK[[#This Row],[Costo total]]*1.5</f>
        <v>25.425</v>
      </c>
      <c r="V841" s="54">
        <v>23</v>
      </c>
      <c r="W841" s="54">
        <f>STOCK[[#This Row],[Precio Final]]-STOCK[[#This Row],[Costo total]]</f>
        <v>6.05</v>
      </c>
      <c r="X841" s="54">
        <f>STOCK[[#This Row],[Ganancia Unitaria]]*STOCK[[#This Row],[Salidas]]</f>
        <v>6.05</v>
      </c>
      <c r="Y841" s="54" t="s">
        <v>1602</v>
      </c>
      <c r="AA841" s="54">
        <f>STOCK[[#This Row],[Costo total]]*STOCK[[#This Row],[Entradas]]</f>
        <v>16.95</v>
      </c>
      <c r="AB841" s="54">
        <f>STOCK[[#This Row],[Stock Actual]]*STOCK[[#This Row],[Costo total]]</f>
        <v>0</v>
      </c>
    </row>
    <row r="842" s="53" customFormat="1" ht="50" customHeight="1" spans="1:28">
      <c r="A842" s="53" t="s">
        <v>1670</v>
      </c>
      <c r="B842" s="66"/>
      <c r="C842" s="53" t="s">
        <v>32</v>
      </c>
      <c r="D842" s="53" t="s">
        <v>288</v>
      </c>
      <c r="E842" s="67" t="s">
        <v>1671</v>
      </c>
      <c r="F842" s="53" t="s">
        <v>40</v>
      </c>
      <c r="G842" s="53" t="s">
        <v>1601</v>
      </c>
      <c r="H842" s="53">
        <f>STOCK[[#This Row],[Precio Final]]</f>
        <v>25</v>
      </c>
      <c r="I842" s="53">
        <f>STOCK[[#This Row],[Precio Venta Ideal (x1.5)]]</f>
        <v>24.705</v>
      </c>
      <c r="J842" s="71">
        <v>1</v>
      </c>
      <c r="K842" s="71">
        <f>SUMIFS(VENTAS[Cantidad],VENTAS[Código del producto Vendido],STOCK[[#This Row],[Code]])</f>
        <v>1</v>
      </c>
      <c r="L842" s="71">
        <f>STOCK[[#This Row],[Entradas]]-STOCK[[#This Row],[Salidas]]</f>
        <v>0</v>
      </c>
      <c r="M842" s="53">
        <f>STOCK[[#This Row],[Precio Final]]*10%</f>
        <v>2.5</v>
      </c>
      <c r="N842" s="53">
        <v>0</v>
      </c>
      <c r="O842" s="53">
        <v>0</v>
      </c>
      <c r="P842" s="53">
        <v>12.47</v>
      </c>
      <c r="Q842" s="71">
        <v>0</v>
      </c>
      <c r="R842" s="53">
        <v>0</v>
      </c>
      <c r="S842" s="53">
        <v>1.5</v>
      </c>
      <c r="T842" s="53">
        <f>STOCK[[#This Row],[Costo Unitario (USD)]]+STOCK[[#This Row],[Costo Envío (USD)]]+STOCK[[#This Row],[Comisión 10%]]</f>
        <v>16.47</v>
      </c>
      <c r="U842" s="53">
        <f>STOCK[[#This Row],[Costo total]]*1.5</f>
        <v>24.705</v>
      </c>
      <c r="V842" s="53">
        <v>25</v>
      </c>
      <c r="W842" s="53">
        <f>STOCK[[#This Row],[Precio Final]]-STOCK[[#This Row],[Costo total]]</f>
        <v>8.53</v>
      </c>
      <c r="X842" s="53">
        <f>STOCK[[#This Row],[Ganancia Unitaria]]*STOCK[[#This Row],[Salidas]]</f>
        <v>8.53</v>
      </c>
      <c r="Y842" s="53" t="s">
        <v>1602</v>
      </c>
      <c r="AA842" s="53">
        <f>STOCK[[#This Row],[Costo total]]*STOCK[[#This Row],[Entradas]]</f>
        <v>16.47</v>
      </c>
      <c r="AB842" s="53">
        <f>STOCK[[#This Row],[Stock Actual]]*STOCK[[#This Row],[Costo total]]</f>
        <v>0</v>
      </c>
    </row>
    <row r="843" s="54" customFormat="1" ht="50" customHeight="1" spans="1:28">
      <c r="A843" s="54" t="s">
        <v>1672</v>
      </c>
      <c r="B843" s="66"/>
      <c r="C843" s="54" t="s">
        <v>32</v>
      </c>
      <c r="D843" s="54" t="s">
        <v>288</v>
      </c>
      <c r="E843" s="68" t="s">
        <v>1671</v>
      </c>
      <c r="F843" s="54" t="s">
        <v>49</v>
      </c>
      <c r="G843" s="54" t="s">
        <v>1601</v>
      </c>
      <c r="H843" s="54">
        <f>STOCK[[#This Row],[Precio Final]]</f>
        <v>28</v>
      </c>
      <c r="I843" s="54">
        <f>STOCK[[#This Row],[Precio Venta Ideal (x1.5)]]</f>
        <v>25.155</v>
      </c>
      <c r="J843" s="72">
        <v>2</v>
      </c>
      <c r="K843" s="72">
        <f>SUMIFS(VENTAS[Cantidad],VENTAS[Código del producto Vendido],STOCK[[#This Row],[Code]])</f>
        <v>2</v>
      </c>
      <c r="L843" s="72">
        <f>STOCK[[#This Row],[Entradas]]-STOCK[[#This Row],[Salidas]]</f>
        <v>0</v>
      </c>
      <c r="M843" s="54">
        <f>STOCK[[#This Row],[Precio Final]]*10%</f>
        <v>2.8</v>
      </c>
      <c r="N843" s="54">
        <v>0</v>
      </c>
      <c r="O843" s="54">
        <v>0</v>
      </c>
      <c r="P843" s="54">
        <v>12.47</v>
      </c>
      <c r="Q843" s="72">
        <v>0</v>
      </c>
      <c r="R843" s="54">
        <v>0</v>
      </c>
      <c r="S843" s="54">
        <v>1.5</v>
      </c>
      <c r="T843" s="53">
        <f>STOCK[[#This Row],[Costo Unitario (USD)]]+STOCK[[#This Row],[Costo Envío (USD)]]+STOCK[[#This Row],[Comisión 10%]]</f>
        <v>16.77</v>
      </c>
      <c r="U843" s="54">
        <f>STOCK[[#This Row],[Costo total]]*1.5</f>
        <v>25.155</v>
      </c>
      <c r="V843" s="54">
        <v>28</v>
      </c>
      <c r="W843" s="54">
        <f>STOCK[[#This Row],[Precio Final]]-STOCK[[#This Row],[Costo total]]</f>
        <v>11.23</v>
      </c>
      <c r="X843" s="54">
        <f>STOCK[[#This Row],[Ganancia Unitaria]]*STOCK[[#This Row],[Salidas]]</f>
        <v>22.46</v>
      </c>
      <c r="Y843" s="54" t="s">
        <v>1602</v>
      </c>
      <c r="AA843" s="54">
        <f>STOCK[[#This Row],[Costo total]]*STOCK[[#This Row],[Entradas]]</f>
        <v>33.54</v>
      </c>
      <c r="AB843" s="54">
        <f>STOCK[[#This Row],[Stock Actual]]*STOCK[[#This Row],[Costo total]]</f>
        <v>0</v>
      </c>
    </row>
    <row r="844" s="53" customFormat="1" ht="50" customHeight="1" spans="1:28">
      <c r="A844" s="53" t="s">
        <v>1673</v>
      </c>
      <c r="B844" s="66"/>
      <c r="C844" s="53" t="s">
        <v>32</v>
      </c>
      <c r="D844" s="53" t="s">
        <v>288</v>
      </c>
      <c r="E844" s="67" t="s">
        <v>1674</v>
      </c>
      <c r="F844" s="53" t="s">
        <v>187</v>
      </c>
      <c r="G844" s="53" t="s">
        <v>1601</v>
      </c>
      <c r="H844" s="53">
        <f>STOCK[[#This Row],[Precio Final]]</f>
        <v>28</v>
      </c>
      <c r="I844" s="53">
        <f>STOCK[[#This Row],[Precio Venta Ideal (x1.5)]]</f>
        <v>29.25</v>
      </c>
      <c r="J844" s="71">
        <v>1</v>
      </c>
      <c r="K844" s="71">
        <f>SUMIFS(VENTAS[Cantidad],VENTAS[Código del producto Vendido],STOCK[[#This Row],[Code]])</f>
        <v>1</v>
      </c>
      <c r="L844" s="71">
        <f>STOCK[[#This Row],[Entradas]]-STOCK[[#This Row],[Salidas]]</f>
        <v>0</v>
      </c>
      <c r="M844" s="53">
        <f>STOCK[[#This Row],[Precio Final]]*10%</f>
        <v>2.8</v>
      </c>
      <c r="N844" s="53">
        <v>0</v>
      </c>
      <c r="O844" s="53">
        <v>0</v>
      </c>
      <c r="P844" s="53">
        <v>15.2</v>
      </c>
      <c r="Q844" s="71">
        <v>0</v>
      </c>
      <c r="R844" s="53">
        <v>0</v>
      </c>
      <c r="S844" s="53">
        <v>1.5</v>
      </c>
      <c r="T844" s="53">
        <f>STOCK[[#This Row],[Costo Unitario (USD)]]+STOCK[[#This Row],[Costo Envío (USD)]]+STOCK[[#This Row],[Comisión 10%]]</f>
        <v>19.5</v>
      </c>
      <c r="U844" s="53">
        <f>STOCK[[#This Row],[Costo total]]*1.5</f>
        <v>29.25</v>
      </c>
      <c r="V844" s="53">
        <v>28</v>
      </c>
      <c r="W844" s="53">
        <f>STOCK[[#This Row],[Precio Final]]-STOCK[[#This Row],[Costo total]]</f>
        <v>8.5</v>
      </c>
      <c r="X844" s="53">
        <f>STOCK[[#This Row],[Ganancia Unitaria]]*STOCK[[#This Row],[Salidas]]</f>
        <v>8.5</v>
      </c>
      <c r="Y844" s="53" t="s">
        <v>1602</v>
      </c>
      <c r="AA844" s="53">
        <f>STOCK[[#This Row],[Costo total]]*STOCK[[#This Row],[Entradas]]</f>
        <v>19.5</v>
      </c>
      <c r="AB844" s="53">
        <f>STOCK[[#This Row],[Stock Actual]]*STOCK[[#This Row],[Costo total]]</f>
        <v>0</v>
      </c>
    </row>
    <row r="845" s="54" customFormat="1" ht="50" customHeight="1" spans="1:28">
      <c r="A845" s="54" t="s">
        <v>1675</v>
      </c>
      <c r="B845" s="66"/>
      <c r="C845" s="54" t="s">
        <v>32</v>
      </c>
      <c r="D845" s="54" t="s">
        <v>288</v>
      </c>
      <c r="E845" s="68" t="s">
        <v>1676</v>
      </c>
      <c r="F845" s="54" t="s">
        <v>49</v>
      </c>
      <c r="G845" s="54" t="s">
        <v>1601</v>
      </c>
      <c r="H845" s="54">
        <f>STOCK[[#This Row],[Precio Final]]</f>
        <v>28</v>
      </c>
      <c r="I845" s="54">
        <f>STOCK[[#This Row],[Precio Venta Ideal (x1.5)]]</f>
        <v>29.25</v>
      </c>
      <c r="J845" s="72">
        <v>1</v>
      </c>
      <c r="K845" s="72">
        <f>SUMIFS(VENTAS[Cantidad],VENTAS[Código del producto Vendido],STOCK[[#This Row],[Code]])</f>
        <v>1</v>
      </c>
      <c r="L845" s="72">
        <f>STOCK[[#This Row],[Entradas]]-STOCK[[#This Row],[Salidas]]</f>
        <v>0</v>
      </c>
      <c r="M845" s="54">
        <f>STOCK[[#This Row],[Precio Final]]*10%</f>
        <v>2.8</v>
      </c>
      <c r="N845" s="54">
        <v>0</v>
      </c>
      <c r="O845" s="54">
        <v>0</v>
      </c>
      <c r="P845" s="54">
        <v>15.2</v>
      </c>
      <c r="Q845" s="72">
        <v>0</v>
      </c>
      <c r="R845" s="54">
        <v>0</v>
      </c>
      <c r="S845" s="54">
        <v>1.5</v>
      </c>
      <c r="T845" s="53">
        <f>STOCK[[#This Row],[Costo Unitario (USD)]]+STOCK[[#This Row],[Costo Envío (USD)]]+STOCK[[#This Row],[Comisión 10%]]</f>
        <v>19.5</v>
      </c>
      <c r="U845" s="54">
        <f>STOCK[[#This Row],[Costo total]]*1.5</f>
        <v>29.25</v>
      </c>
      <c r="V845" s="54">
        <v>28</v>
      </c>
      <c r="W845" s="54">
        <f>STOCK[[#This Row],[Precio Final]]-STOCK[[#This Row],[Costo total]]</f>
        <v>8.5</v>
      </c>
      <c r="X845" s="54">
        <f>STOCK[[#This Row],[Ganancia Unitaria]]*STOCK[[#This Row],[Salidas]]</f>
        <v>8.5</v>
      </c>
      <c r="Y845" s="54" t="s">
        <v>1602</v>
      </c>
      <c r="AA845" s="54">
        <f>STOCK[[#This Row],[Costo total]]*STOCK[[#This Row],[Entradas]]</f>
        <v>19.5</v>
      </c>
      <c r="AB845" s="54">
        <f>STOCK[[#This Row],[Stock Actual]]*STOCK[[#This Row],[Costo total]]</f>
        <v>0</v>
      </c>
    </row>
    <row r="846" s="53" customFormat="1" ht="50" customHeight="1" spans="1:28">
      <c r="A846" s="53" t="s">
        <v>1677</v>
      </c>
      <c r="B846" s="66"/>
      <c r="C846" s="53" t="s">
        <v>32</v>
      </c>
      <c r="D846" s="53" t="s">
        <v>515</v>
      </c>
      <c r="E846" s="67" t="s">
        <v>1483</v>
      </c>
      <c r="F846" s="53" t="s">
        <v>1678</v>
      </c>
      <c r="G846" s="53" t="s">
        <v>1601</v>
      </c>
      <c r="H846" s="53">
        <f>STOCK[[#This Row],[Precio Final]]</f>
        <v>45</v>
      </c>
      <c r="I846" s="53">
        <f>STOCK[[#This Row],[Precio Venta Ideal (x1.5)]]</f>
        <v>40.38</v>
      </c>
      <c r="J846" s="71">
        <v>2</v>
      </c>
      <c r="K846" s="71">
        <f>SUMIFS(VENTAS[Cantidad],VENTAS[Código del producto Vendido],STOCK[[#This Row],[Code]])</f>
        <v>2</v>
      </c>
      <c r="L846" s="71">
        <f>STOCK[[#This Row],[Entradas]]-STOCK[[#This Row],[Salidas]]</f>
        <v>0</v>
      </c>
      <c r="M846" s="53">
        <f>STOCK[[#This Row],[Precio Final]]*10%</f>
        <v>4.5</v>
      </c>
      <c r="N846" s="53">
        <v>0</v>
      </c>
      <c r="O846" s="53">
        <v>0</v>
      </c>
      <c r="P846" s="53">
        <v>20.92</v>
      </c>
      <c r="Q846" s="71">
        <v>0</v>
      </c>
      <c r="R846" s="53">
        <v>0</v>
      </c>
      <c r="S846" s="53">
        <v>1.5</v>
      </c>
      <c r="T846" s="53">
        <f>STOCK[[#This Row],[Costo Unitario (USD)]]+STOCK[[#This Row],[Costo Envío (USD)]]+STOCK[[#This Row],[Comisión 10%]]</f>
        <v>26.92</v>
      </c>
      <c r="U846" s="53">
        <f>STOCK[[#This Row],[Costo total]]*1.5</f>
        <v>40.38</v>
      </c>
      <c r="V846" s="53">
        <v>45</v>
      </c>
      <c r="W846" s="53">
        <f>STOCK[[#This Row],[Precio Final]]-STOCK[[#This Row],[Costo total]]</f>
        <v>18.08</v>
      </c>
      <c r="X846" s="53">
        <f>STOCK[[#This Row],[Ganancia Unitaria]]*STOCK[[#This Row],[Salidas]]</f>
        <v>36.16</v>
      </c>
      <c r="Y846" s="53" t="s">
        <v>1602</v>
      </c>
      <c r="AA846" s="53">
        <f>STOCK[[#This Row],[Costo total]]*STOCK[[#This Row],[Entradas]]</f>
        <v>53.84</v>
      </c>
      <c r="AB846" s="53">
        <f>STOCK[[#This Row],[Stock Actual]]*STOCK[[#This Row],[Costo total]]</f>
        <v>0</v>
      </c>
    </row>
    <row r="847" s="54" customFormat="1" ht="50" customHeight="1" spans="1:28">
      <c r="A847" s="54" t="s">
        <v>1679</v>
      </c>
      <c r="B847" s="66"/>
      <c r="C847" s="54" t="s">
        <v>32</v>
      </c>
      <c r="D847" s="54" t="s">
        <v>515</v>
      </c>
      <c r="E847" s="68" t="s">
        <v>1483</v>
      </c>
      <c r="F847" s="54" t="s">
        <v>1680</v>
      </c>
      <c r="G847" s="54" t="s">
        <v>1601</v>
      </c>
      <c r="H847" s="54">
        <f>STOCK[[#This Row],[Precio Final]]</f>
        <v>45</v>
      </c>
      <c r="I847" s="54">
        <f>STOCK[[#This Row],[Precio Venta Ideal (x1.5)]]</f>
        <v>40.38</v>
      </c>
      <c r="J847" s="72">
        <v>2</v>
      </c>
      <c r="K847" s="72">
        <f>SUMIFS(VENTAS[Cantidad],VENTAS[Código del producto Vendido],STOCK[[#This Row],[Code]])</f>
        <v>2</v>
      </c>
      <c r="L847" s="72">
        <f>STOCK[[#This Row],[Entradas]]-STOCK[[#This Row],[Salidas]]</f>
        <v>0</v>
      </c>
      <c r="M847" s="54">
        <f>STOCK[[#This Row],[Precio Final]]*10%</f>
        <v>4.5</v>
      </c>
      <c r="N847" s="54">
        <v>0</v>
      </c>
      <c r="O847" s="54">
        <v>0</v>
      </c>
      <c r="P847" s="54">
        <v>20.92</v>
      </c>
      <c r="Q847" s="72">
        <v>0</v>
      </c>
      <c r="R847" s="54">
        <v>0</v>
      </c>
      <c r="S847" s="54">
        <v>1.5</v>
      </c>
      <c r="T847" s="53">
        <f>STOCK[[#This Row],[Costo Unitario (USD)]]+STOCK[[#This Row],[Costo Envío (USD)]]+STOCK[[#This Row],[Comisión 10%]]</f>
        <v>26.92</v>
      </c>
      <c r="U847" s="54">
        <f>STOCK[[#This Row],[Costo total]]*1.5</f>
        <v>40.38</v>
      </c>
      <c r="V847" s="54">
        <v>45</v>
      </c>
      <c r="W847" s="54">
        <f>STOCK[[#This Row],[Precio Final]]-STOCK[[#This Row],[Costo total]]</f>
        <v>18.08</v>
      </c>
      <c r="X847" s="54">
        <f>STOCK[[#This Row],[Ganancia Unitaria]]*STOCK[[#This Row],[Salidas]]</f>
        <v>36.16</v>
      </c>
      <c r="Y847" s="54" t="s">
        <v>1602</v>
      </c>
      <c r="AA847" s="54">
        <f>STOCK[[#This Row],[Costo total]]*STOCK[[#This Row],[Entradas]]</f>
        <v>53.84</v>
      </c>
      <c r="AB847" s="54">
        <f>STOCK[[#This Row],[Stock Actual]]*STOCK[[#This Row],[Costo total]]</f>
        <v>0</v>
      </c>
    </row>
    <row r="848" s="53" customFormat="1" ht="50" customHeight="1" spans="1:28">
      <c r="A848" s="53" t="s">
        <v>1681</v>
      </c>
      <c r="B848" s="66"/>
      <c r="C848" s="53" t="s">
        <v>32</v>
      </c>
      <c r="D848" s="53" t="s">
        <v>44</v>
      </c>
      <c r="E848" s="67" t="s">
        <v>1682</v>
      </c>
      <c r="F848" s="53" t="s">
        <v>1683</v>
      </c>
      <c r="G848" s="53" t="s">
        <v>1601</v>
      </c>
      <c r="H848" s="53">
        <f>STOCK[[#This Row],[Precio Final]]</f>
        <v>20</v>
      </c>
      <c r="I848" s="53">
        <f>STOCK[[#This Row],[Precio Venta Ideal (x1.5)]]</f>
        <v>20.34</v>
      </c>
      <c r="J848" s="71">
        <v>1</v>
      </c>
      <c r="K848" s="71">
        <f>SUMIFS(VENTAS[Cantidad],VENTAS[Código del producto Vendido],STOCK[[#This Row],[Code]])</f>
        <v>1</v>
      </c>
      <c r="L848" s="71">
        <f>STOCK[[#This Row],[Entradas]]-STOCK[[#This Row],[Salidas]]</f>
        <v>0</v>
      </c>
      <c r="M848" s="53">
        <f>STOCK[[#This Row],[Precio Final]]*10%</f>
        <v>2</v>
      </c>
      <c r="N848" s="53">
        <v>0</v>
      </c>
      <c r="O848" s="53">
        <v>0</v>
      </c>
      <c r="P848" s="53">
        <v>10.06</v>
      </c>
      <c r="Q848" s="71">
        <v>0</v>
      </c>
      <c r="R848" s="53">
        <v>0</v>
      </c>
      <c r="S848" s="53">
        <v>1.5</v>
      </c>
      <c r="T848" s="53">
        <f>STOCK[[#This Row],[Costo Unitario (USD)]]+STOCK[[#This Row],[Costo Envío (USD)]]+STOCK[[#This Row],[Comisión 10%]]</f>
        <v>13.56</v>
      </c>
      <c r="U848" s="53">
        <f>STOCK[[#This Row],[Costo total]]*1.5</f>
        <v>20.34</v>
      </c>
      <c r="V848" s="53">
        <v>20</v>
      </c>
      <c r="W848" s="53">
        <f>STOCK[[#This Row],[Precio Final]]-STOCK[[#This Row],[Costo total]]</f>
        <v>6.44</v>
      </c>
      <c r="X848" s="53">
        <f>STOCK[[#This Row],[Ganancia Unitaria]]*STOCK[[#This Row],[Salidas]]</f>
        <v>6.44</v>
      </c>
      <c r="AA848" s="53">
        <f>STOCK[[#This Row],[Costo total]]*STOCK[[#This Row],[Entradas]]</f>
        <v>13.56</v>
      </c>
      <c r="AB848" s="53">
        <f>STOCK[[#This Row],[Stock Actual]]*STOCK[[#This Row],[Costo total]]</f>
        <v>0</v>
      </c>
    </row>
    <row r="849" s="54" customFormat="1" ht="50" customHeight="1" spans="1:28">
      <c r="A849" s="54" t="s">
        <v>1684</v>
      </c>
      <c r="B849" s="66"/>
      <c r="C849" s="54" t="s">
        <v>32</v>
      </c>
      <c r="D849" s="54" t="s">
        <v>213</v>
      </c>
      <c r="E849" s="68" t="s">
        <v>1685</v>
      </c>
      <c r="F849" s="54" t="s">
        <v>42</v>
      </c>
      <c r="G849" s="54" t="s">
        <v>1601</v>
      </c>
      <c r="H849" s="54">
        <f>STOCK[[#This Row],[Precio Final]]</f>
        <v>28</v>
      </c>
      <c r="I849" s="54">
        <f>STOCK[[#This Row],[Precio Venta Ideal (x1.5)]]</f>
        <v>30.075</v>
      </c>
      <c r="J849" s="72">
        <v>2</v>
      </c>
      <c r="K849" s="72">
        <f>SUMIFS(VENTAS[Cantidad],VENTAS[Código del producto Vendido],STOCK[[#This Row],[Code]])</f>
        <v>2</v>
      </c>
      <c r="L849" s="72">
        <f>STOCK[[#This Row],[Entradas]]-STOCK[[#This Row],[Salidas]]</f>
        <v>0</v>
      </c>
      <c r="M849" s="54">
        <f>STOCK[[#This Row],[Precio Final]]*10%</f>
        <v>2.8</v>
      </c>
      <c r="N849" s="54">
        <v>0</v>
      </c>
      <c r="O849" s="54">
        <v>0</v>
      </c>
      <c r="P849" s="54">
        <v>15.75</v>
      </c>
      <c r="Q849" s="72">
        <v>0</v>
      </c>
      <c r="R849" s="54">
        <v>0</v>
      </c>
      <c r="S849" s="54">
        <v>1.5</v>
      </c>
      <c r="T849" s="53">
        <f>STOCK[[#This Row],[Costo Unitario (USD)]]+STOCK[[#This Row],[Costo Envío (USD)]]+STOCK[[#This Row],[Comisión 10%]]</f>
        <v>20.05</v>
      </c>
      <c r="U849" s="54">
        <f>STOCK[[#This Row],[Costo total]]*1.5</f>
        <v>30.075</v>
      </c>
      <c r="V849" s="54">
        <v>28</v>
      </c>
      <c r="W849" s="54">
        <f>STOCK[[#This Row],[Precio Final]]-STOCK[[#This Row],[Costo total]]</f>
        <v>7.95</v>
      </c>
      <c r="X849" s="54">
        <f>STOCK[[#This Row],[Ganancia Unitaria]]*STOCK[[#This Row],[Salidas]]</f>
        <v>15.9</v>
      </c>
      <c r="Y849" s="54" t="s">
        <v>1602</v>
      </c>
      <c r="AA849" s="54">
        <f>STOCK[[#This Row],[Costo total]]*STOCK[[#This Row],[Entradas]]</f>
        <v>40.1</v>
      </c>
      <c r="AB849" s="54">
        <f>STOCK[[#This Row],[Stock Actual]]*STOCK[[#This Row],[Costo total]]</f>
        <v>0</v>
      </c>
    </row>
    <row r="850" s="53" customFormat="1" ht="50" customHeight="1" spans="1:28">
      <c r="A850" s="53" t="s">
        <v>1686</v>
      </c>
      <c r="B850" s="66"/>
      <c r="C850" s="53" t="s">
        <v>32</v>
      </c>
      <c r="D850" s="53" t="s">
        <v>302</v>
      </c>
      <c r="E850" s="67" t="s">
        <v>1687</v>
      </c>
      <c r="F850" s="53" t="s">
        <v>62</v>
      </c>
      <c r="G850" s="53" t="s">
        <v>1601</v>
      </c>
      <c r="H850" s="53">
        <f>STOCK[[#This Row],[Precio Final]]</f>
        <v>30</v>
      </c>
      <c r="I850" s="53">
        <f>STOCK[[#This Row],[Precio Venta Ideal (x1.5)]]</f>
        <v>31.2</v>
      </c>
      <c r="J850" s="71">
        <v>1</v>
      </c>
      <c r="K850" s="71">
        <f>SUMIFS(VENTAS[Cantidad],VENTAS[Código del producto Vendido],STOCK[[#This Row],[Code]])</f>
        <v>1</v>
      </c>
      <c r="L850" s="71">
        <f>STOCK[[#This Row],[Entradas]]-STOCK[[#This Row],[Salidas]]</f>
        <v>0</v>
      </c>
      <c r="M850" s="53">
        <f>STOCK[[#This Row],[Precio Final]]*10%</f>
        <v>3</v>
      </c>
      <c r="N850" s="53">
        <v>0</v>
      </c>
      <c r="O850" s="53">
        <v>0</v>
      </c>
      <c r="P850" s="53">
        <v>16.3</v>
      </c>
      <c r="Q850" s="71">
        <v>0</v>
      </c>
      <c r="R850" s="53">
        <v>0</v>
      </c>
      <c r="S850" s="53">
        <v>1.5</v>
      </c>
      <c r="T850" s="53">
        <f>STOCK[[#This Row],[Costo Unitario (USD)]]+STOCK[[#This Row],[Costo Envío (USD)]]+STOCK[[#This Row],[Comisión 10%]]</f>
        <v>20.8</v>
      </c>
      <c r="U850" s="53">
        <f>STOCK[[#This Row],[Costo total]]*1.5</f>
        <v>31.2</v>
      </c>
      <c r="V850" s="53">
        <v>30</v>
      </c>
      <c r="W850" s="53">
        <f>STOCK[[#This Row],[Precio Final]]-STOCK[[#This Row],[Costo total]]</f>
        <v>9.2</v>
      </c>
      <c r="X850" s="53">
        <f>STOCK[[#This Row],[Ganancia Unitaria]]*STOCK[[#This Row],[Salidas]]</f>
        <v>9.2</v>
      </c>
      <c r="AA850" s="53">
        <f>STOCK[[#This Row],[Costo total]]*STOCK[[#This Row],[Entradas]]</f>
        <v>20.8</v>
      </c>
      <c r="AB850" s="53">
        <f>STOCK[[#This Row],[Stock Actual]]*STOCK[[#This Row],[Costo total]]</f>
        <v>0</v>
      </c>
    </row>
    <row r="851" s="54" customFormat="1" ht="50" customHeight="1" spans="1:28">
      <c r="A851" s="54" t="s">
        <v>1688</v>
      </c>
      <c r="B851" s="66"/>
      <c r="C851" s="54" t="s">
        <v>32</v>
      </c>
      <c r="D851" s="54" t="s">
        <v>1689</v>
      </c>
      <c r="E851" s="68" t="s">
        <v>1690</v>
      </c>
      <c r="F851" s="54" t="s">
        <v>1691</v>
      </c>
      <c r="G851" s="54" t="s">
        <v>36</v>
      </c>
      <c r="H851" s="54">
        <f>STOCK[[#This Row],[Precio Final]]</f>
        <v>30</v>
      </c>
      <c r="I851" s="54">
        <f>STOCK[[#This Row],[Precio Venta Ideal (x1.5)]]</f>
        <v>31.2</v>
      </c>
      <c r="J851" s="72">
        <v>1</v>
      </c>
      <c r="K851" s="72">
        <f>SUMIFS(VENTAS[Cantidad],VENTAS[Código del producto Vendido],STOCK[[#This Row],[Code]])</f>
        <v>1</v>
      </c>
      <c r="L851" s="72">
        <f>STOCK[[#This Row],[Entradas]]-STOCK[[#This Row],[Salidas]]</f>
        <v>0</v>
      </c>
      <c r="M851" s="54">
        <f>STOCK[[#This Row],[Precio Final]]*10%</f>
        <v>3</v>
      </c>
      <c r="N851" s="54">
        <v>0</v>
      </c>
      <c r="O851" s="54">
        <v>0</v>
      </c>
      <c r="P851" s="54">
        <v>16.3</v>
      </c>
      <c r="Q851" s="72">
        <v>0</v>
      </c>
      <c r="R851" s="54">
        <v>0</v>
      </c>
      <c r="S851" s="54">
        <v>1.5</v>
      </c>
      <c r="T851" s="53">
        <f>STOCK[[#This Row],[Costo Unitario (USD)]]+STOCK[[#This Row],[Costo Envío (USD)]]+STOCK[[#This Row],[Comisión 10%]]</f>
        <v>20.8</v>
      </c>
      <c r="U851" s="54">
        <f>STOCK[[#This Row],[Costo total]]*1.5</f>
        <v>31.2</v>
      </c>
      <c r="V851" s="54">
        <v>30</v>
      </c>
      <c r="W851" s="54">
        <f>STOCK[[#This Row],[Precio Final]]-STOCK[[#This Row],[Costo total]]</f>
        <v>9.2</v>
      </c>
      <c r="X851" s="54">
        <f>STOCK[[#This Row],[Ganancia Unitaria]]*STOCK[[#This Row],[Salidas]]</f>
        <v>9.2</v>
      </c>
      <c r="AA851" s="54">
        <f>STOCK[[#This Row],[Costo total]]*STOCK[[#This Row],[Entradas]]</f>
        <v>20.8</v>
      </c>
      <c r="AB851" s="54">
        <f>STOCK[[#This Row],[Stock Actual]]*STOCK[[#This Row],[Costo total]]</f>
        <v>0</v>
      </c>
    </row>
    <row r="852" s="53" customFormat="1" ht="50" customHeight="1" spans="1:28">
      <c r="A852" s="53" t="s">
        <v>1692</v>
      </c>
      <c r="B852" s="66"/>
      <c r="C852" s="53" t="s">
        <v>32</v>
      </c>
      <c r="D852" s="53" t="s">
        <v>780</v>
      </c>
      <c r="E852" s="67" t="s">
        <v>1693</v>
      </c>
      <c r="F852" s="53" t="s">
        <v>40</v>
      </c>
      <c r="G852" s="53" t="s">
        <v>704</v>
      </c>
      <c r="H852" s="53">
        <f>STOCK[[#This Row],[Precio Final]]</f>
        <v>12</v>
      </c>
      <c r="I852" s="53">
        <f>STOCK[[#This Row],[Precio Venta Ideal (x1.5)]]</f>
        <v>15.3</v>
      </c>
      <c r="J852" s="71">
        <v>4</v>
      </c>
      <c r="K852" s="71">
        <f>SUMIFS(VENTAS[Cantidad],VENTAS[Código del producto Vendido],STOCK[[#This Row],[Code]])</f>
        <v>0</v>
      </c>
      <c r="L852" s="71">
        <f>STOCK[[#This Row],[Entradas]]-STOCK[[#This Row],[Salidas]]</f>
        <v>4</v>
      </c>
      <c r="M852" s="53">
        <f>STOCK[[#This Row],[Precio Final]]*10%</f>
        <v>1.2</v>
      </c>
      <c r="N852" s="53">
        <v>0</v>
      </c>
      <c r="O852" s="53">
        <v>0</v>
      </c>
      <c r="P852" s="53">
        <v>7.5</v>
      </c>
      <c r="Q852" s="71">
        <v>0</v>
      </c>
      <c r="R852" s="53">
        <v>0</v>
      </c>
      <c r="S852" s="53">
        <v>1.5</v>
      </c>
      <c r="T852" s="53">
        <f>STOCK[[#This Row],[Costo Unitario (USD)]]+STOCK[[#This Row],[Costo Envío (USD)]]+STOCK[[#This Row],[Comisión 10%]]</f>
        <v>10.2</v>
      </c>
      <c r="U852" s="53">
        <f>STOCK[[#This Row],[Costo total]]*1.5</f>
        <v>15.3</v>
      </c>
      <c r="V852" s="53">
        <v>12</v>
      </c>
      <c r="W852" s="53">
        <f>STOCK[[#This Row],[Precio Final]]-STOCK[[#This Row],[Costo total]]</f>
        <v>1.8</v>
      </c>
      <c r="X852" s="53">
        <f>STOCK[[#This Row],[Ganancia Unitaria]]*STOCK[[#This Row],[Salidas]]</f>
        <v>0</v>
      </c>
      <c r="AA852" s="53">
        <f>STOCK[[#This Row],[Costo total]]*STOCK[[#This Row],[Entradas]]</f>
        <v>40.8</v>
      </c>
      <c r="AB852" s="53">
        <f>STOCK[[#This Row],[Stock Actual]]*STOCK[[#This Row],[Costo total]]</f>
        <v>40.8</v>
      </c>
    </row>
    <row r="853" s="54" customFormat="1" ht="50" customHeight="1" spans="1:28">
      <c r="A853" s="54" t="s">
        <v>1694</v>
      </c>
      <c r="B853" s="66"/>
      <c r="C853" s="54" t="s">
        <v>32</v>
      </c>
      <c r="D853" s="54" t="s">
        <v>174</v>
      </c>
      <c r="E853" s="68" t="s">
        <v>1695</v>
      </c>
      <c r="F853" s="54" t="s">
        <v>62</v>
      </c>
      <c r="G853" s="54" t="s">
        <v>1296</v>
      </c>
      <c r="H853" s="54">
        <f>STOCK[[#This Row],[Precio Final]]</f>
        <v>36</v>
      </c>
      <c r="I853" s="54">
        <f>STOCK[[#This Row],[Precio Venta Ideal (x1.5)]]</f>
        <v>41.4</v>
      </c>
      <c r="J853" s="72">
        <v>2</v>
      </c>
      <c r="K853" s="72">
        <f>SUMIFS(VENTAS[Cantidad],VENTAS[Código del producto Vendido],STOCK[[#This Row],[Code]])</f>
        <v>1</v>
      </c>
      <c r="L853" s="72">
        <f>STOCK[[#This Row],[Entradas]]-STOCK[[#This Row],[Salidas]]</f>
        <v>1</v>
      </c>
      <c r="M853" s="54">
        <f>STOCK[[#This Row],[Precio Final]]*10%</f>
        <v>3.6</v>
      </c>
      <c r="N853" s="54">
        <v>0</v>
      </c>
      <c r="O853" s="54">
        <v>0</v>
      </c>
      <c r="P853" s="54">
        <v>20</v>
      </c>
      <c r="Q853" s="72">
        <v>0</v>
      </c>
      <c r="R853" s="54">
        <v>0</v>
      </c>
      <c r="S853" s="54">
        <v>4</v>
      </c>
      <c r="T853" s="53">
        <f>STOCK[[#This Row],[Costo Unitario (USD)]]+STOCK[[#This Row],[Costo Envío (USD)]]+STOCK[[#This Row],[Comisión 10%]]</f>
        <v>27.6</v>
      </c>
      <c r="U853" s="54">
        <f>STOCK[[#This Row],[Costo total]]*1.5</f>
        <v>41.4</v>
      </c>
      <c r="V853" s="54">
        <v>36</v>
      </c>
      <c r="W853" s="54">
        <f>STOCK[[#This Row],[Precio Final]]-STOCK[[#This Row],[Costo total]]</f>
        <v>8.4</v>
      </c>
      <c r="X853" s="54">
        <f>STOCK[[#This Row],[Ganancia Unitaria]]*STOCK[[#This Row],[Salidas]]</f>
        <v>8.4</v>
      </c>
      <c r="AA853" s="54">
        <f>STOCK[[#This Row],[Costo total]]*STOCK[[#This Row],[Entradas]]</f>
        <v>55.2</v>
      </c>
      <c r="AB853" s="54">
        <f>STOCK[[#This Row],[Stock Actual]]*STOCK[[#This Row],[Costo total]]</f>
        <v>27.6</v>
      </c>
    </row>
    <row r="854" s="53" customFormat="1" ht="50" customHeight="1" spans="1:28">
      <c r="A854" s="53" t="s">
        <v>1696</v>
      </c>
      <c r="B854" s="66"/>
      <c r="C854" s="53" t="s">
        <v>32</v>
      </c>
      <c r="D854" s="53" t="s">
        <v>152</v>
      </c>
      <c r="E854" s="67" t="s">
        <v>1697</v>
      </c>
      <c r="F854" s="53" t="s">
        <v>49</v>
      </c>
      <c r="G854" s="53" t="s">
        <v>1296</v>
      </c>
      <c r="H854" s="53">
        <f>STOCK[[#This Row],[Precio Final]]</f>
        <v>30</v>
      </c>
      <c r="I854" s="53">
        <f>STOCK[[#This Row],[Precio Venta Ideal (x1.5)]]</f>
        <v>35.25</v>
      </c>
      <c r="J854" s="71">
        <v>3</v>
      </c>
      <c r="K854" s="71">
        <f>SUMIFS(VENTAS[Cantidad],VENTAS[Código del producto Vendido],STOCK[[#This Row],[Code]])</f>
        <v>2</v>
      </c>
      <c r="L854" s="71">
        <f>STOCK[[#This Row],[Entradas]]-STOCK[[#This Row],[Salidas]]</f>
        <v>1</v>
      </c>
      <c r="M854" s="53">
        <f>STOCK[[#This Row],[Precio Final]]*10%</f>
        <v>3</v>
      </c>
      <c r="N854" s="53">
        <v>0</v>
      </c>
      <c r="O854" s="53">
        <v>0</v>
      </c>
      <c r="P854" s="53">
        <v>15.5</v>
      </c>
      <c r="Q854" s="71">
        <v>0</v>
      </c>
      <c r="R854" s="53">
        <v>0</v>
      </c>
      <c r="S854" s="53">
        <v>5</v>
      </c>
      <c r="T854" s="53">
        <f>STOCK[[#This Row],[Costo Unitario (USD)]]+STOCK[[#This Row],[Costo Envío (USD)]]+STOCK[[#This Row],[Comisión 10%]]</f>
        <v>23.5</v>
      </c>
      <c r="U854" s="53">
        <f>STOCK[[#This Row],[Costo total]]*1.5</f>
        <v>35.25</v>
      </c>
      <c r="V854" s="53">
        <v>30</v>
      </c>
      <c r="W854" s="53">
        <f>STOCK[[#This Row],[Precio Final]]-STOCK[[#This Row],[Costo total]]</f>
        <v>6.5</v>
      </c>
      <c r="X854" s="53">
        <f>STOCK[[#This Row],[Ganancia Unitaria]]*STOCK[[#This Row],[Salidas]]</f>
        <v>13</v>
      </c>
      <c r="AA854" s="53">
        <f>STOCK[[#This Row],[Costo total]]*STOCK[[#This Row],[Entradas]]</f>
        <v>70.5</v>
      </c>
      <c r="AB854" s="53">
        <f>STOCK[[#This Row],[Stock Actual]]*STOCK[[#This Row],[Costo total]]</f>
        <v>23.5</v>
      </c>
    </row>
    <row r="855" s="54" customFormat="1" ht="50" customHeight="1" spans="1:28">
      <c r="A855" s="54" t="s">
        <v>1698</v>
      </c>
      <c r="B855" s="66"/>
      <c r="C855" s="54" t="s">
        <v>32</v>
      </c>
      <c r="D855" s="54" t="s">
        <v>152</v>
      </c>
      <c r="E855" s="68" t="s">
        <v>1697</v>
      </c>
      <c r="F855" s="54" t="s">
        <v>62</v>
      </c>
      <c r="G855" s="54" t="s">
        <v>1296</v>
      </c>
      <c r="H855" s="54">
        <f>STOCK[[#This Row],[Precio Final]]</f>
        <v>30</v>
      </c>
      <c r="I855" s="54">
        <f>STOCK[[#This Row],[Precio Venta Ideal (x1.5)]]</f>
        <v>35.25</v>
      </c>
      <c r="J855" s="72">
        <v>1</v>
      </c>
      <c r="K855" s="72">
        <f>SUMIFS(VENTAS[Cantidad],VENTAS[Código del producto Vendido],STOCK[[#This Row],[Code]])</f>
        <v>1</v>
      </c>
      <c r="L855" s="72">
        <f>STOCK[[#This Row],[Entradas]]-STOCK[[#This Row],[Salidas]]</f>
        <v>0</v>
      </c>
      <c r="M855" s="54">
        <f>STOCK[[#This Row],[Precio Final]]*10%</f>
        <v>3</v>
      </c>
      <c r="N855" s="54">
        <v>0</v>
      </c>
      <c r="O855" s="54">
        <v>0</v>
      </c>
      <c r="P855" s="54">
        <v>15.5</v>
      </c>
      <c r="Q855" s="72">
        <v>0</v>
      </c>
      <c r="R855" s="54">
        <v>0</v>
      </c>
      <c r="S855" s="54">
        <v>5</v>
      </c>
      <c r="T855" s="53">
        <f>STOCK[[#This Row],[Costo Unitario (USD)]]+STOCK[[#This Row],[Costo Envío (USD)]]+STOCK[[#This Row],[Comisión 10%]]</f>
        <v>23.5</v>
      </c>
      <c r="U855" s="54">
        <f>STOCK[[#This Row],[Costo total]]*1.5</f>
        <v>35.25</v>
      </c>
      <c r="V855" s="54">
        <v>30</v>
      </c>
      <c r="W855" s="54">
        <f>STOCK[[#This Row],[Precio Final]]-STOCK[[#This Row],[Costo total]]</f>
        <v>6.5</v>
      </c>
      <c r="X855" s="54">
        <f>STOCK[[#This Row],[Ganancia Unitaria]]*STOCK[[#This Row],[Salidas]]</f>
        <v>6.5</v>
      </c>
      <c r="AA855" s="54">
        <f>STOCK[[#This Row],[Costo total]]*STOCK[[#This Row],[Entradas]]</f>
        <v>23.5</v>
      </c>
      <c r="AB855" s="54">
        <f>STOCK[[#This Row],[Stock Actual]]*STOCK[[#This Row],[Costo total]]</f>
        <v>0</v>
      </c>
    </row>
    <row r="856" s="53" customFormat="1" ht="50" customHeight="1" spans="1:28">
      <c r="A856" s="53" t="s">
        <v>1699</v>
      </c>
      <c r="B856" s="66"/>
      <c r="C856" s="53" t="s">
        <v>32</v>
      </c>
      <c r="D856" s="53" t="s">
        <v>152</v>
      </c>
      <c r="E856" s="67" t="s">
        <v>1700</v>
      </c>
      <c r="F856" s="53" t="s">
        <v>49</v>
      </c>
      <c r="G856" s="53" t="s">
        <v>1296</v>
      </c>
      <c r="H856" s="53">
        <f>STOCK[[#This Row],[Precio Final]]</f>
        <v>20</v>
      </c>
      <c r="I856" s="53">
        <f>STOCK[[#This Row],[Precio Venta Ideal (x1.5)]]</f>
        <v>19.5</v>
      </c>
      <c r="J856" s="71">
        <v>3</v>
      </c>
      <c r="K856" s="71">
        <f>SUMIFS(VENTAS[Cantidad],VENTAS[Código del producto Vendido],STOCK[[#This Row],[Code]])</f>
        <v>0</v>
      </c>
      <c r="L856" s="71">
        <f>STOCK[[#This Row],[Entradas]]-STOCK[[#This Row],[Salidas]]</f>
        <v>3</v>
      </c>
      <c r="M856" s="53">
        <f>STOCK[[#This Row],[Precio Final]]*10%</f>
        <v>2</v>
      </c>
      <c r="N856" s="53">
        <v>0</v>
      </c>
      <c r="O856" s="53">
        <v>0</v>
      </c>
      <c r="P856" s="53">
        <v>6</v>
      </c>
      <c r="Q856" s="71">
        <v>0</v>
      </c>
      <c r="R856" s="53">
        <v>0</v>
      </c>
      <c r="S856" s="53">
        <v>5</v>
      </c>
      <c r="T856" s="53">
        <f>STOCK[[#This Row],[Costo Unitario (USD)]]+STOCK[[#This Row],[Costo Envío (USD)]]+STOCK[[#This Row],[Comisión 10%]]</f>
        <v>13</v>
      </c>
      <c r="U856" s="53">
        <f>STOCK[[#This Row],[Costo total]]*1.5</f>
        <v>19.5</v>
      </c>
      <c r="V856" s="53">
        <v>20</v>
      </c>
      <c r="W856" s="53">
        <f>STOCK[[#This Row],[Precio Final]]-STOCK[[#This Row],[Costo total]]</f>
        <v>7</v>
      </c>
      <c r="X856" s="53">
        <f>STOCK[[#This Row],[Ganancia Unitaria]]*STOCK[[#This Row],[Salidas]]</f>
        <v>0</v>
      </c>
      <c r="AA856" s="53">
        <f>STOCK[[#This Row],[Costo total]]*STOCK[[#This Row],[Entradas]]</f>
        <v>39</v>
      </c>
      <c r="AB856" s="53">
        <f>STOCK[[#This Row],[Stock Actual]]*STOCK[[#This Row],[Costo total]]</f>
        <v>39</v>
      </c>
    </row>
    <row r="857" s="54" customFormat="1" ht="50" customHeight="1" spans="1:28">
      <c r="A857" s="54" t="s">
        <v>1701</v>
      </c>
      <c r="B857" s="66"/>
      <c r="C857" s="54" t="s">
        <v>32</v>
      </c>
      <c r="D857" s="54" t="s">
        <v>44</v>
      </c>
      <c r="E857" s="68" t="s">
        <v>1702</v>
      </c>
      <c r="F857" s="54" t="s">
        <v>62</v>
      </c>
      <c r="G857" s="54" t="s">
        <v>36</v>
      </c>
      <c r="H857" s="54">
        <f>STOCK[[#This Row],[Precio Final]]</f>
        <v>25</v>
      </c>
      <c r="I857" s="54">
        <f>STOCK[[#This Row],[Precio Venta Ideal (x1.5)]]</f>
        <v>20.85</v>
      </c>
      <c r="J857" s="72">
        <v>1</v>
      </c>
      <c r="K857" s="72">
        <f>SUMIFS(VENTAS[Cantidad],VENTAS[Código del producto Vendido],STOCK[[#This Row],[Code]])</f>
        <v>1</v>
      </c>
      <c r="L857" s="72">
        <f>STOCK[[#This Row],[Entradas]]-STOCK[[#This Row],[Salidas]]</f>
        <v>0</v>
      </c>
      <c r="M857" s="54">
        <f>STOCK[[#This Row],[Precio Final]]*10%</f>
        <v>2.5</v>
      </c>
      <c r="N857" s="54">
        <v>0</v>
      </c>
      <c r="O857" s="54">
        <v>0</v>
      </c>
      <c r="P857" s="54">
        <v>9.9</v>
      </c>
      <c r="Q857" s="72">
        <v>0</v>
      </c>
      <c r="R857" s="54">
        <v>0</v>
      </c>
      <c r="S857" s="54">
        <v>1.5</v>
      </c>
      <c r="T857" s="53">
        <f>STOCK[[#This Row],[Costo Unitario (USD)]]+STOCK[[#This Row],[Costo Envío (USD)]]+STOCK[[#This Row],[Comisión 10%]]</f>
        <v>13.9</v>
      </c>
      <c r="U857" s="54">
        <f>STOCK[[#This Row],[Costo total]]*1.5</f>
        <v>20.85</v>
      </c>
      <c r="V857" s="54">
        <v>25</v>
      </c>
      <c r="W857" s="54">
        <f>STOCK[[#This Row],[Precio Final]]-STOCK[[#This Row],[Costo total]]</f>
        <v>11.1</v>
      </c>
      <c r="X857" s="54">
        <f>STOCK[[#This Row],[Ganancia Unitaria]]*STOCK[[#This Row],[Salidas]]</f>
        <v>11.1</v>
      </c>
      <c r="AA857" s="54">
        <f>STOCK[[#This Row],[Costo total]]*STOCK[[#This Row],[Entradas]]</f>
        <v>13.9</v>
      </c>
      <c r="AB857" s="54">
        <f>STOCK[[#This Row],[Stock Actual]]*STOCK[[#This Row],[Costo total]]</f>
        <v>0</v>
      </c>
    </row>
    <row r="858" s="53" customFormat="1" ht="50" customHeight="1" spans="1:28">
      <c r="A858" s="53" t="s">
        <v>1703</v>
      </c>
      <c r="B858" s="66"/>
      <c r="C858" s="53" t="s">
        <v>32</v>
      </c>
      <c r="D858" s="53" t="s">
        <v>44</v>
      </c>
      <c r="E858" s="67" t="s">
        <v>1702</v>
      </c>
      <c r="F858" s="53" t="s">
        <v>49</v>
      </c>
      <c r="G858" s="53" t="s">
        <v>36</v>
      </c>
      <c r="H858" s="53">
        <f>STOCK[[#This Row],[Precio Final]]</f>
        <v>30</v>
      </c>
      <c r="I858" s="53">
        <f>STOCK[[#This Row],[Precio Venta Ideal (x1.5)]]</f>
        <v>21.6</v>
      </c>
      <c r="J858" s="71">
        <v>2</v>
      </c>
      <c r="K858" s="71">
        <f>SUMIFS(VENTAS[Cantidad],VENTAS[Código del producto Vendido],STOCK[[#This Row],[Code]])</f>
        <v>2</v>
      </c>
      <c r="L858" s="71">
        <f>STOCK[[#This Row],[Entradas]]-STOCK[[#This Row],[Salidas]]</f>
        <v>0</v>
      </c>
      <c r="M858" s="53">
        <f>STOCK[[#This Row],[Precio Final]]*10%</f>
        <v>3</v>
      </c>
      <c r="N858" s="53">
        <v>0</v>
      </c>
      <c r="O858" s="53">
        <v>0</v>
      </c>
      <c r="P858" s="53">
        <v>9.9</v>
      </c>
      <c r="Q858" s="71">
        <v>0</v>
      </c>
      <c r="R858" s="53">
        <v>0</v>
      </c>
      <c r="S858" s="53">
        <v>1.5</v>
      </c>
      <c r="T858" s="53">
        <f>STOCK[[#This Row],[Costo Unitario (USD)]]+STOCK[[#This Row],[Costo Envío (USD)]]+STOCK[[#This Row],[Comisión 10%]]</f>
        <v>14.4</v>
      </c>
      <c r="U858" s="53">
        <f>STOCK[[#This Row],[Costo total]]*1.5</f>
        <v>21.6</v>
      </c>
      <c r="V858" s="53">
        <v>30</v>
      </c>
      <c r="W858" s="53">
        <f>STOCK[[#This Row],[Precio Final]]-STOCK[[#This Row],[Costo total]]</f>
        <v>15.6</v>
      </c>
      <c r="X858" s="53">
        <f>STOCK[[#This Row],[Ganancia Unitaria]]*STOCK[[#This Row],[Salidas]]</f>
        <v>31.2</v>
      </c>
      <c r="AA858" s="53">
        <f>STOCK[[#This Row],[Costo total]]*STOCK[[#This Row],[Entradas]]</f>
        <v>28.8</v>
      </c>
      <c r="AB858" s="53">
        <f>STOCK[[#This Row],[Stock Actual]]*STOCK[[#This Row],[Costo total]]</f>
        <v>0</v>
      </c>
    </row>
    <row r="859" s="54" customFormat="1" ht="50" customHeight="1" spans="1:28">
      <c r="A859" s="54" t="s">
        <v>1704</v>
      </c>
      <c r="B859" s="66"/>
      <c r="C859" s="54" t="s">
        <v>32</v>
      </c>
      <c r="D859" s="54" t="s">
        <v>203</v>
      </c>
      <c r="E859" s="68" t="s">
        <v>1702</v>
      </c>
      <c r="F859" s="54" t="s">
        <v>46</v>
      </c>
      <c r="G859" s="54" t="s">
        <v>36</v>
      </c>
      <c r="H859" s="54">
        <f>STOCK[[#This Row],[Precio Final]]</f>
        <v>30</v>
      </c>
      <c r="I859" s="54">
        <f>STOCK[[#This Row],[Precio Venta Ideal (x1.5)]]</f>
        <v>21.6</v>
      </c>
      <c r="J859" s="72">
        <v>1</v>
      </c>
      <c r="K859" s="72">
        <f>SUMIFS(VENTAS[Cantidad],VENTAS[Código del producto Vendido],STOCK[[#This Row],[Code]])</f>
        <v>0</v>
      </c>
      <c r="L859" s="72">
        <f>STOCK[[#This Row],[Entradas]]-STOCK[[#This Row],[Salidas]]</f>
        <v>1</v>
      </c>
      <c r="M859" s="54">
        <f>STOCK[[#This Row],[Precio Final]]*10%</f>
        <v>3</v>
      </c>
      <c r="N859" s="54">
        <v>0</v>
      </c>
      <c r="O859" s="54">
        <v>0</v>
      </c>
      <c r="P859" s="54">
        <v>9.9</v>
      </c>
      <c r="Q859" s="72">
        <v>0</v>
      </c>
      <c r="R859" s="54">
        <v>0</v>
      </c>
      <c r="S859" s="54">
        <v>1.5</v>
      </c>
      <c r="T859" s="53">
        <f>STOCK[[#This Row],[Costo Unitario (USD)]]+STOCK[[#This Row],[Costo Envío (USD)]]+STOCK[[#This Row],[Comisión 10%]]</f>
        <v>14.4</v>
      </c>
      <c r="U859" s="54">
        <f>STOCK[[#This Row],[Costo total]]*1.5</f>
        <v>21.6</v>
      </c>
      <c r="V859" s="54">
        <v>30</v>
      </c>
      <c r="W859" s="54">
        <f>STOCK[[#This Row],[Precio Final]]-STOCK[[#This Row],[Costo total]]</f>
        <v>15.6</v>
      </c>
      <c r="X859" s="54">
        <f>STOCK[[#This Row],[Ganancia Unitaria]]*STOCK[[#This Row],[Salidas]]</f>
        <v>0</v>
      </c>
      <c r="AA859" s="54">
        <f>STOCK[[#This Row],[Costo total]]*STOCK[[#This Row],[Entradas]]</f>
        <v>14.4</v>
      </c>
      <c r="AB859" s="54">
        <f>STOCK[[#This Row],[Stock Actual]]*STOCK[[#This Row],[Costo total]]</f>
        <v>14.4</v>
      </c>
    </row>
    <row r="860" s="53" customFormat="1" ht="50" customHeight="1" spans="1:28">
      <c r="A860" s="53" t="s">
        <v>1705</v>
      </c>
      <c r="B860" s="66"/>
      <c r="C860" s="53" t="s">
        <v>32</v>
      </c>
      <c r="D860" s="53" t="s">
        <v>44</v>
      </c>
      <c r="E860" s="67" t="s">
        <v>1706</v>
      </c>
      <c r="F860" s="53" t="s">
        <v>62</v>
      </c>
      <c r="G860" s="53" t="s">
        <v>36</v>
      </c>
      <c r="H860" s="53">
        <f>STOCK[[#This Row],[Precio Final]]</f>
        <v>20</v>
      </c>
      <c r="I860" s="53">
        <f>STOCK[[#This Row],[Precio Venta Ideal (x1.5)]]</f>
        <v>17.955</v>
      </c>
      <c r="J860" s="71">
        <v>2</v>
      </c>
      <c r="K860" s="71">
        <f>SUMIFS(VENTAS[Cantidad],VENTAS[Código del producto Vendido],STOCK[[#This Row],[Code]])</f>
        <v>2</v>
      </c>
      <c r="L860" s="71">
        <f>STOCK[[#This Row],[Entradas]]-STOCK[[#This Row],[Salidas]]</f>
        <v>0</v>
      </c>
      <c r="M860" s="53">
        <f>STOCK[[#This Row],[Precio Final]]*10%</f>
        <v>2</v>
      </c>
      <c r="N860" s="53">
        <v>0</v>
      </c>
      <c r="O860" s="53">
        <v>0</v>
      </c>
      <c r="P860" s="53">
        <v>8.47</v>
      </c>
      <c r="Q860" s="71">
        <v>0</v>
      </c>
      <c r="R860" s="53">
        <v>0</v>
      </c>
      <c r="S860" s="53">
        <v>1.5</v>
      </c>
      <c r="T860" s="53">
        <f>STOCK[[#This Row],[Costo Unitario (USD)]]+STOCK[[#This Row],[Costo Envío (USD)]]+STOCK[[#This Row],[Comisión 10%]]</f>
        <v>11.97</v>
      </c>
      <c r="U860" s="53">
        <f>STOCK[[#This Row],[Costo total]]*1.5</f>
        <v>17.955</v>
      </c>
      <c r="V860" s="53">
        <v>20</v>
      </c>
      <c r="W860" s="53">
        <f>STOCK[[#This Row],[Precio Final]]-STOCK[[#This Row],[Costo total]]</f>
        <v>8.03</v>
      </c>
      <c r="X860" s="53">
        <f>STOCK[[#This Row],[Ganancia Unitaria]]*STOCK[[#This Row],[Salidas]]</f>
        <v>16.06</v>
      </c>
      <c r="AA860" s="53">
        <f>STOCK[[#This Row],[Costo total]]*STOCK[[#This Row],[Entradas]]</f>
        <v>23.94</v>
      </c>
      <c r="AB860" s="53">
        <f>STOCK[[#This Row],[Stock Actual]]*STOCK[[#This Row],[Costo total]]</f>
        <v>0</v>
      </c>
    </row>
    <row r="861" s="54" customFormat="1" ht="50" customHeight="1" spans="1:28">
      <c r="A861" s="54" t="s">
        <v>1707</v>
      </c>
      <c r="B861" s="66"/>
      <c r="C861" s="54" t="s">
        <v>32</v>
      </c>
      <c r="D861" s="54" t="s">
        <v>44</v>
      </c>
      <c r="E861" s="68" t="s">
        <v>1706</v>
      </c>
      <c r="F861" s="54" t="s">
        <v>49</v>
      </c>
      <c r="G861" s="54" t="s">
        <v>36</v>
      </c>
      <c r="H861" s="54">
        <f>STOCK[[#This Row],[Precio Final]]</f>
        <v>20</v>
      </c>
      <c r="I861" s="54">
        <f>STOCK[[#This Row],[Precio Venta Ideal (x1.5)]]</f>
        <v>17.955</v>
      </c>
      <c r="J861" s="72">
        <v>2</v>
      </c>
      <c r="K861" s="72">
        <f>SUMIFS(VENTAS[Cantidad],VENTAS[Código del producto Vendido],STOCK[[#This Row],[Code]])</f>
        <v>1</v>
      </c>
      <c r="L861" s="72">
        <f>STOCK[[#This Row],[Entradas]]-STOCK[[#This Row],[Salidas]]</f>
        <v>1</v>
      </c>
      <c r="M861" s="54">
        <f>STOCK[[#This Row],[Precio Final]]*10%</f>
        <v>2</v>
      </c>
      <c r="N861" s="54">
        <v>0</v>
      </c>
      <c r="O861" s="54">
        <v>0</v>
      </c>
      <c r="P861" s="54">
        <v>8.47</v>
      </c>
      <c r="Q861" s="72">
        <v>0</v>
      </c>
      <c r="R861" s="54">
        <v>0</v>
      </c>
      <c r="S861" s="54">
        <v>1.5</v>
      </c>
      <c r="T861" s="53">
        <f>STOCK[[#This Row],[Costo Unitario (USD)]]+STOCK[[#This Row],[Costo Envío (USD)]]+STOCK[[#This Row],[Comisión 10%]]</f>
        <v>11.97</v>
      </c>
      <c r="U861" s="54">
        <f>STOCK[[#This Row],[Costo total]]*1.5</f>
        <v>17.955</v>
      </c>
      <c r="V861" s="54">
        <v>20</v>
      </c>
      <c r="W861" s="54">
        <f>STOCK[[#This Row],[Precio Final]]-STOCK[[#This Row],[Costo total]]</f>
        <v>8.03</v>
      </c>
      <c r="X861" s="54">
        <f>STOCK[[#This Row],[Ganancia Unitaria]]*STOCK[[#This Row],[Salidas]]</f>
        <v>8.03</v>
      </c>
      <c r="AA861" s="54">
        <f>STOCK[[#This Row],[Costo total]]*STOCK[[#This Row],[Entradas]]</f>
        <v>23.94</v>
      </c>
      <c r="AB861" s="54">
        <f>STOCK[[#This Row],[Stock Actual]]*STOCK[[#This Row],[Costo total]]</f>
        <v>11.97</v>
      </c>
    </row>
    <row r="862" s="53" customFormat="1" ht="50" customHeight="1" spans="1:28">
      <c r="A862" s="53" t="s">
        <v>1708</v>
      </c>
      <c r="B862" s="66"/>
      <c r="C862" s="53" t="s">
        <v>32</v>
      </c>
      <c r="D862" s="53" t="s">
        <v>1014</v>
      </c>
      <c r="E862" s="67" t="s">
        <v>1709</v>
      </c>
      <c r="F862" s="53" t="s">
        <v>1710</v>
      </c>
      <c r="G862" s="53" t="s">
        <v>36</v>
      </c>
      <c r="H862" s="53">
        <f>STOCK[[#This Row],[Precio Final]]</f>
        <v>25</v>
      </c>
      <c r="I862" s="53">
        <f>STOCK[[#This Row],[Precio Venta Ideal (x1.5)]]</f>
        <v>30.9</v>
      </c>
      <c r="J862" s="71">
        <v>3</v>
      </c>
      <c r="K862" s="71">
        <f>SUMIFS(VENTAS[Cantidad],VENTAS[Código del producto Vendido],STOCK[[#This Row],[Code]])</f>
        <v>3</v>
      </c>
      <c r="L862" s="71">
        <f>STOCK[[#This Row],[Entradas]]-STOCK[[#This Row],[Salidas]]</f>
        <v>0</v>
      </c>
      <c r="M862" s="53">
        <f>STOCK[[#This Row],[Precio Final]]*10%</f>
        <v>2.5</v>
      </c>
      <c r="N862" s="53">
        <v>0</v>
      </c>
      <c r="O862" s="53">
        <v>0</v>
      </c>
      <c r="P862" s="53">
        <v>16.6</v>
      </c>
      <c r="Q862" s="71">
        <v>0</v>
      </c>
      <c r="R862" s="53">
        <v>0</v>
      </c>
      <c r="S862" s="53">
        <v>1.5</v>
      </c>
      <c r="T862" s="53">
        <f>STOCK[[#This Row],[Costo Unitario (USD)]]+STOCK[[#This Row],[Costo Envío (USD)]]+STOCK[[#This Row],[Comisión 10%]]</f>
        <v>20.6</v>
      </c>
      <c r="U862" s="53">
        <f>STOCK[[#This Row],[Costo total]]*1.5</f>
        <v>30.9</v>
      </c>
      <c r="V862" s="53">
        <v>25</v>
      </c>
      <c r="W862" s="53">
        <f>STOCK[[#This Row],[Precio Final]]-STOCK[[#This Row],[Costo total]]</f>
        <v>4.4</v>
      </c>
      <c r="X862" s="53">
        <f>STOCK[[#This Row],[Ganancia Unitaria]]*STOCK[[#This Row],[Salidas]]</f>
        <v>13.2</v>
      </c>
      <c r="AA862" s="53">
        <f>STOCK[[#This Row],[Costo total]]*STOCK[[#This Row],[Entradas]]</f>
        <v>61.8</v>
      </c>
      <c r="AB862" s="53">
        <f>STOCK[[#This Row],[Stock Actual]]*STOCK[[#This Row],[Costo total]]</f>
        <v>0</v>
      </c>
    </row>
    <row r="863" s="54" customFormat="1" ht="50" customHeight="1" spans="1:28">
      <c r="A863" s="54" t="s">
        <v>1711</v>
      </c>
      <c r="B863" s="66"/>
      <c r="C863" s="54" t="s">
        <v>32</v>
      </c>
      <c r="D863" s="54" t="s">
        <v>1014</v>
      </c>
      <c r="E863" s="68" t="s">
        <v>1712</v>
      </c>
      <c r="F863" s="54" t="s">
        <v>1713</v>
      </c>
      <c r="G863" s="54" t="s">
        <v>36</v>
      </c>
      <c r="H863" s="54">
        <f>STOCK[[#This Row],[Precio Final]]</f>
        <v>13</v>
      </c>
      <c r="I863" s="54">
        <f>STOCK[[#This Row],[Precio Venta Ideal (x1.5)]]</f>
        <v>19.95</v>
      </c>
      <c r="J863" s="72">
        <v>3</v>
      </c>
      <c r="K863" s="72">
        <f>SUMIFS(VENTAS[Cantidad],VENTAS[Código del producto Vendido],STOCK[[#This Row],[Code]])</f>
        <v>3</v>
      </c>
      <c r="L863" s="72">
        <f>STOCK[[#This Row],[Entradas]]-STOCK[[#This Row],[Salidas]]</f>
        <v>0</v>
      </c>
      <c r="M863" s="54">
        <f>STOCK[[#This Row],[Precio Final]]*10%</f>
        <v>1.3</v>
      </c>
      <c r="N863" s="54">
        <v>0</v>
      </c>
      <c r="O863" s="54">
        <v>0</v>
      </c>
      <c r="P863" s="54">
        <v>10</v>
      </c>
      <c r="Q863" s="72">
        <v>0</v>
      </c>
      <c r="R863" s="54">
        <v>0</v>
      </c>
      <c r="S863" s="54">
        <v>2</v>
      </c>
      <c r="T863" s="53">
        <f>STOCK[[#This Row],[Costo Unitario (USD)]]+STOCK[[#This Row],[Costo Envío (USD)]]+STOCK[[#This Row],[Comisión 10%]]</f>
        <v>13.3</v>
      </c>
      <c r="U863" s="54">
        <f>STOCK[[#This Row],[Costo total]]*1.5</f>
        <v>19.95</v>
      </c>
      <c r="V863" s="54">
        <v>13</v>
      </c>
      <c r="W863" s="54">
        <f>STOCK[[#This Row],[Precio Final]]-STOCK[[#This Row],[Costo total]]</f>
        <v>-0.300000000000001</v>
      </c>
      <c r="X863" s="54">
        <f>STOCK[[#This Row],[Ganancia Unitaria]]*STOCK[[#This Row],[Salidas]]</f>
        <v>-0.900000000000002</v>
      </c>
      <c r="AA863" s="54">
        <f>STOCK[[#This Row],[Costo total]]*STOCK[[#This Row],[Entradas]]</f>
        <v>39.9</v>
      </c>
      <c r="AB863" s="54">
        <f>STOCK[[#This Row],[Stock Actual]]*STOCK[[#This Row],[Costo total]]</f>
        <v>0</v>
      </c>
    </row>
    <row r="864" s="53" customFormat="1" ht="50" customHeight="1" spans="1:28">
      <c r="A864" s="53" t="s">
        <v>1714</v>
      </c>
      <c r="B864" s="66"/>
      <c r="C864" s="53" t="s">
        <v>32</v>
      </c>
      <c r="D864" s="53" t="s">
        <v>1014</v>
      </c>
      <c r="E864" s="67" t="s">
        <v>1712</v>
      </c>
      <c r="F864" s="53" t="s">
        <v>1276</v>
      </c>
      <c r="G864" s="53" t="s">
        <v>36</v>
      </c>
      <c r="H864" s="53">
        <f>STOCK[[#This Row],[Precio Final]]</f>
        <v>13</v>
      </c>
      <c r="I864" s="53">
        <f>STOCK[[#This Row],[Precio Venta Ideal (x1.5)]]</f>
        <v>19.95</v>
      </c>
      <c r="J864" s="71">
        <v>3</v>
      </c>
      <c r="K864" s="71">
        <f>SUMIFS(VENTAS[Cantidad],VENTAS[Código del producto Vendido],STOCK[[#This Row],[Code]])</f>
        <v>3</v>
      </c>
      <c r="L864" s="71">
        <f>STOCK[[#This Row],[Entradas]]-STOCK[[#This Row],[Salidas]]</f>
        <v>0</v>
      </c>
      <c r="M864" s="53">
        <f>STOCK[[#This Row],[Precio Final]]*10%</f>
        <v>1.3</v>
      </c>
      <c r="N864" s="53">
        <v>0</v>
      </c>
      <c r="O864" s="53">
        <v>0</v>
      </c>
      <c r="P864" s="53">
        <v>10</v>
      </c>
      <c r="Q864" s="71">
        <v>0</v>
      </c>
      <c r="R864" s="53">
        <v>0</v>
      </c>
      <c r="S864" s="53">
        <v>2</v>
      </c>
      <c r="T864" s="53">
        <f>STOCK[[#This Row],[Costo Unitario (USD)]]+STOCK[[#This Row],[Costo Envío (USD)]]+STOCK[[#This Row],[Comisión 10%]]</f>
        <v>13.3</v>
      </c>
      <c r="U864" s="53">
        <f>STOCK[[#This Row],[Costo total]]*1.5</f>
        <v>19.95</v>
      </c>
      <c r="V864" s="53">
        <v>13</v>
      </c>
      <c r="W864" s="53">
        <f>STOCK[[#This Row],[Precio Final]]-STOCK[[#This Row],[Costo total]]</f>
        <v>-0.300000000000001</v>
      </c>
      <c r="X864" s="53">
        <f>STOCK[[#This Row],[Ganancia Unitaria]]*STOCK[[#This Row],[Salidas]]</f>
        <v>-0.900000000000002</v>
      </c>
      <c r="AA864" s="53">
        <f>STOCK[[#This Row],[Costo total]]*STOCK[[#This Row],[Entradas]]</f>
        <v>39.9</v>
      </c>
      <c r="AB864" s="53">
        <f>STOCK[[#This Row],[Stock Actual]]*STOCK[[#This Row],[Costo total]]</f>
        <v>0</v>
      </c>
    </row>
    <row r="865" s="54" customFormat="1" ht="50" customHeight="1" spans="1:28">
      <c r="A865" s="54" t="s">
        <v>1715</v>
      </c>
      <c r="B865" s="66"/>
      <c r="C865" s="54" t="s">
        <v>32</v>
      </c>
      <c r="D865" s="54" t="s">
        <v>1716</v>
      </c>
      <c r="E865" s="68" t="s">
        <v>1717</v>
      </c>
      <c r="F865" s="54" t="s">
        <v>49</v>
      </c>
      <c r="G865" s="54" t="s">
        <v>704</v>
      </c>
      <c r="H865" s="54">
        <f>STOCK[[#This Row],[Precio Final]]</f>
        <v>30</v>
      </c>
      <c r="I865" s="54">
        <f>STOCK[[#This Row],[Precio Venta Ideal (x1.5)]]</f>
        <v>24</v>
      </c>
      <c r="J865" s="72">
        <v>1</v>
      </c>
      <c r="K865" s="72">
        <f>SUMIFS(VENTAS[Cantidad],VENTAS[Código del producto Vendido],STOCK[[#This Row],[Code]])</f>
        <v>0</v>
      </c>
      <c r="L865" s="72">
        <f>STOCK[[#This Row],[Entradas]]-STOCK[[#This Row],[Salidas]]</f>
        <v>1</v>
      </c>
      <c r="M865" s="54">
        <f>STOCK[[#This Row],[Precio Final]]*10%</f>
        <v>3</v>
      </c>
      <c r="N865" s="54">
        <v>0</v>
      </c>
      <c r="O865" s="54">
        <v>0</v>
      </c>
      <c r="P865" s="54">
        <v>10</v>
      </c>
      <c r="Q865" s="72">
        <v>0</v>
      </c>
      <c r="R865" s="54">
        <v>0</v>
      </c>
      <c r="S865" s="54">
        <v>3</v>
      </c>
      <c r="T865" s="53">
        <f>STOCK[[#This Row],[Costo Unitario (USD)]]+STOCK[[#This Row],[Costo Envío (USD)]]+STOCK[[#This Row],[Comisión 10%]]</f>
        <v>16</v>
      </c>
      <c r="U865" s="54">
        <f>STOCK[[#This Row],[Costo total]]*1.5</f>
        <v>24</v>
      </c>
      <c r="V865" s="54">
        <v>30</v>
      </c>
      <c r="W865" s="54">
        <f>STOCK[[#This Row],[Precio Final]]-STOCK[[#This Row],[Costo total]]</f>
        <v>14</v>
      </c>
      <c r="X865" s="54">
        <f>STOCK[[#This Row],[Ganancia Unitaria]]*STOCK[[#This Row],[Salidas]]</f>
        <v>0</v>
      </c>
      <c r="AA865" s="54">
        <f>STOCK[[#This Row],[Costo total]]*STOCK[[#This Row],[Entradas]]</f>
        <v>16</v>
      </c>
      <c r="AB865" s="54">
        <f>STOCK[[#This Row],[Stock Actual]]*STOCK[[#This Row],[Costo total]]</f>
        <v>16</v>
      </c>
    </row>
    <row r="866" s="53" customFormat="1" ht="50" customHeight="1" spans="1:28">
      <c r="A866" s="53" t="s">
        <v>1718</v>
      </c>
      <c r="B866" s="66"/>
      <c r="C866" s="53" t="s">
        <v>32</v>
      </c>
      <c r="D866" s="53" t="s">
        <v>44</v>
      </c>
      <c r="E866" s="67" t="s">
        <v>1719</v>
      </c>
      <c r="F866" s="53" t="s">
        <v>720</v>
      </c>
      <c r="G866" s="53" t="s">
        <v>704</v>
      </c>
      <c r="H866" s="53">
        <f>STOCK[[#This Row],[Precio Final]]</f>
        <v>28</v>
      </c>
      <c r="I866" s="53">
        <f>STOCK[[#This Row],[Precio Venta Ideal (x1.5)]]</f>
        <v>31.2</v>
      </c>
      <c r="J866" s="71">
        <v>1</v>
      </c>
      <c r="K866" s="71">
        <f>SUMIFS(VENTAS[Cantidad],VENTAS[Código del producto Vendido],STOCK[[#This Row],[Code]])</f>
        <v>1</v>
      </c>
      <c r="L866" s="71">
        <f>STOCK[[#This Row],[Entradas]]-STOCK[[#This Row],[Salidas]]</f>
        <v>0</v>
      </c>
      <c r="M866" s="53">
        <f>STOCK[[#This Row],[Precio Final]]*10%</f>
        <v>2.8</v>
      </c>
      <c r="N866" s="53">
        <v>0</v>
      </c>
      <c r="O866" s="53">
        <v>0</v>
      </c>
      <c r="P866" s="53">
        <v>15</v>
      </c>
      <c r="Q866" s="71">
        <v>0</v>
      </c>
      <c r="R866" s="53">
        <v>0</v>
      </c>
      <c r="S866" s="53">
        <v>3</v>
      </c>
      <c r="T866" s="53">
        <f>STOCK[[#This Row],[Costo Unitario (USD)]]+STOCK[[#This Row],[Costo Envío (USD)]]+STOCK[[#This Row],[Comisión 10%]]</f>
        <v>20.8</v>
      </c>
      <c r="U866" s="53">
        <f>STOCK[[#This Row],[Costo total]]*1.5</f>
        <v>31.2</v>
      </c>
      <c r="V866" s="53">
        <v>28</v>
      </c>
      <c r="W866" s="53">
        <f>STOCK[[#This Row],[Precio Final]]-STOCK[[#This Row],[Costo total]]</f>
        <v>7.2</v>
      </c>
      <c r="X866" s="53">
        <f>STOCK[[#This Row],[Ganancia Unitaria]]*STOCK[[#This Row],[Salidas]]</f>
        <v>7.2</v>
      </c>
      <c r="AA866" s="53">
        <f>STOCK[[#This Row],[Costo total]]*STOCK[[#This Row],[Entradas]]</f>
        <v>20.8</v>
      </c>
      <c r="AB866" s="53">
        <f>STOCK[[#This Row],[Stock Actual]]*STOCK[[#This Row],[Costo total]]</f>
        <v>0</v>
      </c>
    </row>
    <row r="867" s="54" customFormat="1" ht="50" customHeight="1" spans="1:28">
      <c r="A867" s="54" t="s">
        <v>1720</v>
      </c>
      <c r="B867" s="66"/>
      <c r="C867" s="54" t="s">
        <v>32</v>
      </c>
      <c r="D867" s="54" t="s">
        <v>1716</v>
      </c>
      <c r="E867" s="68" t="s">
        <v>1721</v>
      </c>
      <c r="F867" s="54" t="s">
        <v>444</v>
      </c>
      <c r="G867" s="54" t="s">
        <v>704</v>
      </c>
      <c r="H867" s="54">
        <f>STOCK[[#This Row],[Precio Final]]</f>
        <v>25</v>
      </c>
      <c r="I867" s="54">
        <f>STOCK[[#This Row],[Precio Venta Ideal (x1.5)]]</f>
        <v>23.25</v>
      </c>
      <c r="J867" s="72">
        <v>1</v>
      </c>
      <c r="K867" s="72">
        <f>SUMIFS(VENTAS[Cantidad],VENTAS[Código del producto Vendido],STOCK[[#This Row],[Code]])</f>
        <v>0</v>
      </c>
      <c r="L867" s="72">
        <f>STOCK[[#This Row],[Entradas]]-STOCK[[#This Row],[Salidas]]</f>
        <v>1</v>
      </c>
      <c r="M867" s="54">
        <f>STOCK[[#This Row],[Precio Final]]*10%</f>
        <v>2.5</v>
      </c>
      <c r="N867" s="54">
        <v>0</v>
      </c>
      <c r="O867" s="54">
        <v>0</v>
      </c>
      <c r="P867" s="54">
        <v>10</v>
      </c>
      <c r="Q867" s="72">
        <v>0</v>
      </c>
      <c r="R867" s="54">
        <v>0</v>
      </c>
      <c r="S867" s="54">
        <v>3</v>
      </c>
      <c r="T867" s="53">
        <f>STOCK[[#This Row],[Costo Unitario (USD)]]+STOCK[[#This Row],[Costo Envío (USD)]]+STOCK[[#This Row],[Comisión 10%]]</f>
        <v>15.5</v>
      </c>
      <c r="U867" s="54">
        <f>STOCK[[#This Row],[Costo total]]*1.5</f>
        <v>23.25</v>
      </c>
      <c r="V867" s="54">
        <v>25</v>
      </c>
      <c r="W867" s="54">
        <f>STOCK[[#This Row],[Precio Final]]-STOCK[[#This Row],[Costo total]]</f>
        <v>9.5</v>
      </c>
      <c r="X867" s="54">
        <f>STOCK[[#This Row],[Ganancia Unitaria]]*STOCK[[#This Row],[Salidas]]</f>
        <v>0</v>
      </c>
      <c r="AA867" s="54">
        <f>STOCK[[#This Row],[Costo total]]*STOCK[[#This Row],[Entradas]]</f>
        <v>15.5</v>
      </c>
      <c r="AB867" s="54">
        <f>STOCK[[#This Row],[Stock Actual]]*STOCK[[#This Row],[Costo total]]</f>
        <v>15.5</v>
      </c>
    </row>
    <row r="868" s="53" customFormat="1" ht="50" customHeight="1" spans="1:28">
      <c r="A868" s="53" t="s">
        <v>1722</v>
      </c>
      <c r="B868" s="66"/>
      <c r="C868" s="53" t="s">
        <v>32</v>
      </c>
      <c r="D868" s="53" t="s">
        <v>1716</v>
      </c>
      <c r="E868" s="67" t="s">
        <v>1723</v>
      </c>
      <c r="F868" s="53" t="s">
        <v>444</v>
      </c>
      <c r="G868" s="53" t="s">
        <v>704</v>
      </c>
      <c r="H868" s="53">
        <f>STOCK[[#This Row],[Precio Final]]</f>
        <v>25</v>
      </c>
      <c r="I868" s="53">
        <f>STOCK[[#This Row],[Precio Venta Ideal (x1.5)]]</f>
        <v>23.25</v>
      </c>
      <c r="J868" s="71">
        <v>2</v>
      </c>
      <c r="K868" s="71">
        <f>SUMIFS(VENTAS[Cantidad],VENTAS[Código del producto Vendido],STOCK[[#This Row],[Code]])</f>
        <v>1</v>
      </c>
      <c r="L868" s="71">
        <f>STOCK[[#This Row],[Entradas]]-STOCK[[#This Row],[Salidas]]</f>
        <v>1</v>
      </c>
      <c r="M868" s="53">
        <f>STOCK[[#This Row],[Precio Final]]*10%</f>
        <v>2.5</v>
      </c>
      <c r="N868" s="53">
        <v>0</v>
      </c>
      <c r="O868" s="53">
        <v>0</v>
      </c>
      <c r="P868" s="53">
        <v>10</v>
      </c>
      <c r="Q868" s="71">
        <v>0</v>
      </c>
      <c r="R868" s="53">
        <v>0</v>
      </c>
      <c r="S868" s="53">
        <v>3</v>
      </c>
      <c r="T868" s="53">
        <f>STOCK[[#This Row],[Costo Unitario (USD)]]+STOCK[[#This Row],[Costo Envío (USD)]]+STOCK[[#This Row],[Comisión 10%]]</f>
        <v>15.5</v>
      </c>
      <c r="U868" s="53">
        <f>STOCK[[#This Row],[Costo total]]*1.5</f>
        <v>23.25</v>
      </c>
      <c r="V868" s="53">
        <v>25</v>
      </c>
      <c r="W868" s="53">
        <f>STOCK[[#This Row],[Precio Final]]-STOCK[[#This Row],[Costo total]]</f>
        <v>9.5</v>
      </c>
      <c r="X868" s="53">
        <f>STOCK[[#This Row],[Ganancia Unitaria]]*STOCK[[#This Row],[Salidas]]</f>
        <v>9.5</v>
      </c>
      <c r="AA868" s="53">
        <f>STOCK[[#This Row],[Costo total]]*STOCK[[#This Row],[Entradas]]</f>
        <v>31</v>
      </c>
      <c r="AB868" s="53">
        <f>STOCK[[#This Row],[Stock Actual]]*STOCK[[#This Row],[Costo total]]</f>
        <v>15.5</v>
      </c>
    </row>
    <row r="869" s="54" customFormat="1" ht="50" customHeight="1" spans="1:28">
      <c r="A869" s="54" t="s">
        <v>1724</v>
      </c>
      <c r="B869" s="66"/>
      <c r="C869" s="54" t="s">
        <v>32</v>
      </c>
      <c r="D869" s="54" t="s">
        <v>44</v>
      </c>
      <c r="E869" s="68" t="s">
        <v>1725</v>
      </c>
      <c r="F869" s="54" t="s">
        <v>49</v>
      </c>
      <c r="G869" s="54" t="s">
        <v>1296</v>
      </c>
      <c r="H869" s="54">
        <f>STOCK[[#This Row],[Precio Final]]</f>
        <v>19</v>
      </c>
      <c r="I869" s="54">
        <f>STOCK[[#This Row],[Precio Venta Ideal (x1.5)]]</f>
        <v>19.35</v>
      </c>
      <c r="J869" s="72">
        <v>1</v>
      </c>
      <c r="K869" s="72">
        <f>SUMIFS(VENTAS[Cantidad],VENTAS[Código del producto Vendido],STOCK[[#This Row],[Code]])</f>
        <v>1</v>
      </c>
      <c r="L869" s="72">
        <f>STOCK[[#This Row],[Entradas]]-STOCK[[#This Row],[Salidas]]</f>
        <v>0</v>
      </c>
      <c r="M869" s="54">
        <f>STOCK[[#This Row],[Precio Final]]*10%</f>
        <v>1.9</v>
      </c>
      <c r="N869" s="54">
        <v>0</v>
      </c>
      <c r="O869" s="54">
        <v>0</v>
      </c>
      <c r="P869" s="54">
        <v>8</v>
      </c>
      <c r="Q869" s="72">
        <v>0</v>
      </c>
      <c r="R869" s="54">
        <v>0</v>
      </c>
      <c r="S869" s="54">
        <v>3</v>
      </c>
      <c r="T869" s="53">
        <f>STOCK[[#This Row],[Costo Unitario (USD)]]+STOCK[[#This Row],[Costo Envío (USD)]]+STOCK[[#This Row],[Comisión 10%]]</f>
        <v>12.9</v>
      </c>
      <c r="U869" s="54">
        <f>STOCK[[#This Row],[Costo total]]*1.5</f>
        <v>19.35</v>
      </c>
      <c r="V869" s="54">
        <v>19</v>
      </c>
      <c r="W869" s="54">
        <f>STOCK[[#This Row],[Precio Final]]-STOCK[[#This Row],[Costo total]]</f>
        <v>6.1</v>
      </c>
      <c r="X869" s="54">
        <f>STOCK[[#This Row],[Ganancia Unitaria]]*STOCK[[#This Row],[Salidas]]</f>
        <v>6.1</v>
      </c>
      <c r="AA869" s="54">
        <f>STOCK[[#This Row],[Costo total]]*STOCK[[#This Row],[Entradas]]</f>
        <v>12.9</v>
      </c>
      <c r="AB869" s="54">
        <f>STOCK[[#This Row],[Stock Actual]]*STOCK[[#This Row],[Costo total]]</f>
        <v>0</v>
      </c>
    </row>
    <row r="870" s="53" customFormat="1" ht="50" customHeight="1" spans="1:28">
      <c r="A870" s="53" t="s">
        <v>1726</v>
      </c>
      <c r="B870" s="66"/>
      <c r="C870" s="53" t="s">
        <v>32</v>
      </c>
      <c r="D870" s="53" t="s">
        <v>216</v>
      </c>
      <c r="E870" s="67" t="s">
        <v>1727</v>
      </c>
      <c r="F870" s="53" t="s">
        <v>49</v>
      </c>
      <c r="G870" s="53" t="s">
        <v>36</v>
      </c>
      <c r="H870" s="53">
        <f>STOCK[[#This Row],[Precio Final]]</f>
        <v>18</v>
      </c>
      <c r="I870" s="53">
        <f>STOCK[[#This Row],[Precio Venta Ideal (x1.5)]]</f>
        <v>19.2</v>
      </c>
      <c r="J870" s="71">
        <v>1</v>
      </c>
      <c r="K870" s="71">
        <f>SUMIFS(VENTAS[Cantidad],VENTAS[Código del producto Vendido],STOCK[[#This Row],[Code]])</f>
        <v>0</v>
      </c>
      <c r="L870" s="71">
        <f>STOCK[[#This Row],[Entradas]]-STOCK[[#This Row],[Salidas]]</f>
        <v>1</v>
      </c>
      <c r="M870" s="53">
        <f>STOCK[[#This Row],[Precio Final]]*10%</f>
        <v>1.8</v>
      </c>
      <c r="N870" s="53">
        <v>0</v>
      </c>
      <c r="O870" s="53">
        <v>0</v>
      </c>
      <c r="P870" s="53">
        <v>6</v>
      </c>
      <c r="Q870" s="71">
        <v>0</v>
      </c>
      <c r="R870" s="53">
        <v>0</v>
      </c>
      <c r="S870" s="53">
        <v>5</v>
      </c>
      <c r="T870" s="53">
        <f>STOCK[[#This Row],[Costo Unitario (USD)]]+STOCK[[#This Row],[Costo Envío (USD)]]+STOCK[[#This Row],[Comisión 10%]]</f>
        <v>12.8</v>
      </c>
      <c r="U870" s="53">
        <f>STOCK[[#This Row],[Costo total]]*1.5</f>
        <v>19.2</v>
      </c>
      <c r="V870" s="53">
        <v>18</v>
      </c>
      <c r="W870" s="53">
        <f>STOCK[[#This Row],[Precio Final]]-STOCK[[#This Row],[Costo total]]</f>
        <v>5.2</v>
      </c>
      <c r="X870" s="53">
        <f>STOCK[[#This Row],[Ganancia Unitaria]]*STOCK[[#This Row],[Salidas]]</f>
        <v>0</v>
      </c>
      <c r="AA870" s="53">
        <f>STOCK[[#This Row],[Costo total]]*STOCK[[#This Row],[Entradas]]</f>
        <v>12.8</v>
      </c>
      <c r="AB870" s="53">
        <f>STOCK[[#This Row],[Stock Actual]]*STOCK[[#This Row],[Costo total]]</f>
        <v>12.8</v>
      </c>
    </row>
    <row r="871" s="54" customFormat="1" ht="50" customHeight="1" spans="1:28">
      <c r="A871" s="54" t="s">
        <v>1728</v>
      </c>
      <c r="B871" s="66"/>
      <c r="C871" s="54" t="s">
        <v>32</v>
      </c>
      <c r="D871" s="53" t="s">
        <v>515</v>
      </c>
      <c r="E871" s="68" t="s">
        <v>1525</v>
      </c>
      <c r="F871" s="54" t="s">
        <v>1442</v>
      </c>
      <c r="G871" s="54" t="s">
        <v>36</v>
      </c>
      <c r="H871" s="54">
        <f>STOCK[[#This Row],[Precio Final]]</f>
        <v>40</v>
      </c>
      <c r="I871" s="54">
        <f>STOCK[[#This Row],[Precio Venta Ideal (x1.5)]]</f>
        <v>47.25</v>
      </c>
      <c r="J871" s="72">
        <v>1</v>
      </c>
      <c r="K871" s="72">
        <f>SUMIFS(VENTAS[Cantidad],VENTAS[Código del producto Vendido],STOCK[[#This Row],[Code]])</f>
        <v>1</v>
      </c>
      <c r="L871" s="72">
        <f>STOCK[[#This Row],[Entradas]]-STOCK[[#This Row],[Salidas]]</f>
        <v>0</v>
      </c>
      <c r="M871" s="54">
        <f>STOCK[[#This Row],[Precio Final]]*10%</f>
        <v>4</v>
      </c>
      <c r="N871" s="54">
        <v>0</v>
      </c>
      <c r="O871" s="54">
        <v>0</v>
      </c>
      <c r="P871" s="54">
        <v>26</v>
      </c>
      <c r="Q871" s="72">
        <v>0</v>
      </c>
      <c r="R871" s="54">
        <v>0</v>
      </c>
      <c r="S871" s="54">
        <v>1.5</v>
      </c>
      <c r="T871" s="53">
        <f>STOCK[[#This Row],[Costo Unitario (USD)]]+STOCK[[#This Row],[Costo Envío (USD)]]+STOCK[[#This Row],[Comisión 10%]]</f>
        <v>31.5</v>
      </c>
      <c r="U871" s="54">
        <f>STOCK[[#This Row],[Costo total]]*1.5</f>
        <v>47.25</v>
      </c>
      <c r="V871" s="54">
        <v>40</v>
      </c>
      <c r="W871" s="54">
        <f>STOCK[[#This Row],[Precio Final]]-STOCK[[#This Row],[Costo total]]</f>
        <v>8.5</v>
      </c>
      <c r="X871" s="54">
        <f>STOCK[[#This Row],[Ganancia Unitaria]]*STOCK[[#This Row],[Salidas]]</f>
        <v>8.5</v>
      </c>
      <c r="Y871" s="54" t="s">
        <v>1472</v>
      </c>
      <c r="AA871" s="54">
        <f>STOCK[[#This Row],[Costo total]]*STOCK[[#This Row],[Entradas]]</f>
        <v>31.5</v>
      </c>
      <c r="AB871" s="54">
        <f>STOCK[[#This Row],[Stock Actual]]*STOCK[[#This Row],[Costo total]]</f>
        <v>0</v>
      </c>
    </row>
    <row r="872" s="53" customFormat="1" ht="50" customHeight="1" spans="1:28">
      <c r="A872" s="53" t="s">
        <v>1729</v>
      </c>
      <c r="B872" s="66"/>
      <c r="C872" s="53" t="s">
        <v>32</v>
      </c>
      <c r="D872" s="53" t="s">
        <v>1730</v>
      </c>
      <c r="E872" s="67" t="s">
        <v>1731</v>
      </c>
      <c r="F872" s="53" t="s">
        <v>1710</v>
      </c>
      <c r="G872" s="53" t="s">
        <v>36</v>
      </c>
      <c r="H872" s="53">
        <f>STOCK[[#This Row],[Precio Final]]</f>
        <v>25</v>
      </c>
      <c r="I872" s="53">
        <f>STOCK[[#This Row],[Precio Venta Ideal (x1.5)]]</f>
        <v>30.6617647058823</v>
      </c>
      <c r="J872" s="71">
        <v>2</v>
      </c>
      <c r="K872" s="71">
        <f>SUMIFS(VENTAS[Cantidad],VENTAS[Código del producto Vendido],STOCK[[#This Row],[Code]])</f>
        <v>2</v>
      </c>
      <c r="L872" s="71">
        <f>STOCK[[#This Row],[Entradas]]-STOCK[[#This Row],[Salidas]]</f>
        <v>0</v>
      </c>
      <c r="M872" s="53">
        <f>STOCK[[#This Row],[Precio Final]]*10%</f>
        <v>2.5</v>
      </c>
      <c r="N872" s="53">
        <v>237</v>
      </c>
      <c r="O872" s="53">
        <v>17</v>
      </c>
      <c r="P872" s="53">
        <v>13.9411764705882</v>
      </c>
      <c r="Q872" s="71">
        <v>0</v>
      </c>
      <c r="R872" s="53">
        <v>0</v>
      </c>
      <c r="S872" s="53">
        <v>4</v>
      </c>
      <c r="T872" s="53">
        <f>STOCK[[#This Row],[Costo Unitario (USD)]]+STOCK[[#This Row],[Costo Envío (USD)]]+STOCK[[#This Row],[Comisión 10%]]</f>
        <v>20.4411764705882</v>
      </c>
      <c r="U872" s="53">
        <f>STOCK[[#This Row],[Costo total]]*1.5</f>
        <v>30.6617647058823</v>
      </c>
      <c r="V872" s="53">
        <v>25</v>
      </c>
      <c r="W872" s="53">
        <f>STOCK[[#This Row],[Precio Final]]-STOCK[[#This Row],[Costo total]]</f>
        <v>4.5588235294118</v>
      </c>
      <c r="X872" s="53">
        <f>STOCK[[#This Row],[Ganancia Unitaria]]*STOCK[[#This Row],[Salidas]]</f>
        <v>9.1176470588236</v>
      </c>
      <c r="Y872" s="53" t="s">
        <v>1732</v>
      </c>
      <c r="Z872" s="53">
        <f>STOCK[[#This Row],[Costo Envío (USD)]]*STOCK[[#This Row],[Entradas]]</f>
        <v>8</v>
      </c>
      <c r="AA872" s="53">
        <f>STOCK[[#This Row],[Costo total]]*STOCK[[#This Row],[Entradas]]</f>
        <v>40.8823529411764</v>
      </c>
      <c r="AB872" s="53">
        <f>STOCK[[#This Row],[Stock Actual]]*STOCK[[#This Row],[Costo total]]</f>
        <v>0</v>
      </c>
    </row>
    <row r="873" s="54" customFormat="1" ht="50" customHeight="1" spans="1:28">
      <c r="A873" s="54" t="s">
        <v>1733</v>
      </c>
      <c r="B873" s="66"/>
      <c r="C873" s="54" t="s">
        <v>32</v>
      </c>
      <c r="D873" s="54" t="s">
        <v>1730</v>
      </c>
      <c r="E873" s="68" t="s">
        <v>1731</v>
      </c>
      <c r="F873" s="54" t="s">
        <v>1734</v>
      </c>
      <c r="G873" s="54" t="s">
        <v>36</v>
      </c>
      <c r="H873" s="54">
        <f>STOCK[[#This Row],[Precio Final]]</f>
        <v>25</v>
      </c>
      <c r="I873" s="54">
        <f>STOCK[[#This Row],[Precio Venta Ideal (x1.5)]]</f>
        <v>30.6617647058823</v>
      </c>
      <c r="J873" s="72">
        <v>2</v>
      </c>
      <c r="K873" s="72">
        <f>SUMIFS(VENTAS[Cantidad],VENTAS[Código del producto Vendido],STOCK[[#This Row],[Code]])</f>
        <v>2</v>
      </c>
      <c r="L873" s="72">
        <f>STOCK[[#This Row],[Entradas]]-STOCK[[#This Row],[Salidas]]</f>
        <v>0</v>
      </c>
      <c r="M873" s="54">
        <f>STOCK[[#This Row],[Precio Final]]*10%</f>
        <v>2.5</v>
      </c>
      <c r="N873" s="54">
        <v>237</v>
      </c>
      <c r="O873" s="54">
        <v>17</v>
      </c>
      <c r="P873" s="54">
        <v>13.9411764705882</v>
      </c>
      <c r="Q873" s="72">
        <v>0</v>
      </c>
      <c r="R873" s="54">
        <v>0</v>
      </c>
      <c r="S873" s="54">
        <v>4</v>
      </c>
      <c r="T873" s="53">
        <f>STOCK[[#This Row],[Costo Unitario (USD)]]+STOCK[[#This Row],[Costo Envío (USD)]]+STOCK[[#This Row],[Comisión 10%]]</f>
        <v>20.4411764705882</v>
      </c>
      <c r="U873" s="54">
        <f>STOCK[[#This Row],[Costo total]]*1.5</f>
        <v>30.6617647058823</v>
      </c>
      <c r="V873" s="54">
        <v>25</v>
      </c>
      <c r="W873" s="54">
        <f>STOCK[[#This Row],[Precio Final]]-STOCK[[#This Row],[Costo total]]</f>
        <v>4.5588235294118</v>
      </c>
      <c r="X873" s="54">
        <f>STOCK[[#This Row],[Ganancia Unitaria]]*STOCK[[#This Row],[Salidas]]</f>
        <v>9.1176470588236</v>
      </c>
      <c r="Y873" s="54" t="s">
        <v>1732</v>
      </c>
      <c r="Z873" s="54">
        <f>STOCK[[#This Row],[Costo Envío (USD)]]*STOCK[[#This Row],[Entradas]]</f>
        <v>8</v>
      </c>
      <c r="AA873" s="54">
        <f>STOCK[[#This Row],[Costo total]]*STOCK[[#This Row],[Entradas]]</f>
        <v>40.8823529411764</v>
      </c>
      <c r="AB873" s="54">
        <f>STOCK[[#This Row],[Stock Actual]]*STOCK[[#This Row],[Costo total]]</f>
        <v>0</v>
      </c>
    </row>
    <row r="874" s="53" customFormat="1" ht="50" customHeight="1" spans="1:28">
      <c r="A874" s="53" t="s">
        <v>1735</v>
      </c>
      <c r="B874" s="66"/>
      <c r="C874" s="53" t="s">
        <v>32</v>
      </c>
      <c r="D874" s="53" t="s">
        <v>1730</v>
      </c>
      <c r="E874" s="67" t="s">
        <v>1736</v>
      </c>
      <c r="F874" s="53" t="s">
        <v>62</v>
      </c>
      <c r="G874" s="53" t="s">
        <v>36</v>
      </c>
      <c r="H874" s="53">
        <f>STOCK[[#This Row],[Precio Final]]</f>
        <v>25</v>
      </c>
      <c r="I874" s="53">
        <f>STOCK[[#This Row],[Precio Venta Ideal (x1.5)]]</f>
        <v>30.6617647058823</v>
      </c>
      <c r="J874" s="71">
        <v>3</v>
      </c>
      <c r="K874" s="71">
        <f>SUMIFS(VENTAS[Cantidad],VENTAS[Código del producto Vendido],STOCK[[#This Row],[Code]])</f>
        <v>3</v>
      </c>
      <c r="L874" s="71">
        <f>STOCK[[#This Row],[Entradas]]-STOCK[[#This Row],[Salidas]]</f>
        <v>0</v>
      </c>
      <c r="M874" s="53">
        <f>STOCK[[#This Row],[Precio Final]]*10%</f>
        <v>2.5</v>
      </c>
      <c r="N874" s="53">
        <v>237</v>
      </c>
      <c r="O874" s="53">
        <v>17</v>
      </c>
      <c r="P874" s="53">
        <v>13.9411764705882</v>
      </c>
      <c r="Q874" s="71">
        <v>0</v>
      </c>
      <c r="R874" s="53">
        <v>0</v>
      </c>
      <c r="S874" s="53">
        <v>4</v>
      </c>
      <c r="T874" s="53">
        <f>STOCK[[#This Row],[Costo Unitario (USD)]]+STOCK[[#This Row],[Costo Envío (USD)]]+STOCK[[#This Row],[Comisión 10%]]</f>
        <v>20.4411764705882</v>
      </c>
      <c r="U874" s="53">
        <f>STOCK[[#This Row],[Costo total]]*1.5</f>
        <v>30.6617647058823</v>
      </c>
      <c r="V874" s="53">
        <v>25</v>
      </c>
      <c r="W874" s="53">
        <f>STOCK[[#This Row],[Precio Final]]-STOCK[[#This Row],[Costo total]]</f>
        <v>4.5588235294118</v>
      </c>
      <c r="X874" s="53">
        <f>STOCK[[#This Row],[Ganancia Unitaria]]*STOCK[[#This Row],[Salidas]]</f>
        <v>13.6764705882354</v>
      </c>
      <c r="Y874" s="53" t="s">
        <v>1732</v>
      </c>
      <c r="Z874" s="53">
        <f>STOCK[[#This Row],[Costo Envío (USD)]]*STOCK[[#This Row],[Entradas]]</f>
        <v>12</v>
      </c>
      <c r="AA874" s="53">
        <f>STOCK[[#This Row],[Costo total]]*STOCK[[#This Row],[Entradas]]</f>
        <v>61.3235294117646</v>
      </c>
      <c r="AB874" s="53">
        <f>STOCK[[#This Row],[Stock Actual]]*STOCK[[#This Row],[Costo total]]</f>
        <v>0</v>
      </c>
    </row>
    <row r="875" s="54" customFormat="1" ht="50" customHeight="1" spans="1:28">
      <c r="A875" s="54" t="s">
        <v>1737</v>
      </c>
      <c r="B875" s="66"/>
      <c r="C875" s="54" t="s">
        <v>32</v>
      </c>
      <c r="D875" s="54" t="s">
        <v>1730</v>
      </c>
      <c r="E875" s="68" t="s">
        <v>1736</v>
      </c>
      <c r="F875" s="54" t="s">
        <v>49</v>
      </c>
      <c r="G875" s="54" t="s">
        <v>36</v>
      </c>
      <c r="H875" s="54">
        <f>STOCK[[#This Row],[Precio Final]]</f>
        <v>25</v>
      </c>
      <c r="I875" s="54">
        <f>STOCK[[#This Row],[Precio Venta Ideal (x1.5)]]</f>
        <v>30.6617647058823</v>
      </c>
      <c r="J875" s="72">
        <v>2</v>
      </c>
      <c r="K875" s="72">
        <f>SUMIFS(VENTAS[Cantidad],VENTAS[Código del producto Vendido],STOCK[[#This Row],[Code]])</f>
        <v>2</v>
      </c>
      <c r="L875" s="72">
        <f>STOCK[[#This Row],[Entradas]]-STOCK[[#This Row],[Salidas]]</f>
        <v>0</v>
      </c>
      <c r="M875" s="54">
        <f>STOCK[[#This Row],[Precio Final]]*10%</f>
        <v>2.5</v>
      </c>
      <c r="N875" s="54">
        <v>237</v>
      </c>
      <c r="O875" s="54">
        <v>17</v>
      </c>
      <c r="P875" s="54">
        <v>13.9411764705882</v>
      </c>
      <c r="Q875" s="72">
        <v>0</v>
      </c>
      <c r="R875" s="54">
        <v>0</v>
      </c>
      <c r="S875" s="54">
        <v>4</v>
      </c>
      <c r="T875" s="53">
        <f>STOCK[[#This Row],[Costo Unitario (USD)]]+STOCK[[#This Row],[Costo Envío (USD)]]+STOCK[[#This Row],[Comisión 10%]]</f>
        <v>20.4411764705882</v>
      </c>
      <c r="U875" s="54">
        <f>STOCK[[#This Row],[Costo total]]*1.5</f>
        <v>30.6617647058823</v>
      </c>
      <c r="V875" s="54">
        <v>25</v>
      </c>
      <c r="W875" s="54">
        <f>STOCK[[#This Row],[Precio Final]]-STOCK[[#This Row],[Costo total]]</f>
        <v>4.5588235294118</v>
      </c>
      <c r="X875" s="54">
        <f>STOCK[[#This Row],[Ganancia Unitaria]]*STOCK[[#This Row],[Salidas]]</f>
        <v>9.1176470588236</v>
      </c>
      <c r="Y875" s="54" t="s">
        <v>1732</v>
      </c>
      <c r="Z875" s="54">
        <f>STOCK[[#This Row],[Costo Envío (USD)]]*STOCK[[#This Row],[Entradas]]</f>
        <v>8</v>
      </c>
      <c r="AA875" s="54">
        <f>STOCK[[#This Row],[Costo total]]*STOCK[[#This Row],[Entradas]]</f>
        <v>40.8823529411764</v>
      </c>
      <c r="AB875" s="54">
        <f>STOCK[[#This Row],[Stock Actual]]*STOCK[[#This Row],[Costo total]]</f>
        <v>0</v>
      </c>
    </row>
    <row r="876" s="53" customFormat="1" ht="50" customHeight="1" spans="1:28">
      <c r="A876" s="53" t="s">
        <v>1738</v>
      </c>
      <c r="B876" s="66"/>
      <c r="C876" s="53" t="s">
        <v>32</v>
      </c>
      <c r="D876" s="53" t="s">
        <v>1730</v>
      </c>
      <c r="E876" s="67" t="s">
        <v>1739</v>
      </c>
      <c r="F876" s="53" t="s">
        <v>62</v>
      </c>
      <c r="G876" s="53" t="s">
        <v>36</v>
      </c>
      <c r="H876" s="53">
        <f>STOCK[[#This Row],[Precio Final]]</f>
        <v>25</v>
      </c>
      <c r="I876" s="53">
        <f>STOCK[[#This Row],[Precio Venta Ideal (x1.5)]]</f>
        <v>30.6617647058823</v>
      </c>
      <c r="J876" s="71">
        <v>2</v>
      </c>
      <c r="K876" s="71">
        <f>SUMIFS(VENTAS[Cantidad],VENTAS[Código del producto Vendido],STOCK[[#This Row],[Code]])</f>
        <v>2</v>
      </c>
      <c r="L876" s="71">
        <f>STOCK[[#This Row],[Entradas]]-STOCK[[#This Row],[Salidas]]</f>
        <v>0</v>
      </c>
      <c r="M876" s="53">
        <f>STOCK[[#This Row],[Precio Final]]*10%</f>
        <v>2.5</v>
      </c>
      <c r="N876" s="53">
        <v>237</v>
      </c>
      <c r="O876" s="53">
        <v>17</v>
      </c>
      <c r="P876" s="53">
        <v>13.9411764705882</v>
      </c>
      <c r="Q876" s="71">
        <v>0</v>
      </c>
      <c r="R876" s="53">
        <v>0</v>
      </c>
      <c r="S876" s="53">
        <v>4</v>
      </c>
      <c r="T876" s="53">
        <f>STOCK[[#This Row],[Costo Unitario (USD)]]+STOCK[[#This Row],[Costo Envío (USD)]]+STOCK[[#This Row],[Comisión 10%]]</f>
        <v>20.4411764705882</v>
      </c>
      <c r="U876" s="53">
        <f>STOCK[[#This Row],[Costo total]]*1.5</f>
        <v>30.6617647058823</v>
      </c>
      <c r="V876" s="53">
        <v>25</v>
      </c>
      <c r="W876" s="53">
        <f>STOCK[[#This Row],[Precio Final]]-STOCK[[#This Row],[Costo total]]</f>
        <v>4.5588235294118</v>
      </c>
      <c r="X876" s="53">
        <f>STOCK[[#This Row],[Ganancia Unitaria]]*STOCK[[#This Row],[Salidas]]</f>
        <v>9.1176470588236</v>
      </c>
      <c r="Y876" s="53" t="s">
        <v>1732</v>
      </c>
      <c r="Z876" s="53">
        <f>STOCK[[#This Row],[Costo Envío (USD)]]*STOCK[[#This Row],[Entradas]]</f>
        <v>8</v>
      </c>
      <c r="AA876" s="53">
        <f>STOCK[[#This Row],[Costo total]]*STOCK[[#This Row],[Entradas]]</f>
        <v>40.8823529411764</v>
      </c>
      <c r="AB876" s="53">
        <f>STOCK[[#This Row],[Stock Actual]]*STOCK[[#This Row],[Costo total]]</f>
        <v>0</v>
      </c>
    </row>
    <row r="877" s="54" customFormat="1" ht="50" customHeight="1" spans="1:28">
      <c r="A877" s="54" t="s">
        <v>1740</v>
      </c>
      <c r="B877" s="66"/>
      <c r="C877" s="54" t="s">
        <v>32</v>
      </c>
      <c r="D877" s="54" t="s">
        <v>1741</v>
      </c>
      <c r="E877" s="68" t="s">
        <v>1739</v>
      </c>
      <c r="F877" s="54" t="s">
        <v>258</v>
      </c>
      <c r="G877" s="54" t="s">
        <v>36</v>
      </c>
      <c r="H877" s="54">
        <f>STOCK[[#This Row],[Precio Final]]</f>
        <v>25</v>
      </c>
      <c r="I877" s="54">
        <f>STOCK[[#This Row],[Precio Venta Ideal (x1.5)]]</f>
        <v>30.6617647058823</v>
      </c>
      <c r="J877" s="72">
        <v>2</v>
      </c>
      <c r="K877" s="72">
        <f>SUMIFS(VENTAS[Cantidad],VENTAS[Código del producto Vendido],STOCK[[#This Row],[Code]])</f>
        <v>2</v>
      </c>
      <c r="L877" s="72">
        <f>STOCK[[#This Row],[Entradas]]-STOCK[[#This Row],[Salidas]]</f>
        <v>0</v>
      </c>
      <c r="M877" s="54">
        <f>STOCK[[#This Row],[Precio Final]]*10%</f>
        <v>2.5</v>
      </c>
      <c r="N877" s="54">
        <v>237</v>
      </c>
      <c r="O877" s="54">
        <v>17</v>
      </c>
      <c r="P877" s="54">
        <v>13.9411764705882</v>
      </c>
      <c r="Q877" s="72">
        <v>0</v>
      </c>
      <c r="R877" s="54">
        <v>0</v>
      </c>
      <c r="S877" s="54">
        <v>4</v>
      </c>
      <c r="T877" s="53">
        <f>STOCK[[#This Row],[Costo Unitario (USD)]]+STOCK[[#This Row],[Costo Envío (USD)]]+STOCK[[#This Row],[Comisión 10%]]</f>
        <v>20.4411764705882</v>
      </c>
      <c r="U877" s="54">
        <f>STOCK[[#This Row],[Costo total]]*1.5</f>
        <v>30.6617647058823</v>
      </c>
      <c r="V877" s="54">
        <v>25</v>
      </c>
      <c r="W877" s="54">
        <f>STOCK[[#This Row],[Precio Final]]-STOCK[[#This Row],[Costo total]]</f>
        <v>4.5588235294118</v>
      </c>
      <c r="X877" s="54">
        <f>STOCK[[#This Row],[Ganancia Unitaria]]*STOCK[[#This Row],[Salidas]]</f>
        <v>9.1176470588236</v>
      </c>
      <c r="Y877" s="54" t="s">
        <v>1732</v>
      </c>
      <c r="Z877" s="54">
        <f>STOCK[[#This Row],[Costo Envío (USD)]]*STOCK[[#This Row],[Entradas]]</f>
        <v>8</v>
      </c>
      <c r="AA877" s="54">
        <f>STOCK[[#This Row],[Costo total]]*STOCK[[#This Row],[Entradas]]</f>
        <v>40.8823529411764</v>
      </c>
      <c r="AB877" s="54">
        <f>STOCK[[#This Row],[Stock Actual]]*STOCK[[#This Row],[Costo total]]</f>
        <v>0</v>
      </c>
    </row>
    <row r="878" s="53" customFormat="1" ht="50" customHeight="1" spans="1:28">
      <c r="A878" s="53" t="s">
        <v>1742</v>
      </c>
      <c r="B878" s="66"/>
      <c r="C878" s="53" t="s">
        <v>32</v>
      </c>
      <c r="D878" s="53" t="s">
        <v>1743</v>
      </c>
      <c r="E878" s="67" t="s">
        <v>1744</v>
      </c>
      <c r="F878" s="53" t="s">
        <v>62</v>
      </c>
      <c r="G878" s="53" t="s">
        <v>1601</v>
      </c>
      <c r="H878" s="53">
        <f>STOCK[[#This Row],[Precio Final]]</f>
        <v>22</v>
      </c>
      <c r="I878" s="53">
        <f>STOCK[[#This Row],[Precio Venta Ideal (x1.5)]]</f>
        <v>23.3294117647059</v>
      </c>
      <c r="J878" s="71">
        <v>4</v>
      </c>
      <c r="K878" s="71">
        <f>SUMIFS(VENTAS[Cantidad],VENTAS[Código del producto Vendido],STOCK[[#This Row],[Code]])</f>
        <v>2</v>
      </c>
      <c r="L878" s="71">
        <f>STOCK[[#This Row],[Entradas]]-STOCK[[#This Row],[Salidas]]</f>
        <v>2</v>
      </c>
      <c r="M878" s="53">
        <f>STOCK[[#This Row],[Precio Final]]*10%</f>
        <v>2.2</v>
      </c>
      <c r="N878" s="53">
        <v>159</v>
      </c>
      <c r="O878" s="53">
        <v>17</v>
      </c>
      <c r="P878" s="53">
        <v>9.35294117647059</v>
      </c>
      <c r="Q878" s="71">
        <v>0</v>
      </c>
      <c r="R878" s="53">
        <v>0</v>
      </c>
      <c r="S878" s="53">
        <v>4</v>
      </c>
      <c r="T878" s="53">
        <f>STOCK[[#This Row],[Costo Unitario (USD)]]+STOCK[[#This Row],[Costo Envío (USD)]]+STOCK[[#This Row],[Comisión 10%]]</f>
        <v>15.5529411764706</v>
      </c>
      <c r="U878" s="53">
        <f>STOCK[[#This Row],[Costo total]]*1.5</f>
        <v>23.3294117647059</v>
      </c>
      <c r="V878" s="53">
        <v>22</v>
      </c>
      <c r="W878" s="53">
        <f>STOCK[[#This Row],[Precio Final]]-STOCK[[#This Row],[Costo total]]</f>
        <v>6.44705882352941</v>
      </c>
      <c r="X878" s="53">
        <f>STOCK[[#This Row],[Ganancia Unitaria]]*STOCK[[#This Row],[Salidas]]</f>
        <v>12.8941176470588</v>
      </c>
      <c r="Y878" s="53" t="s">
        <v>1732</v>
      </c>
      <c r="Z878" s="53">
        <f>STOCK[[#This Row],[Costo Envío (USD)]]*STOCK[[#This Row],[Entradas]]</f>
        <v>16</v>
      </c>
      <c r="AA878" s="53">
        <f>STOCK[[#This Row],[Costo total]]*STOCK[[#This Row],[Entradas]]</f>
        <v>62.2117647058824</v>
      </c>
      <c r="AB878" s="53">
        <f>STOCK[[#This Row],[Stock Actual]]*STOCK[[#This Row],[Costo total]]</f>
        <v>31.1058823529412</v>
      </c>
    </row>
    <row r="879" s="54" customFormat="1" ht="50" customHeight="1" spans="1:28">
      <c r="A879" s="54" t="s">
        <v>1745</v>
      </c>
      <c r="B879" s="66"/>
      <c r="C879" s="54" t="s">
        <v>32</v>
      </c>
      <c r="D879" s="54" t="s">
        <v>1743</v>
      </c>
      <c r="E879" s="68" t="s">
        <v>1744</v>
      </c>
      <c r="F879" s="54" t="s">
        <v>211</v>
      </c>
      <c r="G879" s="54" t="s">
        <v>36</v>
      </c>
      <c r="H879" s="54">
        <f>STOCK[[#This Row],[Precio Final]]</f>
        <v>22</v>
      </c>
      <c r="I879" s="54">
        <f>STOCK[[#This Row],[Precio Venta Ideal (x1.5)]]</f>
        <v>23.3294117647059</v>
      </c>
      <c r="J879" s="72">
        <v>2</v>
      </c>
      <c r="K879" s="72">
        <f>SUMIFS(VENTAS[Cantidad],VENTAS[Código del producto Vendido],STOCK[[#This Row],[Code]])</f>
        <v>2</v>
      </c>
      <c r="L879" s="72">
        <f>STOCK[[#This Row],[Entradas]]-STOCK[[#This Row],[Salidas]]</f>
        <v>0</v>
      </c>
      <c r="M879" s="54">
        <f>STOCK[[#This Row],[Precio Final]]*10%</f>
        <v>2.2</v>
      </c>
      <c r="N879" s="54">
        <v>159</v>
      </c>
      <c r="O879" s="54">
        <v>17</v>
      </c>
      <c r="P879" s="54">
        <v>9.35294117647059</v>
      </c>
      <c r="Q879" s="72">
        <v>0</v>
      </c>
      <c r="R879" s="54">
        <v>0</v>
      </c>
      <c r="S879" s="54">
        <v>4</v>
      </c>
      <c r="T879" s="53">
        <f>STOCK[[#This Row],[Costo Unitario (USD)]]+STOCK[[#This Row],[Costo Envío (USD)]]+STOCK[[#This Row],[Comisión 10%]]</f>
        <v>15.5529411764706</v>
      </c>
      <c r="U879" s="54">
        <f>STOCK[[#This Row],[Costo total]]*1.5</f>
        <v>23.3294117647059</v>
      </c>
      <c r="V879" s="54">
        <v>22</v>
      </c>
      <c r="W879" s="54">
        <f>STOCK[[#This Row],[Precio Final]]-STOCK[[#This Row],[Costo total]]</f>
        <v>6.44705882352941</v>
      </c>
      <c r="X879" s="54">
        <f>STOCK[[#This Row],[Ganancia Unitaria]]*STOCK[[#This Row],[Salidas]]</f>
        <v>12.8941176470588</v>
      </c>
      <c r="Y879" s="54" t="s">
        <v>1732</v>
      </c>
      <c r="Z879" s="54">
        <f>STOCK[[#This Row],[Costo Envío (USD)]]*STOCK[[#This Row],[Entradas]]</f>
        <v>8</v>
      </c>
      <c r="AA879" s="54">
        <f>STOCK[[#This Row],[Costo total]]*STOCK[[#This Row],[Entradas]]</f>
        <v>31.1058823529412</v>
      </c>
      <c r="AB879" s="54">
        <f>STOCK[[#This Row],[Stock Actual]]*STOCK[[#This Row],[Costo total]]</f>
        <v>0</v>
      </c>
    </row>
    <row r="880" s="53" customFormat="1" ht="50" customHeight="1" spans="1:28">
      <c r="A880" s="53" t="s">
        <v>1746</v>
      </c>
      <c r="B880" s="66"/>
      <c r="C880" s="53" t="s">
        <v>32</v>
      </c>
      <c r="D880" s="54" t="s">
        <v>38</v>
      </c>
      <c r="E880" s="67" t="s">
        <v>1747</v>
      </c>
      <c r="F880" s="53" t="s">
        <v>1047</v>
      </c>
      <c r="G880" s="53" t="s">
        <v>36</v>
      </c>
      <c r="H880" s="53">
        <f>STOCK[[#This Row],[Precio Final]]</f>
        <v>20</v>
      </c>
      <c r="I880" s="53">
        <f>STOCK[[#This Row],[Precio Venta Ideal (x1.5)]]</f>
        <v>17.3823529411765</v>
      </c>
      <c r="J880" s="71">
        <v>1</v>
      </c>
      <c r="K880" s="71">
        <f>SUMIFS(VENTAS[Cantidad],VENTAS[Código del producto Vendido],STOCK[[#This Row],[Code]])</f>
        <v>1</v>
      </c>
      <c r="L880" s="71">
        <f>STOCK[[#This Row],[Entradas]]-STOCK[[#This Row],[Salidas]]</f>
        <v>0</v>
      </c>
      <c r="M880" s="53">
        <f>STOCK[[#This Row],[Precio Final]]*10%</f>
        <v>2</v>
      </c>
      <c r="N880" s="53">
        <v>112</v>
      </c>
      <c r="O880" s="53">
        <v>17</v>
      </c>
      <c r="P880" s="53">
        <v>6.58823529411765</v>
      </c>
      <c r="Q880" s="71">
        <v>0</v>
      </c>
      <c r="R880" s="53">
        <v>0</v>
      </c>
      <c r="S880" s="53">
        <v>3</v>
      </c>
      <c r="T880" s="53">
        <f>STOCK[[#This Row],[Costo Unitario (USD)]]+STOCK[[#This Row],[Costo Envío (USD)]]+STOCK[[#This Row],[Comisión 10%]]</f>
        <v>11.5882352941177</v>
      </c>
      <c r="U880" s="53">
        <f>STOCK[[#This Row],[Costo total]]*1.5</f>
        <v>17.3823529411765</v>
      </c>
      <c r="V880" s="53">
        <v>20</v>
      </c>
      <c r="W880" s="53">
        <f>STOCK[[#This Row],[Precio Final]]-STOCK[[#This Row],[Costo total]]</f>
        <v>8.41176470588235</v>
      </c>
      <c r="X880" s="53">
        <f>STOCK[[#This Row],[Ganancia Unitaria]]*STOCK[[#This Row],[Salidas]]</f>
        <v>8.41176470588235</v>
      </c>
      <c r="Y880" s="53" t="s">
        <v>1732</v>
      </c>
      <c r="Z880" s="53">
        <f>STOCK[[#This Row],[Costo Envío (USD)]]*STOCK[[#This Row],[Entradas]]</f>
        <v>3</v>
      </c>
      <c r="AA880" s="53">
        <f>STOCK[[#This Row],[Costo total]]*STOCK[[#This Row],[Entradas]]</f>
        <v>11.5882352941177</v>
      </c>
      <c r="AB880" s="53">
        <f>STOCK[[#This Row],[Stock Actual]]*STOCK[[#This Row],[Costo total]]</f>
        <v>0</v>
      </c>
    </row>
    <row r="881" s="54" customFormat="1" ht="50" customHeight="1" spans="1:28">
      <c r="A881" s="54" t="s">
        <v>1748</v>
      </c>
      <c r="B881" s="66"/>
      <c r="C881" s="54" t="s">
        <v>32</v>
      </c>
      <c r="D881" s="54" t="s">
        <v>976</v>
      </c>
      <c r="E881" s="68" t="s">
        <v>1749</v>
      </c>
      <c r="F881" s="54" t="s">
        <v>42</v>
      </c>
      <c r="G881" s="54" t="s">
        <v>704</v>
      </c>
      <c r="H881" s="54">
        <f>STOCK[[#This Row],[Precio Final]]</f>
        <v>35</v>
      </c>
      <c r="I881" s="54">
        <f>STOCK[[#This Row],[Precio Venta Ideal (x1.5)]]</f>
        <v>48.75</v>
      </c>
      <c r="J881" s="72">
        <v>1</v>
      </c>
      <c r="K881" s="72">
        <f>SUMIFS(VENTAS[Cantidad],VENTAS[Código del producto Vendido],STOCK[[#This Row],[Code]])</f>
        <v>1</v>
      </c>
      <c r="L881" s="72">
        <f>STOCK[[#This Row],[Entradas]]-STOCK[[#This Row],[Salidas]]</f>
        <v>0</v>
      </c>
      <c r="M881" s="54">
        <f>STOCK[[#This Row],[Precio Final]]*10%</f>
        <v>3.5</v>
      </c>
      <c r="N881" s="54">
        <v>159</v>
      </c>
      <c r="O881" s="54">
        <v>17</v>
      </c>
      <c r="P881" s="54">
        <v>25</v>
      </c>
      <c r="Q881" s="72">
        <v>0</v>
      </c>
      <c r="R881" s="54">
        <v>0</v>
      </c>
      <c r="S881" s="54">
        <v>4</v>
      </c>
      <c r="T881" s="53">
        <f>STOCK[[#This Row],[Costo Unitario (USD)]]+STOCK[[#This Row],[Costo Envío (USD)]]+STOCK[[#This Row],[Comisión 10%]]</f>
        <v>32.5</v>
      </c>
      <c r="U881" s="54">
        <f>STOCK[[#This Row],[Costo total]]*1.5</f>
        <v>48.75</v>
      </c>
      <c r="V881" s="54">
        <v>35</v>
      </c>
      <c r="W881" s="54">
        <f>STOCK[[#This Row],[Precio Final]]-STOCK[[#This Row],[Costo total]]</f>
        <v>2.5</v>
      </c>
      <c r="X881" s="54">
        <f>STOCK[[#This Row],[Ganancia Unitaria]]*STOCK[[#This Row],[Salidas]]</f>
        <v>2.5</v>
      </c>
      <c r="Y881" s="54" t="s">
        <v>1732</v>
      </c>
      <c r="Z881" s="54">
        <v>0</v>
      </c>
      <c r="AA881" s="54">
        <f>STOCK[[#This Row],[Costo total]]*STOCK[[#This Row],[Entradas]]</f>
        <v>32.5</v>
      </c>
      <c r="AB881" s="54">
        <f>STOCK[[#This Row],[Stock Actual]]*STOCK[[#This Row],[Costo total]]</f>
        <v>0</v>
      </c>
    </row>
    <row r="882" s="53" customFormat="1" ht="50" customHeight="1" spans="1:28">
      <c r="A882" s="53" t="s">
        <v>1750</v>
      </c>
      <c r="B882" s="66"/>
      <c r="C882" s="53" t="s">
        <v>32</v>
      </c>
      <c r="D882" s="53" t="s">
        <v>1751</v>
      </c>
      <c r="E882" s="67" t="s">
        <v>1752</v>
      </c>
      <c r="F882" s="53" t="s">
        <v>1753</v>
      </c>
      <c r="G882" s="53" t="s">
        <v>1601</v>
      </c>
      <c r="H882" s="53">
        <f>STOCK[[#This Row],[Precio Final]]</f>
        <v>25</v>
      </c>
      <c r="I882" s="53">
        <f>STOCK[[#This Row],[Precio Venta Ideal (x1.5)]]</f>
        <v>22.3676470588236</v>
      </c>
      <c r="J882" s="71">
        <v>4</v>
      </c>
      <c r="K882" s="71">
        <f>SUMIFS(VENTAS[Cantidad],VENTAS[Código del producto Vendido],STOCK[[#This Row],[Code]])</f>
        <v>4</v>
      </c>
      <c r="L882" s="71">
        <f>STOCK[[#This Row],[Entradas]]-STOCK[[#This Row],[Salidas]]</f>
        <v>0</v>
      </c>
      <c r="M882" s="53">
        <f>STOCK[[#This Row],[Precio Final]]*10%</f>
        <v>2.5</v>
      </c>
      <c r="N882" s="53">
        <v>211</v>
      </c>
      <c r="O882" s="53">
        <v>17</v>
      </c>
      <c r="P882" s="53">
        <v>12.4117647058824</v>
      </c>
      <c r="Q882" s="71">
        <v>0</v>
      </c>
      <c r="R882" s="53">
        <v>0</v>
      </c>
      <c r="S882" s="53">
        <v>0</v>
      </c>
      <c r="T882" s="53">
        <f>STOCK[[#This Row],[Costo Unitario (USD)]]+STOCK[[#This Row],[Costo Envío (USD)]]+STOCK[[#This Row],[Comisión 10%]]</f>
        <v>14.9117647058824</v>
      </c>
      <c r="U882" s="53">
        <f>STOCK[[#This Row],[Costo total]]*1.5</f>
        <v>22.3676470588236</v>
      </c>
      <c r="V882" s="53">
        <v>25</v>
      </c>
      <c r="W882" s="53">
        <f>STOCK[[#This Row],[Precio Final]]-STOCK[[#This Row],[Costo total]]</f>
        <v>10.0882352941176</v>
      </c>
      <c r="X882" s="53">
        <f>STOCK[[#This Row],[Ganancia Unitaria]]*STOCK[[#This Row],[Salidas]]</f>
        <v>40.3529411764704</v>
      </c>
      <c r="Y882" s="53" t="s">
        <v>1732</v>
      </c>
      <c r="Z882" s="53">
        <f>STOCK[[#This Row],[Costo Envío (USD)]]*STOCK[[#This Row],[Entradas]]</f>
        <v>0</v>
      </c>
      <c r="AA882" s="53">
        <f>STOCK[[#This Row],[Costo total]]*STOCK[[#This Row],[Entradas]]</f>
        <v>59.6470588235296</v>
      </c>
      <c r="AB882" s="53">
        <f>STOCK[[#This Row],[Stock Actual]]*STOCK[[#This Row],[Costo total]]</f>
        <v>0</v>
      </c>
    </row>
    <row r="883" s="54" customFormat="1" ht="50" customHeight="1" spans="1:28">
      <c r="A883" s="54" t="s">
        <v>1754</v>
      </c>
      <c r="B883" s="66"/>
      <c r="C883" s="54" t="s">
        <v>32</v>
      </c>
      <c r="D883" s="54" t="s">
        <v>1755</v>
      </c>
      <c r="E883" s="68" t="s">
        <v>1744</v>
      </c>
      <c r="F883" s="54" t="s">
        <v>42</v>
      </c>
      <c r="G883" s="54" t="s">
        <v>36</v>
      </c>
      <c r="H883" s="54">
        <f>STOCK[[#This Row],[Precio Final]]</f>
        <v>22</v>
      </c>
      <c r="I883" s="54">
        <f>STOCK[[#This Row],[Precio Venta Ideal (x1.5)]]</f>
        <v>23.3294117647059</v>
      </c>
      <c r="J883" s="72">
        <v>3</v>
      </c>
      <c r="K883" s="72">
        <f>SUMIFS(VENTAS[Cantidad],VENTAS[Código del producto Vendido],STOCK[[#This Row],[Code]])</f>
        <v>0</v>
      </c>
      <c r="L883" s="72">
        <f>STOCK[[#This Row],[Entradas]]-STOCK[[#This Row],[Salidas]]</f>
        <v>3</v>
      </c>
      <c r="M883" s="54">
        <f>STOCK[[#This Row],[Precio Final]]*10%</f>
        <v>2.2</v>
      </c>
      <c r="N883" s="54">
        <v>159</v>
      </c>
      <c r="O883" s="54">
        <v>17</v>
      </c>
      <c r="P883" s="54">
        <v>9.35294117647059</v>
      </c>
      <c r="Q883" s="72">
        <v>0</v>
      </c>
      <c r="R883" s="54">
        <v>0</v>
      </c>
      <c r="S883" s="54">
        <v>4</v>
      </c>
      <c r="T883" s="53">
        <f>STOCK[[#This Row],[Costo Unitario (USD)]]+STOCK[[#This Row],[Costo Envío (USD)]]+STOCK[[#This Row],[Comisión 10%]]</f>
        <v>15.5529411764706</v>
      </c>
      <c r="U883" s="54">
        <f>STOCK[[#This Row],[Costo total]]*1.5</f>
        <v>23.3294117647059</v>
      </c>
      <c r="V883" s="54">
        <v>22</v>
      </c>
      <c r="W883" s="54">
        <f>STOCK[[#This Row],[Precio Final]]-STOCK[[#This Row],[Costo total]]</f>
        <v>6.44705882352941</v>
      </c>
      <c r="X883" s="54">
        <f>STOCK[[#This Row],[Ganancia Unitaria]]*STOCK[[#This Row],[Salidas]]</f>
        <v>0</v>
      </c>
      <c r="Y883" s="54" t="s">
        <v>1732</v>
      </c>
      <c r="Z883" s="54">
        <f>STOCK[[#This Row],[Costo Envío (USD)]]*STOCK[[#This Row],[Entradas]]</f>
        <v>12</v>
      </c>
      <c r="AA883" s="54">
        <f>STOCK[[#This Row],[Costo total]]*STOCK[[#This Row],[Entradas]]</f>
        <v>46.6588235294118</v>
      </c>
      <c r="AB883" s="54">
        <f>STOCK[[#This Row],[Stock Actual]]*STOCK[[#This Row],[Costo total]]</f>
        <v>46.6588235294118</v>
      </c>
    </row>
    <row r="884" s="53" customFormat="1" ht="50" customHeight="1" spans="1:28">
      <c r="A884" s="53" t="s">
        <v>1756</v>
      </c>
      <c r="B884" s="66"/>
      <c r="C884" s="53" t="s">
        <v>32</v>
      </c>
      <c r="D884" s="53" t="s">
        <v>1482</v>
      </c>
      <c r="E884" s="67" t="s">
        <v>1757</v>
      </c>
      <c r="F884" s="53" t="s">
        <v>1758</v>
      </c>
      <c r="G884" s="53" t="s">
        <v>36</v>
      </c>
      <c r="H884" s="53">
        <f>STOCK[[#This Row],[Precio Final]]</f>
        <v>30</v>
      </c>
      <c r="I884" s="53">
        <f>STOCK[[#This Row],[Precio Venta Ideal (x1.5)]]</f>
        <v>41.2058823529412</v>
      </c>
      <c r="J884" s="71">
        <v>3</v>
      </c>
      <c r="K884" s="71">
        <f>SUMIFS(VENTAS[Cantidad],VENTAS[Código del producto Vendido],STOCK[[#This Row],[Code]])</f>
        <v>3</v>
      </c>
      <c r="L884" s="71">
        <f>STOCK[[#This Row],[Entradas]]-STOCK[[#This Row],[Salidas]]</f>
        <v>0</v>
      </c>
      <c r="M884" s="53">
        <f>STOCK[[#This Row],[Precio Final]]*10%</f>
        <v>3</v>
      </c>
      <c r="N884" s="53">
        <v>348</v>
      </c>
      <c r="O884" s="53">
        <v>17</v>
      </c>
      <c r="P884" s="53">
        <v>20.4705882352941</v>
      </c>
      <c r="Q884" s="71">
        <v>0</v>
      </c>
      <c r="R884" s="53">
        <v>0</v>
      </c>
      <c r="S884" s="53">
        <v>4</v>
      </c>
      <c r="T884" s="53">
        <f>STOCK[[#This Row],[Costo Unitario (USD)]]+STOCK[[#This Row],[Costo Envío (USD)]]+STOCK[[#This Row],[Comisión 10%]]</f>
        <v>27.4705882352941</v>
      </c>
      <c r="U884" s="53">
        <f>STOCK[[#This Row],[Costo total]]*1.5</f>
        <v>41.2058823529412</v>
      </c>
      <c r="V884" s="53">
        <v>30</v>
      </c>
      <c r="W884" s="53">
        <f>STOCK[[#This Row],[Precio Final]]-STOCK[[#This Row],[Costo total]]</f>
        <v>2.5294117647059</v>
      </c>
      <c r="X884" s="53">
        <f>STOCK[[#This Row],[Ganancia Unitaria]]*STOCK[[#This Row],[Salidas]]</f>
        <v>7.58823529411769</v>
      </c>
      <c r="Y884" s="53" t="s">
        <v>1732</v>
      </c>
      <c r="Z884" s="53">
        <f>STOCK[[#This Row],[Costo Envío (USD)]]*STOCK[[#This Row],[Entradas]]</f>
        <v>12</v>
      </c>
      <c r="AA884" s="53">
        <f>STOCK[[#This Row],[Costo total]]*STOCK[[#This Row],[Entradas]]</f>
        <v>82.4117647058823</v>
      </c>
      <c r="AB884" s="53">
        <f>STOCK[[#This Row],[Stock Actual]]*STOCK[[#This Row],[Costo total]]</f>
        <v>0</v>
      </c>
    </row>
    <row r="885" s="54" customFormat="1" ht="50" customHeight="1" spans="1:28">
      <c r="A885" s="54" t="s">
        <v>1759</v>
      </c>
      <c r="B885" s="66"/>
      <c r="C885" s="54" t="s">
        <v>32</v>
      </c>
      <c r="D885" s="54" t="s">
        <v>1482</v>
      </c>
      <c r="E885" s="68" t="s">
        <v>1757</v>
      </c>
      <c r="F885" s="54" t="s">
        <v>1760</v>
      </c>
      <c r="G885" s="54" t="s">
        <v>1601</v>
      </c>
      <c r="H885" s="54">
        <f>STOCK[[#This Row],[Precio Final]]</f>
        <v>30</v>
      </c>
      <c r="I885" s="54">
        <f>STOCK[[#This Row],[Precio Venta Ideal (x1.5)]]</f>
        <v>42.7058823529412</v>
      </c>
      <c r="J885" s="72">
        <v>3</v>
      </c>
      <c r="K885" s="72">
        <f>SUMIFS(VENTAS[Cantidad],VENTAS[Código del producto Vendido],STOCK[[#This Row],[Code]])</f>
        <v>3</v>
      </c>
      <c r="L885" s="72">
        <f>STOCK[[#This Row],[Entradas]]-STOCK[[#This Row],[Salidas]]</f>
        <v>0</v>
      </c>
      <c r="M885" s="54">
        <f>STOCK[[#This Row],[Precio Final]]*10%</f>
        <v>3</v>
      </c>
      <c r="N885" s="54">
        <v>348</v>
      </c>
      <c r="O885" s="54">
        <v>17</v>
      </c>
      <c r="P885" s="54">
        <v>20.4705882352941</v>
      </c>
      <c r="Q885" s="72">
        <v>0</v>
      </c>
      <c r="R885" s="54">
        <v>0</v>
      </c>
      <c r="S885" s="54">
        <v>5</v>
      </c>
      <c r="T885" s="53">
        <f>STOCK[[#This Row],[Costo Unitario (USD)]]+STOCK[[#This Row],[Costo Envío (USD)]]+STOCK[[#This Row],[Comisión 10%]]</f>
        <v>28.4705882352941</v>
      </c>
      <c r="U885" s="54">
        <f>STOCK[[#This Row],[Costo total]]*1.5</f>
        <v>42.7058823529412</v>
      </c>
      <c r="V885" s="54">
        <v>30</v>
      </c>
      <c r="W885" s="54">
        <f>STOCK[[#This Row],[Precio Final]]-STOCK[[#This Row],[Costo total]]</f>
        <v>1.5294117647059</v>
      </c>
      <c r="X885" s="54">
        <f>STOCK[[#This Row],[Ganancia Unitaria]]*STOCK[[#This Row],[Salidas]]</f>
        <v>4.58823529411769</v>
      </c>
      <c r="Y885" s="54" t="s">
        <v>1732</v>
      </c>
      <c r="Z885" s="54">
        <f>STOCK[[#This Row],[Costo Envío (USD)]]*STOCK[[#This Row],[Entradas]]</f>
        <v>15</v>
      </c>
      <c r="AA885" s="54">
        <f>STOCK[[#This Row],[Costo total]]*STOCK[[#This Row],[Entradas]]</f>
        <v>85.4117647058823</v>
      </c>
      <c r="AB885" s="54">
        <f>STOCK[[#This Row],[Stock Actual]]*STOCK[[#This Row],[Costo total]]</f>
        <v>0</v>
      </c>
    </row>
    <row r="886" s="53" customFormat="1" ht="50" customHeight="1" spans="1:28">
      <c r="A886" s="53" t="s">
        <v>1761</v>
      </c>
      <c r="B886" s="66"/>
      <c r="C886" s="53" t="s">
        <v>32</v>
      </c>
      <c r="D886" s="53" t="s">
        <v>1482</v>
      </c>
      <c r="E886" s="67" t="s">
        <v>1757</v>
      </c>
      <c r="F886" s="53" t="s">
        <v>764</v>
      </c>
      <c r="G886" s="53" t="s">
        <v>1601</v>
      </c>
      <c r="H886" s="53">
        <f>STOCK[[#This Row],[Precio Final]]</f>
        <v>32</v>
      </c>
      <c r="I886" s="53">
        <f>STOCK[[#This Row],[Precio Venta Ideal (x1.5)]]</f>
        <v>43.0058823529411</v>
      </c>
      <c r="J886" s="71">
        <v>4</v>
      </c>
      <c r="K886" s="71">
        <f>SUMIFS(VENTAS[Cantidad],VENTAS[Código del producto Vendido],STOCK[[#This Row],[Code]])</f>
        <v>4</v>
      </c>
      <c r="L886" s="71">
        <f>STOCK[[#This Row],[Entradas]]-STOCK[[#This Row],[Salidas]]</f>
        <v>0</v>
      </c>
      <c r="M886" s="53">
        <f>STOCK[[#This Row],[Precio Final]]*10%</f>
        <v>3.2</v>
      </c>
      <c r="N886" s="53">
        <v>348</v>
      </c>
      <c r="O886" s="53">
        <v>17</v>
      </c>
      <c r="P886" s="53">
        <v>20.4705882352941</v>
      </c>
      <c r="Q886" s="71">
        <v>0</v>
      </c>
      <c r="R886" s="53">
        <v>0</v>
      </c>
      <c r="S886" s="53">
        <v>5</v>
      </c>
      <c r="T886" s="53">
        <f>STOCK[[#This Row],[Costo Unitario (USD)]]+STOCK[[#This Row],[Costo Envío (USD)]]+STOCK[[#This Row],[Comisión 10%]]</f>
        <v>28.6705882352941</v>
      </c>
      <c r="U886" s="53">
        <f>STOCK[[#This Row],[Costo total]]*1.5</f>
        <v>43.0058823529411</v>
      </c>
      <c r="V886" s="53">
        <v>32</v>
      </c>
      <c r="W886" s="53">
        <f>STOCK[[#This Row],[Precio Final]]-STOCK[[#This Row],[Costo total]]</f>
        <v>3.3294117647059</v>
      </c>
      <c r="X886" s="53">
        <f>STOCK[[#This Row],[Ganancia Unitaria]]*STOCK[[#This Row],[Salidas]]</f>
        <v>13.3176470588236</v>
      </c>
      <c r="Y886" s="53" t="s">
        <v>1732</v>
      </c>
      <c r="Z886" s="53">
        <f>STOCK[[#This Row],[Costo Envío (USD)]]*STOCK[[#This Row],[Entradas]]</f>
        <v>20</v>
      </c>
      <c r="AA886" s="53">
        <f>STOCK[[#This Row],[Costo total]]*STOCK[[#This Row],[Entradas]]</f>
        <v>114.682352941176</v>
      </c>
      <c r="AB886" s="53">
        <f>STOCK[[#This Row],[Stock Actual]]*STOCK[[#This Row],[Costo total]]</f>
        <v>0</v>
      </c>
    </row>
    <row r="887" s="54" customFormat="1" ht="50" customHeight="1" spans="1:28">
      <c r="A887" s="54" t="s">
        <v>1762</v>
      </c>
      <c r="B887" s="66"/>
      <c r="C887" s="54" t="s">
        <v>32</v>
      </c>
      <c r="D887" s="54" t="s">
        <v>1482</v>
      </c>
      <c r="E887" s="68" t="s">
        <v>1757</v>
      </c>
      <c r="F887" s="54" t="s">
        <v>1678</v>
      </c>
      <c r="G887" s="54" t="s">
        <v>1601</v>
      </c>
      <c r="H887" s="54">
        <f>STOCK[[#This Row],[Precio Final]]</f>
        <v>30</v>
      </c>
      <c r="I887" s="54">
        <f>STOCK[[#This Row],[Precio Venta Ideal (x1.5)]]</f>
        <v>42.7058823529412</v>
      </c>
      <c r="J887" s="72">
        <v>3</v>
      </c>
      <c r="K887" s="72">
        <f>SUMIFS(VENTAS[Cantidad],VENTAS[Código del producto Vendido],STOCK[[#This Row],[Code]])</f>
        <v>3</v>
      </c>
      <c r="L887" s="72">
        <f>STOCK[[#This Row],[Entradas]]-STOCK[[#This Row],[Salidas]]</f>
        <v>0</v>
      </c>
      <c r="M887" s="54">
        <f>STOCK[[#This Row],[Precio Final]]*10%</f>
        <v>3</v>
      </c>
      <c r="N887" s="54">
        <v>348</v>
      </c>
      <c r="O887" s="54">
        <v>17</v>
      </c>
      <c r="P887" s="54">
        <v>20.4705882352941</v>
      </c>
      <c r="Q887" s="72">
        <v>0</v>
      </c>
      <c r="R887" s="54">
        <v>0</v>
      </c>
      <c r="S887" s="54">
        <v>5</v>
      </c>
      <c r="T887" s="53">
        <f>STOCK[[#This Row],[Costo Unitario (USD)]]+STOCK[[#This Row],[Costo Envío (USD)]]+STOCK[[#This Row],[Comisión 10%]]</f>
        <v>28.4705882352941</v>
      </c>
      <c r="U887" s="54">
        <f>STOCK[[#This Row],[Costo total]]*1.5</f>
        <v>42.7058823529412</v>
      </c>
      <c r="V887" s="54">
        <v>30</v>
      </c>
      <c r="W887" s="54">
        <f>STOCK[[#This Row],[Precio Final]]-STOCK[[#This Row],[Costo total]]</f>
        <v>1.5294117647059</v>
      </c>
      <c r="X887" s="54">
        <f>STOCK[[#This Row],[Ganancia Unitaria]]*STOCK[[#This Row],[Salidas]]</f>
        <v>4.58823529411769</v>
      </c>
      <c r="Y887" s="54" t="s">
        <v>1732</v>
      </c>
      <c r="Z887" s="54">
        <f>STOCK[[#This Row],[Costo Envío (USD)]]*STOCK[[#This Row],[Entradas]]</f>
        <v>15</v>
      </c>
      <c r="AA887" s="54">
        <f>STOCK[[#This Row],[Costo total]]*STOCK[[#This Row],[Entradas]]</f>
        <v>85.4117647058823</v>
      </c>
      <c r="AB887" s="54">
        <f>STOCK[[#This Row],[Stock Actual]]*STOCK[[#This Row],[Costo total]]</f>
        <v>0</v>
      </c>
    </row>
    <row r="888" s="53" customFormat="1" ht="50" customHeight="1" spans="1:28">
      <c r="A888" s="53" t="s">
        <v>1763</v>
      </c>
      <c r="B888" s="66"/>
      <c r="C888" s="53" t="s">
        <v>32</v>
      </c>
      <c r="D888" s="53" t="s">
        <v>1764</v>
      </c>
      <c r="E888" s="67" t="s">
        <v>1765</v>
      </c>
      <c r="F888" s="53" t="s">
        <v>525</v>
      </c>
      <c r="G888" s="53" t="s">
        <v>1601</v>
      </c>
      <c r="H888" s="53">
        <f>STOCK[[#This Row],[Precio Final]]</f>
        <v>1.2</v>
      </c>
      <c r="I888" s="53">
        <f>STOCK[[#This Row],[Precio Venta Ideal (x1.5)]]</f>
        <v>0.634411764705882</v>
      </c>
      <c r="J888" s="71">
        <v>10</v>
      </c>
      <c r="K888" s="71">
        <f>SUMIFS(VENTAS[Cantidad],VENTAS[Código del producto Vendido],STOCK[[#This Row],[Code]])</f>
        <v>0</v>
      </c>
      <c r="L888" s="71">
        <f>STOCK[[#This Row],[Entradas]]-STOCK[[#This Row],[Salidas]]</f>
        <v>10</v>
      </c>
      <c r="M888" s="53">
        <f>STOCK[[#This Row],[Precio Final]]*10%</f>
        <v>0.12</v>
      </c>
      <c r="N888" s="53">
        <v>4.3</v>
      </c>
      <c r="O888" s="53">
        <v>17</v>
      </c>
      <c r="P888" s="53">
        <v>0.252941176470588</v>
      </c>
      <c r="Q888" s="71">
        <v>0</v>
      </c>
      <c r="R888" s="53">
        <v>0</v>
      </c>
      <c r="S888" s="53">
        <v>0.05</v>
      </c>
      <c r="T888" s="53">
        <f>STOCK[[#This Row],[Costo Unitario (USD)]]+STOCK[[#This Row],[Costo Envío (USD)]]+STOCK[[#This Row],[Comisión 10%]]</f>
        <v>0.422941176470588</v>
      </c>
      <c r="U888" s="53">
        <f>STOCK[[#This Row],[Costo total]]*1.5</f>
        <v>0.634411764705882</v>
      </c>
      <c r="V888" s="53">
        <v>1.2</v>
      </c>
      <c r="W888" s="53">
        <f>STOCK[[#This Row],[Precio Final]]-STOCK[[#This Row],[Costo total]]</f>
        <v>0.777058823529412</v>
      </c>
      <c r="X888" s="53">
        <f>STOCK[[#This Row],[Ganancia Unitaria]]*STOCK[[#This Row],[Salidas]]</f>
        <v>0</v>
      </c>
      <c r="Y888" s="53" t="s">
        <v>1732</v>
      </c>
      <c r="Z888" s="53">
        <f>STOCK[[#This Row],[Costo Envío (USD)]]*STOCK[[#This Row],[Entradas]]</f>
        <v>0.5</v>
      </c>
      <c r="AA888" s="53">
        <f>STOCK[[#This Row],[Costo total]]*STOCK[[#This Row],[Entradas]]</f>
        <v>4.22941176470588</v>
      </c>
      <c r="AB888" s="53">
        <f>STOCK[[#This Row],[Stock Actual]]*STOCK[[#This Row],[Costo total]]</f>
        <v>4.22941176470588</v>
      </c>
    </row>
    <row r="889" s="54" customFormat="1" ht="50" customHeight="1" spans="1:28">
      <c r="A889" s="54" t="s">
        <v>1766</v>
      </c>
      <c r="B889" s="66"/>
      <c r="C889" s="54" t="s">
        <v>32</v>
      </c>
      <c r="D889" s="54" t="s">
        <v>1764</v>
      </c>
      <c r="E889" s="68" t="s">
        <v>1767</v>
      </c>
      <c r="F889" s="54" t="s">
        <v>525</v>
      </c>
      <c r="G889" s="54" t="s">
        <v>1601</v>
      </c>
      <c r="H889" s="54">
        <f>STOCK[[#This Row],[Precio Final]]</f>
        <v>1.2</v>
      </c>
      <c r="I889" s="54">
        <f>STOCK[[#This Row],[Precio Venta Ideal (x1.5)]]</f>
        <v>0.634411764705882</v>
      </c>
      <c r="J889" s="72">
        <v>10</v>
      </c>
      <c r="K889" s="72">
        <f>SUMIFS(VENTAS[Cantidad],VENTAS[Código del producto Vendido],STOCK[[#This Row],[Code]])</f>
        <v>0</v>
      </c>
      <c r="L889" s="72">
        <f>STOCK[[#This Row],[Entradas]]-STOCK[[#This Row],[Salidas]]</f>
        <v>10</v>
      </c>
      <c r="M889" s="54">
        <f>STOCK[[#This Row],[Precio Final]]*10%</f>
        <v>0.12</v>
      </c>
      <c r="N889" s="54">
        <v>4.3</v>
      </c>
      <c r="O889" s="54">
        <v>17</v>
      </c>
      <c r="P889" s="54">
        <v>0.252941176470588</v>
      </c>
      <c r="Q889" s="72">
        <v>0</v>
      </c>
      <c r="R889" s="54">
        <v>0</v>
      </c>
      <c r="S889" s="54">
        <v>0.05</v>
      </c>
      <c r="T889" s="53">
        <f>STOCK[[#This Row],[Costo Unitario (USD)]]+STOCK[[#This Row],[Costo Envío (USD)]]+STOCK[[#This Row],[Comisión 10%]]</f>
        <v>0.422941176470588</v>
      </c>
      <c r="U889" s="54">
        <f>STOCK[[#This Row],[Costo total]]*1.5</f>
        <v>0.634411764705882</v>
      </c>
      <c r="V889" s="54">
        <v>1.2</v>
      </c>
      <c r="W889" s="54">
        <f>STOCK[[#This Row],[Precio Final]]-STOCK[[#This Row],[Costo total]]</f>
        <v>0.777058823529412</v>
      </c>
      <c r="X889" s="54">
        <f>STOCK[[#This Row],[Ganancia Unitaria]]*STOCK[[#This Row],[Salidas]]</f>
        <v>0</v>
      </c>
      <c r="Y889" s="54" t="s">
        <v>1732</v>
      </c>
      <c r="Z889" s="54">
        <f>STOCK[[#This Row],[Costo Envío (USD)]]*STOCK[[#This Row],[Entradas]]</f>
        <v>0.5</v>
      </c>
      <c r="AA889" s="54">
        <f>STOCK[[#This Row],[Costo total]]*STOCK[[#This Row],[Entradas]]</f>
        <v>4.22941176470588</v>
      </c>
      <c r="AB889" s="54">
        <f>STOCK[[#This Row],[Stock Actual]]*STOCK[[#This Row],[Costo total]]</f>
        <v>4.22941176470588</v>
      </c>
    </row>
    <row r="890" s="53" customFormat="1" ht="50" customHeight="1" spans="1:28">
      <c r="A890" s="53" t="s">
        <v>1768</v>
      </c>
      <c r="B890" s="66"/>
      <c r="C890" s="53" t="s">
        <v>32</v>
      </c>
      <c r="D890" s="53" t="s">
        <v>1769</v>
      </c>
      <c r="E890" s="67" t="s">
        <v>1770</v>
      </c>
      <c r="F890" s="53" t="s">
        <v>525</v>
      </c>
      <c r="G890" s="53" t="s">
        <v>1601</v>
      </c>
      <c r="H890" s="53">
        <f>STOCK[[#This Row],[Precio Final]]</f>
        <v>1</v>
      </c>
      <c r="I890" s="53">
        <f>STOCK[[#This Row],[Precio Venta Ideal (x1.5)]]</f>
        <v>0.794117647058823</v>
      </c>
      <c r="J890" s="71">
        <v>20</v>
      </c>
      <c r="K890" s="71">
        <f>SUMIFS(VENTAS[Cantidad],VENTAS[Código del producto Vendido],STOCK[[#This Row],[Code]])</f>
        <v>16</v>
      </c>
      <c r="L890" s="71">
        <f>STOCK[[#This Row],[Entradas]]-STOCK[[#This Row],[Salidas]]</f>
        <v>4</v>
      </c>
      <c r="M890" s="53">
        <f>STOCK[[#This Row],[Precio Final]]*10%</f>
        <v>0.1</v>
      </c>
      <c r="N890" s="53">
        <v>6.45</v>
      </c>
      <c r="O890" s="53">
        <v>17</v>
      </c>
      <c r="P890" s="53">
        <v>0.379411764705882</v>
      </c>
      <c r="Q890" s="71">
        <v>0</v>
      </c>
      <c r="R890" s="53">
        <v>0</v>
      </c>
      <c r="S890" s="53">
        <v>0.05</v>
      </c>
      <c r="T890" s="53">
        <f>STOCK[[#This Row],[Costo Unitario (USD)]]+STOCK[[#This Row],[Costo Envío (USD)]]+STOCK[[#This Row],[Comisión 10%]]</f>
        <v>0.529411764705882</v>
      </c>
      <c r="U890" s="53">
        <f>STOCK[[#This Row],[Costo total]]*1.5</f>
        <v>0.794117647058823</v>
      </c>
      <c r="V890" s="53">
        <v>1</v>
      </c>
      <c r="W890" s="53">
        <f>STOCK[[#This Row],[Precio Final]]-STOCK[[#This Row],[Costo total]]</f>
        <v>0.470588235294118</v>
      </c>
      <c r="X890" s="53">
        <f>STOCK[[#This Row],[Ganancia Unitaria]]*STOCK[[#This Row],[Salidas]]</f>
        <v>7.52941176470589</v>
      </c>
      <c r="Y890" s="53" t="s">
        <v>1732</v>
      </c>
      <c r="Z890" s="53">
        <f>STOCK[[#This Row],[Costo Envío (USD)]]*STOCK[[#This Row],[Entradas]]</f>
        <v>1</v>
      </c>
      <c r="AA890" s="53">
        <f>STOCK[[#This Row],[Costo total]]*STOCK[[#This Row],[Entradas]]</f>
        <v>10.5882352941176</v>
      </c>
      <c r="AB890" s="53">
        <f>STOCK[[#This Row],[Stock Actual]]*STOCK[[#This Row],[Costo total]]</f>
        <v>2.11764705882353</v>
      </c>
    </row>
    <row r="891" s="54" customFormat="1" ht="50" customHeight="1" spans="1:28">
      <c r="A891" s="54" t="s">
        <v>1771</v>
      </c>
      <c r="B891" s="66"/>
      <c r="C891" s="54" t="s">
        <v>32</v>
      </c>
      <c r="D891" s="54" t="s">
        <v>1772</v>
      </c>
      <c r="E891" s="68" t="s">
        <v>1744</v>
      </c>
      <c r="F891" s="54" t="s">
        <v>46</v>
      </c>
      <c r="G891" s="54" t="s">
        <v>1601</v>
      </c>
      <c r="H891" s="54">
        <f>STOCK[[#This Row],[Precio Final]]</f>
        <v>22</v>
      </c>
      <c r="I891" s="54">
        <f>STOCK[[#This Row],[Precio Venta Ideal (x1.5)]]</f>
        <v>23.3294117647059</v>
      </c>
      <c r="J891" s="72">
        <v>3</v>
      </c>
      <c r="K891" s="72">
        <f>SUMIFS(VENTAS[Cantidad],VENTAS[Código del producto Vendido],STOCK[[#This Row],[Code]])</f>
        <v>2</v>
      </c>
      <c r="L891" s="72">
        <f>STOCK[[#This Row],[Entradas]]-STOCK[[#This Row],[Salidas]]</f>
        <v>1</v>
      </c>
      <c r="M891" s="54">
        <f>STOCK[[#This Row],[Precio Final]]*10%</f>
        <v>2.2</v>
      </c>
      <c r="N891" s="54">
        <v>159</v>
      </c>
      <c r="O891" s="54">
        <v>17</v>
      </c>
      <c r="P891" s="54">
        <v>9.35294117647059</v>
      </c>
      <c r="Q891" s="72">
        <v>0</v>
      </c>
      <c r="R891" s="54">
        <v>0</v>
      </c>
      <c r="S891" s="54">
        <v>4</v>
      </c>
      <c r="T891" s="53">
        <f>STOCK[[#This Row],[Costo Unitario (USD)]]+STOCK[[#This Row],[Costo Envío (USD)]]+STOCK[[#This Row],[Comisión 10%]]</f>
        <v>15.5529411764706</v>
      </c>
      <c r="U891" s="54">
        <f>STOCK[[#This Row],[Costo total]]*1.5</f>
        <v>23.3294117647059</v>
      </c>
      <c r="V891" s="54">
        <v>22</v>
      </c>
      <c r="W891" s="54">
        <f>STOCK[[#This Row],[Precio Final]]-STOCK[[#This Row],[Costo total]]</f>
        <v>6.44705882352941</v>
      </c>
      <c r="X891" s="54">
        <f>STOCK[[#This Row],[Ganancia Unitaria]]*STOCK[[#This Row],[Salidas]]</f>
        <v>12.8941176470588</v>
      </c>
      <c r="Y891" s="54" t="s">
        <v>1732</v>
      </c>
      <c r="Z891" s="54">
        <f>STOCK[[#This Row],[Costo Envío (USD)]]*STOCK[[#This Row],[Entradas]]</f>
        <v>12</v>
      </c>
      <c r="AA891" s="54">
        <f>STOCK[[#This Row],[Costo total]]*STOCK[[#This Row],[Entradas]]</f>
        <v>46.6588235294118</v>
      </c>
      <c r="AB891" s="54">
        <f>STOCK[[#This Row],[Stock Actual]]*STOCK[[#This Row],[Costo total]]</f>
        <v>15.5529411764706</v>
      </c>
    </row>
    <row r="892" s="53" customFormat="1" ht="50" customHeight="1" spans="1:28">
      <c r="A892" s="53" t="s">
        <v>1773</v>
      </c>
      <c r="B892" s="66"/>
      <c r="C892" s="53" t="s">
        <v>32</v>
      </c>
      <c r="D892" s="53" t="s">
        <v>38</v>
      </c>
      <c r="E892" s="67" t="s">
        <v>1774</v>
      </c>
      <c r="F892" s="53" t="s">
        <v>40</v>
      </c>
      <c r="G892" s="53" t="s">
        <v>1601</v>
      </c>
      <c r="H892" s="53">
        <f>STOCK[[#This Row],[Precio Final]]</f>
        <v>20</v>
      </c>
      <c r="I892" s="53">
        <f>STOCK[[#This Row],[Precio Venta Ideal (x1.5)]]</f>
        <v>21.5294117647059</v>
      </c>
      <c r="J892" s="71">
        <v>1</v>
      </c>
      <c r="K892" s="71">
        <f>SUMIFS(VENTAS[Cantidad],VENTAS[Código del producto Vendido],STOCK[[#This Row],[Code]])</f>
        <v>0</v>
      </c>
      <c r="L892" s="71">
        <f>STOCK[[#This Row],[Entradas]]-STOCK[[#This Row],[Salidas]]</f>
        <v>1</v>
      </c>
      <c r="M892" s="53">
        <f>STOCK[[#This Row],[Precio Final]]*10%</f>
        <v>2</v>
      </c>
      <c r="N892" s="53">
        <v>142</v>
      </c>
      <c r="O892" s="53">
        <v>17</v>
      </c>
      <c r="P892" s="53">
        <v>8.35294117647059</v>
      </c>
      <c r="Q892" s="71">
        <v>0</v>
      </c>
      <c r="R892" s="53">
        <v>0</v>
      </c>
      <c r="S892" s="53">
        <v>4</v>
      </c>
      <c r="T892" s="53">
        <f>STOCK[[#This Row],[Costo Unitario (USD)]]+STOCK[[#This Row],[Costo Envío (USD)]]+STOCK[[#This Row],[Comisión 10%]]</f>
        <v>14.3529411764706</v>
      </c>
      <c r="U892" s="53">
        <f>STOCK[[#This Row],[Costo total]]*1.5</f>
        <v>21.5294117647059</v>
      </c>
      <c r="V892" s="53">
        <v>20</v>
      </c>
      <c r="W892" s="53">
        <f>STOCK[[#This Row],[Precio Final]]-STOCK[[#This Row],[Costo total]]</f>
        <v>5.64705882352941</v>
      </c>
      <c r="X892" s="53">
        <f>STOCK[[#This Row],[Ganancia Unitaria]]*STOCK[[#This Row],[Salidas]]</f>
        <v>0</v>
      </c>
      <c r="Y892" s="53" t="s">
        <v>1732</v>
      </c>
      <c r="Z892" s="53">
        <f>STOCK[[#This Row],[Costo Envío (USD)]]*STOCK[[#This Row],[Entradas]]</f>
        <v>4</v>
      </c>
      <c r="AA892" s="53">
        <f>STOCK[[#This Row],[Costo total]]*STOCK[[#This Row],[Entradas]]</f>
        <v>14.3529411764706</v>
      </c>
      <c r="AB892" s="53">
        <f>STOCK[[#This Row],[Stock Actual]]*STOCK[[#This Row],[Costo total]]</f>
        <v>14.3529411764706</v>
      </c>
    </row>
    <row r="893" s="54" customFormat="1" ht="50" customHeight="1" spans="1:28">
      <c r="A893" s="54" t="s">
        <v>1775</v>
      </c>
      <c r="B893" s="66"/>
      <c r="C893" s="54" t="s">
        <v>32</v>
      </c>
      <c r="D893" s="53" t="s">
        <v>38</v>
      </c>
      <c r="E893" s="67" t="s">
        <v>1774</v>
      </c>
      <c r="F893" s="54" t="s">
        <v>62</v>
      </c>
      <c r="G893" s="54" t="s">
        <v>1601</v>
      </c>
      <c r="H893" s="54">
        <f>STOCK[[#This Row],[Precio Final]]</f>
        <v>20</v>
      </c>
      <c r="I893" s="54">
        <f>STOCK[[#This Row],[Precio Venta Ideal (x1.5)]]</f>
        <v>21.5294117647059</v>
      </c>
      <c r="J893" s="72">
        <v>1</v>
      </c>
      <c r="K893" s="72">
        <f>SUMIFS(VENTAS[Cantidad],VENTAS[Código del producto Vendido],STOCK[[#This Row],[Code]])</f>
        <v>0</v>
      </c>
      <c r="L893" s="72">
        <f>STOCK[[#This Row],[Entradas]]-STOCK[[#This Row],[Salidas]]</f>
        <v>1</v>
      </c>
      <c r="M893" s="54">
        <f>STOCK[[#This Row],[Precio Final]]*10%</f>
        <v>2</v>
      </c>
      <c r="N893" s="54">
        <v>142</v>
      </c>
      <c r="O893" s="54">
        <v>17</v>
      </c>
      <c r="P893" s="54">
        <v>8.35294117647059</v>
      </c>
      <c r="Q893" s="72">
        <v>0</v>
      </c>
      <c r="R893" s="54">
        <v>0</v>
      </c>
      <c r="S893" s="54">
        <v>4</v>
      </c>
      <c r="T893" s="53">
        <f>STOCK[[#This Row],[Costo Unitario (USD)]]+STOCK[[#This Row],[Costo Envío (USD)]]+STOCK[[#This Row],[Comisión 10%]]</f>
        <v>14.3529411764706</v>
      </c>
      <c r="U893" s="54">
        <f>STOCK[[#This Row],[Costo total]]*1.5</f>
        <v>21.5294117647059</v>
      </c>
      <c r="V893" s="54">
        <v>20</v>
      </c>
      <c r="W893" s="54">
        <f>STOCK[[#This Row],[Precio Final]]-STOCK[[#This Row],[Costo total]]</f>
        <v>5.64705882352941</v>
      </c>
      <c r="X893" s="54">
        <f>STOCK[[#This Row],[Ganancia Unitaria]]*STOCK[[#This Row],[Salidas]]</f>
        <v>0</v>
      </c>
      <c r="Y893" s="54" t="s">
        <v>1732</v>
      </c>
      <c r="Z893" s="54">
        <f>STOCK[[#This Row],[Costo Envío (USD)]]*STOCK[[#This Row],[Entradas]]</f>
        <v>4</v>
      </c>
      <c r="AA893" s="54">
        <f>STOCK[[#This Row],[Costo total]]*STOCK[[#This Row],[Entradas]]</f>
        <v>14.3529411764706</v>
      </c>
      <c r="AB893" s="54">
        <f>STOCK[[#This Row],[Stock Actual]]*STOCK[[#This Row],[Costo total]]</f>
        <v>14.3529411764706</v>
      </c>
    </row>
    <row r="894" s="53" customFormat="1" ht="50" customHeight="1" spans="1:28">
      <c r="A894" s="53" t="s">
        <v>1776</v>
      </c>
      <c r="B894" s="66"/>
      <c r="C894" s="53" t="s">
        <v>32</v>
      </c>
      <c r="D894" s="53" t="s">
        <v>976</v>
      </c>
      <c r="E894" s="67" t="s">
        <v>1774</v>
      </c>
      <c r="F894" s="53" t="s">
        <v>49</v>
      </c>
      <c r="G894" s="53" t="s">
        <v>1601</v>
      </c>
      <c r="H894" s="53">
        <f>STOCK[[#This Row],[Precio Final]]</f>
        <v>20</v>
      </c>
      <c r="I894" s="53">
        <f>STOCK[[#This Row],[Precio Venta Ideal (x1.5)]]</f>
        <v>21.5294117647059</v>
      </c>
      <c r="J894" s="71">
        <v>1</v>
      </c>
      <c r="K894" s="71">
        <f>SUMIFS(VENTAS[Cantidad],VENTAS[Código del producto Vendido],STOCK[[#This Row],[Code]])</f>
        <v>0</v>
      </c>
      <c r="L894" s="71">
        <f>STOCK[[#This Row],[Entradas]]-STOCK[[#This Row],[Salidas]]</f>
        <v>1</v>
      </c>
      <c r="M894" s="53">
        <f>STOCK[[#This Row],[Precio Final]]*10%</f>
        <v>2</v>
      </c>
      <c r="N894" s="53">
        <v>142</v>
      </c>
      <c r="O894" s="53">
        <v>17</v>
      </c>
      <c r="P894" s="53">
        <v>8.35294117647059</v>
      </c>
      <c r="Q894" s="71">
        <v>0</v>
      </c>
      <c r="R894" s="53">
        <v>0</v>
      </c>
      <c r="S894" s="53">
        <v>4</v>
      </c>
      <c r="T894" s="53">
        <f>STOCK[[#This Row],[Costo Unitario (USD)]]+STOCK[[#This Row],[Costo Envío (USD)]]+STOCK[[#This Row],[Comisión 10%]]</f>
        <v>14.3529411764706</v>
      </c>
      <c r="U894" s="53">
        <f>STOCK[[#This Row],[Costo total]]*1.5</f>
        <v>21.5294117647059</v>
      </c>
      <c r="V894" s="53">
        <v>20</v>
      </c>
      <c r="W894" s="53">
        <f>STOCK[[#This Row],[Precio Final]]-STOCK[[#This Row],[Costo total]]</f>
        <v>5.64705882352941</v>
      </c>
      <c r="X894" s="53">
        <f>STOCK[[#This Row],[Ganancia Unitaria]]*STOCK[[#This Row],[Salidas]]</f>
        <v>0</v>
      </c>
      <c r="Y894" s="53" t="s">
        <v>1732</v>
      </c>
      <c r="Z894" s="53">
        <f>STOCK[[#This Row],[Costo Envío (USD)]]*STOCK[[#This Row],[Entradas]]</f>
        <v>4</v>
      </c>
      <c r="AA894" s="53">
        <f>STOCK[[#This Row],[Costo total]]*STOCK[[#This Row],[Entradas]]</f>
        <v>14.3529411764706</v>
      </c>
      <c r="AB894" s="53">
        <f>STOCK[[#This Row],[Stock Actual]]*STOCK[[#This Row],[Costo total]]</f>
        <v>14.3529411764706</v>
      </c>
    </row>
    <row r="895" s="54" customFormat="1" ht="50" customHeight="1" spans="1:28">
      <c r="A895" s="54" t="s">
        <v>1777</v>
      </c>
      <c r="B895" s="66"/>
      <c r="C895" s="54" t="s">
        <v>32</v>
      </c>
      <c r="D895" s="54" t="s">
        <v>976</v>
      </c>
      <c r="E895" s="68" t="s">
        <v>1778</v>
      </c>
      <c r="F895" s="54" t="s">
        <v>205</v>
      </c>
      <c r="G895" s="54" t="s">
        <v>1601</v>
      </c>
      <c r="H895" s="54">
        <f>STOCK[[#This Row],[Precio Final]]</f>
        <v>20</v>
      </c>
      <c r="I895" s="54">
        <f>STOCK[[#This Row],[Precio Venta Ideal (x1.5)]]</f>
        <v>21.5294117647059</v>
      </c>
      <c r="J895" s="72">
        <v>1</v>
      </c>
      <c r="K895" s="72">
        <f>SUMIFS(VENTAS[Cantidad],VENTAS[Código del producto Vendido],STOCK[[#This Row],[Code]])</f>
        <v>1</v>
      </c>
      <c r="L895" s="72">
        <f>STOCK[[#This Row],[Entradas]]-STOCK[[#This Row],[Salidas]]</f>
        <v>0</v>
      </c>
      <c r="M895" s="54">
        <f>STOCK[[#This Row],[Precio Final]]*10%</f>
        <v>2</v>
      </c>
      <c r="N895" s="54">
        <v>142</v>
      </c>
      <c r="O895" s="54">
        <v>17</v>
      </c>
      <c r="P895" s="54">
        <v>8.35294117647059</v>
      </c>
      <c r="Q895" s="72">
        <v>0</v>
      </c>
      <c r="R895" s="54">
        <v>0</v>
      </c>
      <c r="S895" s="54">
        <v>4</v>
      </c>
      <c r="T895" s="53">
        <f>STOCK[[#This Row],[Costo Unitario (USD)]]+STOCK[[#This Row],[Costo Envío (USD)]]+STOCK[[#This Row],[Comisión 10%]]</f>
        <v>14.3529411764706</v>
      </c>
      <c r="U895" s="54">
        <f>STOCK[[#This Row],[Costo total]]*1.5</f>
        <v>21.5294117647059</v>
      </c>
      <c r="V895" s="54">
        <v>20</v>
      </c>
      <c r="W895" s="54">
        <f>STOCK[[#This Row],[Precio Final]]-STOCK[[#This Row],[Costo total]]</f>
        <v>5.64705882352941</v>
      </c>
      <c r="X895" s="54">
        <f>STOCK[[#This Row],[Ganancia Unitaria]]*STOCK[[#This Row],[Salidas]]</f>
        <v>5.64705882352941</v>
      </c>
      <c r="Y895" s="54" t="s">
        <v>1732</v>
      </c>
      <c r="Z895" s="54">
        <f>STOCK[[#This Row],[Costo Envío (USD)]]*STOCK[[#This Row],[Entradas]]</f>
        <v>4</v>
      </c>
      <c r="AA895" s="54">
        <f>STOCK[[#This Row],[Costo total]]*STOCK[[#This Row],[Entradas]]</f>
        <v>14.3529411764706</v>
      </c>
      <c r="AB895" s="54">
        <f>STOCK[[#This Row],[Stock Actual]]*STOCK[[#This Row],[Costo total]]</f>
        <v>0</v>
      </c>
    </row>
    <row r="896" s="53" customFormat="1" ht="50" customHeight="1" spans="1:28">
      <c r="A896" s="53" t="s">
        <v>1779</v>
      </c>
      <c r="B896" s="66"/>
      <c r="C896" s="53" t="s">
        <v>32</v>
      </c>
      <c r="D896" s="54" t="s">
        <v>38</v>
      </c>
      <c r="E896" s="67" t="s">
        <v>1780</v>
      </c>
      <c r="F896" s="53" t="s">
        <v>211</v>
      </c>
      <c r="G896" s="53" t="s">
        <v>1601</v>
      </c>
      <c r="H896" s="53">
        <f>STOCK[[#This Row],[Precio Final]]</f>
        <v>20</v>
      </c>
      <c r="I896" s="53">
        <f>STOCK[[#This Row],[Precio Venta Ideal (x1.5)]]</f>
        <v>21.5294117647059</v>
      </c>
      <c r="J896" s="71">
        <v>2</v>
      </c>
      <c r="K896" s="71">
        <f>SUMIFS(VENTAS[Cantidad],VENTAS[Código del producto Vendido],STOCK[[#This Row],[Code]])</f>
        <v>2</v>
      </c>
      <c r="L896" s="71">
        <f>STOCK[[#This Row],[Entradas]]-STOCK[[#This Row],[Salidas]]</f>
        <v>0</v>
      </c>
      <c r="M896" s="53">
        <f>STOCK[[#This Row],[Precio Final]]*10%</f>
        <v>2</v>
      </c>
      <c r="N896" s="53">
        <v>142</v>
      </c>
      <c r="O896" s="53">
        <v>17</v>
      </c>
      <c r="P896" s="53">
        <v>8.35294117647059</v>
      </c>
      <c r="Q896" s="71">
        <v>0</v>
      </c>
      <c r="R896" s="53">
        <v>0</v>
      </c>
      <c r="S896" s="53">
        <v>4</v>
      </c>
      <c r="T896" s="53">
        <f>STOCK[[#This Row],[Costo Unitario (USD)]]+STOCK[[#This Row],[Costo Envío (USD)]]+STOCK[[#This Row],[Comisión 10%]]</f>
        <v>14.3529411764706</v>
      </c>
      <c r="U896" s="53">
        <f>STOCK[[#This Row],[Costo total]]*1.5</f>
        <v>21.5294117647059</v>
      </c>
      <c r="V896" s="53">
        <v>20</v>
      </c>
      <c r="W896" s="53">
        <f>STOCK[[#This Row],[Precio Final]]-STOCK[[#This Row],[Costo total]]</f>
        <v>5.64705882352941</v>
      </c>
      <c r="X896" s="53">
        <f>STOCK[[#This Row],[Ganancia Unitaria]]*STOCK[[#This Row],[Salidas]]</f>
        <v>11.2941176470588</v>
      </c>
      <c r="Y896" s="53" t="s">
        <v>1732</v>
      </c>
      <c r="Z896" s="53">
        <f>STOCK[[#This Row],[Costo Envío (USD)]]*STOCK[[#This Row],[Entradas]]</f>
        <v>8</v>
      </c>
      <c r="AA896" s="53">
        <f>STOCK[[#This Row],[Costo total]]*STOCK[[#This Row],[Entradas]]</f>
        <v>28.7058823529412</v>
      </c>
      <c r="AB896" s="53">
        <f>STOCK[[#This Row],[Stock Actual]]*STOCK[[#This Row],[Costo total]]</f>
        <v>0</v>
      </c>
    </row>
    <row r="897" s="54" customFormat="1" ht="50" customHeight="1" spans="1:28">
      <c r="A897" s="54" t="s">
        <v>1781</v>
      </c>
      <c r="B897" s="66"/>
      <c r="C897" s="54" t="s">
        <v>32</v>
      </c>
      <c r="D897" s="54" t="s">
        <v>976</v>
      </c>
      <c r="E897" s="68" t="s">
        <v>1780</v>
      </c>
      <c r="F897" s="54" t="s">
        <v>49</v>
      </c>
      <c r="G897" s="54" t="s">
        <v>1601</v>
      </c>
      <c r="H897" s="54">
        <f>STOCK[[#This Row],[Precio Final]]</f>
        <v>20</v>
      </c>
      <c r="I897" s="54">
        <f>STOCK[[#This Row],[Precio Venta Ideal (x1.5)]]</f>
        <v>21.5294117647059</v>
      </c>
      <c r="J897" s="72">
        <v>2</v>
      </c>
      <c r="K897" s="72">
        <f>SUMIFS(VENTAS[Cantidad],VENTAS[Código del producto Vendido],STOCK[[#This Row],[Code]])</f>
        <v>1</v>
      </c>
      <c r="L897" s="72">
        <f>STOCK[[#This Row],[Entradas]]-STOCK[[#This Row],[Salidas]]</f>
        <v>1</v>
      </c>
      <c r="M897" s="54">
        <f>STOCK[[#This Row],[Precio Final]]*10%</f>
        <v>2</v>
      </c>
      <c r="N897" s="54">
        <v>142</v>
      </c>
      <c r="O897" s="54">
        <v>17</v>
      </c>
      <c r="P897" s="54">
        <v>8.35294117647059</v>
      </c>
      <c r="Q897" s="72">
        <v>0</v>
      </c>
      <c r="R897" s="54">
        <v>0</v>
      </c>
      <c r="S897" s="54">
        <v>4</v>
      </c>
      <c r="T897" s="53">
        <f>STOCK[[#This Row],[Costo Unitario (USD)]]+STOCK[[#This Row],[Costo Envío (USD)]]+STOCK[[#This Row],[Comisión 10%]]</f>
        <v>14.3529411764706</v>
      </c>
      <c r="U897" s="54">
        <f>STOCK[[#This Row],[Costo total]]*1.5</f>
        <v>21.5294117647059</v>
      </c>
      <c r="V897" s="54">
        <v>20</v>
      </c>
      <c r="W897" s="54">
        <f>STOCK[[#This Row],[Precio Final]]-STOCK[[#This Row],[Costo total]]</f>
        <v>5.64705882352941</v>
      </c>
      <c r="X897" s="54">
        <f>STOCK[[#This Row],[Ganancia Unitaria]]*STOCK[[#This Row],[Salidas]]</f>
        <v>5.64705882352941</v>
      </c>
      <c r="Y897" s="54" t="s">
        <v>1732</v>
      </c>
      <c r="Z897" s="54">
        <f>STOCK[[#This Row],[Costo Envío (USD)]]*STOCK[[#This Row],[Entradas]]</f>
        <v>8</v>
      </c>
      <c r="AA897" s="54">
        <f>STOCK[[#This Row],[Costo total]]*STOCK[[#This Row],[Entradas]]</f>
        <v>28.7058823529412</v>
      </c>
      <c r="AB897" s="54">
        <f>STOCK[[#This Row],[Stock Actual]]*STOCK[[#This Row],[Costo total]]</f>
        <v>14.3529411764706</v>
      </c>
    </row>
    <row r="898" s="53" customFormat="1" ht="50" customHeight="1" spans="1:28">
      <c r="A898" s="53" t="s">
        <v>1782</v>
      </c>
      <c r="B898" s="66"/>
      <c r="C898" s="53" t="s">
        <v>32</v>
      </c>
      <c r="D898" s="53" t="s">
        <v>1783</v>
      </c>
      <c r="E898" s="67" t="s">
        <v>1784</v>
      </c>
      <c r="F898" s="53" t="s">
        <v>525</v>
      </c>
      <c r="G898" s="53" t="s">
        <v>36</v>
      </c>
      <c r="H898" s="53">
        <f>STOCK[[#This Row],[Precio Final]]</f>
        <v>10</v>
      </c>
      <c r="I898" s="53">
        <f>STOCK[[#This Row],[Precio Venta Ideal (x1.5)]]</f>
        <v>7.23529411764707</v>
      </c>
      <c r="J898" s="71">
        <v>2</v>
      </c>
      <c r="K898" s="71">
        <f>SUMIFS(VENTAS[Cantidad],VENTAS[Código del producto Vendido],STOCK[[#This Row],[Code]])</f>
        <v>2</v>
      </c>
      <c r="L898" s="71">
        <f>STOCK[[#This Row],[Entradas]]-STOCK[[#This Row],[Salidas]]</f>
        <v>0</v>
      </c>
      <c r="M898" s="53">
        <f>STOCK[[#This Row],[Precio Final]]*10%</f>
        <v>1</v>
      </c>
      <c r="N898" s="53">
        <v>48</v>
      </c>
      <c r="O898" s="53">
        <v>17</v>
      </c>
      <c r="P898" s="53">
        <v>2.82352941176471</v>
      </c>
      <c r="Q898" s="71">
        <v>0</v>
      </c>
      <c r="R898" s="53">
        <v>0</v>
      </c>
      <c r="S898" s="53">
        <v>1</v>
      </c>
      <c r="T898" s="53">
        <f>STOCK[[#This Row],[Costo Unitario (USD)]]+STOCK[[#This Row],[Costo Envío (USD)]]+STOCK[[#This Row],[Comisión 10%]]</f>
        <v>4.82352941176471</v>
      </c>
      <c r="U898" s="53">
        <f>STOCK[[#This Row],[Costo total]]*1.5</f>
        <v>7.23529411764707</v>
      </c>
      <c r="V898" s="53">
        <v>10</v>
      </c>
      <c r="W898" s="53">
        <f>STOCK[[#This Row],[Precio Final]]-STOCK[[#This Row],[Costo total]]</f>
        <v>5.17647058823529</v>
      </c>
      <c r="X898" s="53">
        <f>STOCK[[#This Row],[Ganancia Unitaria]]*STOCK[[#This Row],[Salidas]]</f>
        <v>10.3529411764706</v>
      </c>
      <c r="Y898" s="53" t="s">
        <v>1732</v>
      </c>
      <c r="Z898" s="53">
        <f>STOCK[[#This Row],[Costo Envío (USD)]]*STOCK[[#This Row],[Entradas]]</f>
        <v>2</v>
      </c>
      <c r="AA898" s="53">
        <f>STOCK[[#This Row],[Costo total]]*STOCK[[#This Row],[Entradas]]</f>
        <v>9.64705882352942</v>
      </c>
      <c r="AB898" s="53">
        <f>STOCK[[#This Row],[Stock Actual]]*STOCK[[#This Row],[Costo total]]</f>
        <v>0</v>
      </c>
    </row>
    <row r="899" s="54" customFormat="1" ht="50" customHeight="1" spans="1:28">
      <c r="A899" s="54" t="s">
        <v>1785</v>
      </c>
      <c r="B899" s="66"/>
      <c r="C899" s="54" t="s">
        <v>32</v>
      </c>
      <c r="D899" s="54" t="s">
        <v>38</v>
      </c>
      <c r="E899" s="68" t="s">
        <v>1747</v>
      </c>
      <c r="F899" s="54" t="s">
        <v>49</v>
      </c>
      <c r="G899" s="54" t="s">
        <v>36</v>
      </c>
      <c r="H899" s="54">
        <f>STOCK[[#This Row],[Precio Final]]</f>
        <v>20</v>
      </c>
      <c r="I899" s="54">
        <f>STOCK[[#This Row],[Precio Venta Ideal (x1.5)]]</f>
        <v>17.3823529411765</v>
      </c>
      <c r="J899" s="72">
        <v>1</v>
      </c>
      <c r="K899" s="72">
        <f>SUMIFS(VENTAS[Cantidad],VENTAS[Código del producto Vendido],STOCK[[#This Row],[Code]])</f>
        <v>1</v>
      </c>
      <c r="L899" s="72">
        <f>STOCK[[#This Row],[Entradas]]-STOCK[[#This Row],[Salidas]]</f>
        <v>0</v>
      </c>
      <c r="M899" s="54">
        <f>STOCK[[#This Row],[Precio Final]]*10%</f>
        <v>2</v>
      </c>
      <c r="N899" s="54">
        <v>112</v>
      </c>
      <c r="O899" s="54">
        <v>17</v>
      </c>
      <c r="P899" s="54">
        <v>6.58823529411765</v>
      </c>
      <c r="Q899" s="72">
        <v>0</v>
      </c>
      <c r="R899" s="54">
        <v>0</v>
      </c>
      <c r="S899" s="54">
        <v>3</v>
      </c>
      <c r="T899" s="53">
        <f>STOCK[[#This Row],[Costo Unitario (USD)]]+STOCK[[#This Row],[Costo Envío (USD)]]+STOCK[[#This Row],[Comisión 10%]]</f>
        <v>11.5882352941177</v>
      </c>
      <c r="U899" s="54">
        <f>STOCK[[#This Row],[Costo total]]*1.5</f>
        <v>17.3823529411765</v>
      </c>
      <c r="V899" s="54">
        <v>20</v>
      </c>
      <c r="W899" s="54">
        <f>STOCK[[#This Row],[Precio Final]]-STOCK[[#This Row],[Costo total]]</f>
        <v>8.41176470588235</v>
      </c>
      <c r="X899" s="54">
        <f>STOCK[[#This Row],[Ganancia Unitaria]]*STOCK[[#This Row],[Salidas]]</f>
        <v>8.41176470588235</v>
      </c>
      <c r="Y899" s="54" t="s">
        <v>1732</v>
      </c>
      <c r="Z899" s="54">
        <f>STOCK[[#This Row],[Costo Envío (USD)]]*STOCK[[#This Row],[Entradas]]</f>
        <v>3</v>
      </c>
      <c r="AA899" s="54">
        <f>STOCK[[#This Row],[Costo total]]*STOCK[[#This Row],[Entradas]]</f>
        <v>11.5882352941177</v>
      </c>
      <c r="AB899" s="54">
        <f>STOCK[[#This Row],[Stock Actual]]*STOCK[[#This Row],[Costo total]]</f>
        <v>0</v>
      </c>
    </row>
    <row r="900" s="53" customFormat="1" ht="50" customHeight="1" spans="1:28">
      <c r="A900" s="53" t="s">
        <v>1786</v>
      </c>
      <c r="B900" s="66"/>
      <c r="C900" s="53" t="s">
        <v>32</v>
      </c>
      <c r="D900" s="53" t="s">
        <v>976</v>
      </c>
      <c r="E900" s="67" t="s">
        <v>1787</v>
      </c>
      <c r="F900" s="53" t="s">
        <v>46</v>
      </c>
      <c r="G900" s="53" t="s">
        <v>36</v>
      </c>
      <c r="H900" s="53">
        <f>STOCK[[#This Row],[Precio Final]]</f>
        <v>20</v>
      </c>
      <c r="I900" s="53">
        <f>STOCK[[#This Row],[Precio Venta Ideal (x1.5)]]</f>
        <v>17.3823529411765</v>
      </c>
      <c r="J900" s="71">
        <v>1</v>
      </c>
      <c r="K900" s="71">
        <f>SUMIFS(VENTAS[Cantidad],VENTAS[Código del producto Vendido],STOCK[[#This Row],[Code]])</f>
        <v>1</v>
      </c>
      <c r="L900" s="71">
        <f>STOCK[[#This Row],[Entradas]]-STOCK[[#This Row],[Salidas]]</f>
        <v>0</v>
      </c>
      <c r="M900" s="53">
        <f>STOCK[[#This Row],[Precio Final]]*10%</f>
        <v>2</v>
      </c>
      <c r="N900" s="53">
        <v>112</v>
      </c>
      <c r="O900" s="53">
        <v>17</v>
      </c>
      <c r="P900" s="53">
        <v>6.58823529411765</v>
      </c>
      <c r="Q900" s="71">
        <v>0</v>
      </c>
      <c r="R900" s="53">
        <v>0</v>
      </c>
      <c r="S900" s="53">
        <v>3</v>
      </c>
      <c r="T900" s="53">
        <f>STOCK[[#This Row],[Costo Unitario (USD)]]+STOCK[[#This Row],[Costo Envío (USD)]]+STOCK[[#This Row],[Comisión 10%]]</f>
        <v>11.5882352941177</v>
      </c>
      <c r="U900" s="53">
        <f>STOCK[[#This Row],[Costo total]]*1.5</f>
        <v>17.3823529411765</v>
      </c>
      <c r="V900" s="53">
        <v>20</v>
      </c>
      <c r="W900" s="53">
        <f>STOCK[[#This Row],[Precio Final]]-STOCK[[#This Row],[Costo total]]</f>
        <v>8.41176470588235</v>
      </c>
      <c r="X900" s="53">
        <f>STOCK[[#This Row],[Ganancia Unitaria]]*STOCK[[#This Row],[Salidas]]</f>
        <v>8.41176470588235</v>
      </c>
      <c r="Y900" s="53" t="s">
        <v>1732</v>
      </c>
      <c r="Z900" s="53">
        <f>STOCK[[#This Row],[Costo Envío (USD)]]*STOCK[[#This Row],[Entradas]]</f>
        <v>3</v>
      </c>
      <c r="AA900" s="53">
        <f>STOCK[[#This Row],[Costo total]]*STOCK[[#This Row],[Entradas]]</f>
        <v>11.5882352941177</v>
      </c>
      <c r="AB900" s="53">
        <f>STOCK[[#This Row],[Stock Actual]]*STOCK[[#This Row],[Costo total]]</f>
        <v>0</v>
      </c>
    </row>
    <row r="901" s="54" customFormat="1" ht="50" customHeight="1" spans="1:28">
      <c r="A901" s="54" t="s">
        <v>1788</v>
      </c>
      <c r="B901" s="66"/>
      <c r="C901" s="54" t="s">
        <v>32</v>
      </c>
      <c r="D901" s="54" t="s">
        <v>1789</v>
      </c>
      <c r="E901" s="68" t="s">
        <v>1790</v>
      </c>
      <c r="F901" s="54" t="s">
        <v>1791</v>
      </c>
      <c r="G901" s="54" t="s">
        <v>36</v>
      </c>
      <c r="H901" s="54">
        <f>STOCK[[#This Row],[Precio Final]]</f>
        <v>8</v>
      </c>
      <c r="I901" s="54">
        <f>STOCK[[#This Row],[Precio Venta Ideal (x1.5)]]</f>
        <v>7.55294117647059</v>
      </c>
      <c r="J901" s="72">
        <v>2</v>
      </c>
      <c r="K901" s="72">
        <f>SUMIFS(VENTAS[Cantidad],VENTAS[Código del producto Vendido],STOCK[[#This Row],[Code]])</f>
        <v>2</v>
      </c>
      <c r="L901" s="72">
        <f>STOCK[[#This Row],[Entradas]]-STOCK[[#This Row],[Salidas]]</f>
        <v>0</v>
      </c>
      <c r="M901" s="54">
        <f>STOCK[[#This Row],[Precio Final]]*10%</f>
        <v>0.8</v>
      </c>
      <c r="N901" s="54">
        <v>55</v>
      </c>
      <c r="O901" s="54">
        <v>17</v>
      </c>
      <c r="P901" s="54">
        <v>3.23529411764706</v>
      </c>
      <c r="Q901" s="72">
        <v>0</v>
      </c>
      <c r="R901" s="54">
        <v>0</v>
      </c>
      <c r="S901" s="54">
        <v>1</v>
      </c>
      <c r="T901" s="53">
        <f>STOCK[[#This Row],[Costo Unitario (USD)]]+STOCK[[#This Row],[Costo Envío (USD)]]+STOCK[[#This Row],[Comisión 10%]]</f>
        <v>5.03529411764706</v>
      </c>
      <c r="U901" s="54">
        <f>STOCK[[#This Row],[Costo total]]*1.5</f>
        <v>7.55294117647059</v>
      </c>
      <c r="V901" s="54">
        <v>8</v>
      </c>
      <c r="W901" s="54">
        <f>STOCK[[#This Row],[Precio Final]]-STOCK[[#This Row],[Costo total]]</f>
        <v>2.96470588235294</v>
      </c>
      <c r="X901" s="54">
        <f>STOCK[[#This Row],[Ganancia Unitaria]]*STOCK[[#This Row],[Salidas]]</f>
        <v>5.92941176470588</v>
      </c>
      <c r="Y901" s="54" t="s">
        <v>1732</v>
      </c>
      <c r="Z901" s="54">
        <f>STOCK[[#This Row],[Costo Envío (USD)]]*STOCK[[#This Row],[Entradas]]</f>
        <v>2</v>
      </c>
      <c r="AA901" s="54">
        <f>STOCK[[#This Row],[Costo total]]*STOCK[[#This Row],[Entradas]]</f>
        <v>10.0705882352941</v>
      </c>
      <c r="AB901" s="54">
        <f>STOCK[[#This Row],[Stock Actual]]*STOCK[[#This Row],[Costo total]]</f>
        <v>0</v>
      </c>
    </row>
    <row r="902" s="53" customFormat="1" ht="50" customHeight="1" spans="1:28">
      <c r="A902" s="53" t="s">
        <v>1792</v>
      </c>
      <c r="B902" s="66"/>
      <c r="C902" s="53" t="s">
        <v>32</v>
      </c>
      <c r="D902" s="53" t="s">
        <v>1783</v>
      </c>
      <c r="E902" s="67" t="s">
        <v>1793</v>
      </c>
      <c r="F902" s="53" t="s">
        <v>525</v>
      </c>
      <c r="G902" s="53" t="s">
        <v>36</v>
      </c>
      <c r="H902" s="53">
        <f>STOCK[[#This Row],[Precio Final]]</f>
        <v>8</v>
      </c>
      <c r="I902" s="53">
        <f>STOCK[[#This Row],[Precio Venta Ideal (x1.5)]]</f>
        <v>6.84705882352941</v>
      </c>
      <c r="J902" s="71">
        <v>1</v>
      </c>
      <c r="K902" s="71">
        <f>SUMIFS(VENTAS[Cantidad],VENTAS[Código del producto Vendido],STOCK[[#This Row],[Code]])</f>
        <v>1</v>
      </c>
      <c r="L902" s="71">
        <f>STOCK[[#This Row],[Entradas]]-STOCK[[#This Row],[Salidas]]</f>
        <v>0</v>
      </c>
      <c r="M902" s="53">
        <f>STOCK[[#This Row],[Precio Final]]*10%</f>
        <v>0.8</v>
      </c>
      <c r="N902" s="53">
        <v>47</v>
      </c>
      <c r="O902" s="53">
        <v>17</v>
      </c>
      <c r="P902" s="53">
        <v>2.76470588235294</v>
      </c>
      <c r="Q902" s="71">
        <v>0</v>
      </c>
      <c r="R902" s="53">
        <v>0</v>
      </c>
      <c r="S902" s="53">
        <v>1</v>
      </c>
      <c r="T902" s="53">
        <f>STOCK[[#This Row],[Costo Unitario (USD)]]+STOCK[[#This Row],[Costo Envío (USD)]]+STOCK[[#This Row],[Comisión 10%]]</f>
        <v>4.56470588235294</v>
      </c>
      <c r="U902" s="53">
        <f>STOCK[[#This Row],[Costo total]]*1.5</f>
        <v>6.84705882352941</v>
      </c>
      <c r="V902" s="53">
        <v>8</v>
      </c>
      <c r="W902" s="53">
        <f>STOCK[[#This Row],[Precio Final]]-STOCK[[#This Row],[Costo total]]</f>
        <v>3.43529411764706</v>
      </c>
      <c r="X902" s="53">
        <f>STOCK[[#This Row],[Ganancia Unitaria]]*STOCK[[#This Row],[Salidas]]</f>
        <v>3.43529411764706</v>
      </c>
      <c r="Y902" s="53" t="s">
        <v>1732</v>
      </c>
      <c r="Z902" s="53">
        <f>STOCK[[#This Row],[Costo Envío (USD)]]*STOCK[[#This Row],[Entradas]]</f>
        <v>1</v>
      </c>
      <c r="AA902" s="53">
        <f>STOCK[[#This Row],[Costo total]]*STOCK[[#This Row],[Entradas]]</f>
        <v>4.56470588235294</v>
      </c>
      <c r="AB902" s="53">
        <f>STOCK[[#This Row],[Stock Actual]]*STOCK[[#This Row],[Costo total]]</f>
        <v>0</v>
      </c>
    </row>
    <row r="903" s="54" customFormat="1" ht="50" customHeight="1" spans="1:28">
      <c r="A903" s="54" t="s">
        <v>1794</v>
      </c>
      <c r="B903" s="75"/>
      <c r="C903" s="54" t="s">
        <v>32</v>
      </c>
      <c r="D903" s="54" t="s">
        <v>1795</v>
      </c>
      <c r="E903" s="68" t="s">
        <v>1796</v>
      </c>
      <c r="F903" s="54" t="s">
        <v>1797</v>
      </c>
      <c r="G903" s="54" t="s">
        <v>36</v>
      </c>
      <c r="H903" s="54">
        <f>STOCK[[#This Row],[Precio Final]]</f>
        <v>2</v>
      </c>
      <c r="I903" s="54">
        <f>STOCK[[#This Row],[Precio Venta Ideal (x1.5)]]</f>
        <v>2.38676470588235</v>
      </c>
      <c r="J903" s="72">
        <v>3</v>
      </c>
      <c r="K903" s="72">
        <f>SUMIFS(VENTAS[Cantidad],VENTAS[Código del producto Vendido],STOCK[[#This Row],[Code]])</f>
        <v>3</v>
      </c>
      <c r="L903" s="72">
        <f>STOCK[[#This Row],[Entradas]]-STOCK[[#This Row],[Salidas]]</f>
        <v>0</v>
      </c>
      <c r="M903" s="54">
        <f>STOCK[[#This Row],[Precio Final]]*10%</f>
        <v>0.2</v>
      </c>
      <c r="N903" s="54">
        <v>16</v>
      </c>
      <c r="O903" s="54">
        <v>17</v>
      </c>
      <c r="P903" s="54">
        <v>0.941176470588235</v>
      </c>
      <c r="Q903" s="72">
        <v>0</v>
      </c>
      <c r="R903" s="54">
        <v>0</v>
      </c>
      <c r="S903" s="54">
        <v>0.45</v>
      </c>
      <c r="T903" s="53">
        <f>STOCK[[#This Row],[Costo Unitario (USD)]]+STOCK[[#This Row],[Costo Envío (USD)]]+STOCK[[#This Row],[Comisión 10%]]</f>
        <v>1.59117647058823</v>
      </c>
      <c r="U903" s="54">
        <f>STOCK[[#This Row],[Costo total]]*1.5</f>
        <v>2.38676470588235</v>
      </c>
      <c r="V903" s="54">
        <v>2</v>
      </c>
      <c r="W903" s="54">
        <f>STOCK[[#This Row],[Precio Final]]-STOCK[[#This Row],[Costo total]]</f>
        <v>0.408823529411765</v>
      </c>
      <c r="X903" s="54">
        <f>STOCK[[#This Row],[Ganancia Unitaria]]*STOCK[[#This Row],[Salidas]]</f>
        <v>1.2264705882353</v>
      </c>
      <c r="Y903" s="54" t="s">
        <v>1732</v>
      </c>
      <c r="Z903" s="54">
        <f>STOCK[[#This Row],[Costo Envío (USD)]]*STOCK[[#This Row],[Entradas]]</f>
        <v>1.35</v>
      </c>
      <c r="AA903" s="54">
        <f>STOCK[[#This Row],[Costo total]]*STOCK[[#This Row],[Entradas]]</f>
        <v>4.7735294117647</v>
      </c>
      <c r="AB903" s="54">
        <f>STOCK[[#This Row],[Stock Actual]]*STOCK[[#This Row],[Costo total]]</f>
        <v>0</v>
      </c>
    </row>
    <row r="904" s="53" customFormat="1" ht="50" customHeight="1" spans="1:28">
      <c r="A904" s="53" t="s">
        <v>1798</v>
      </c>
      <c r="B904" s="66"/>
      <c r="C904" s="53" t="s">
        <v>32</v>
      </c>
      <c r="D904" s="53" t="s">
        <v>1799</v>
      </c>
      <c r="E904" s="67" t="s">
        <v>1796</v>
      </c>
      <c r="F904" s="53" t="s">
        <v>525</v>
      </c>
      <c r="G904" s="53" t="s">
        <v>36</v>
      </c>
      <c r="H904" s="53">
        <f>STOCK[[#This Row],[Precio Final]]</f>
        <v>2</v>
      </c>
      <c r="I904" s="53">
        <f>STOCK[[#This Row],[Precio Venta Ideal (x1.5)]]</f>
        <v>2.38676470588235</v>
      </c>
      <c r="J904" s="71">
        <v>3</v>
      </c>
      <c r="K904" s="71">
        <f>SUMIFS(VENTAS[Cantidad],VENTAS[Código del producto Vendido],STOCK[[#This Row],[Code]])</f>
        <v>2</v>
      </c>
      <c r="L904" s="71">
        <f>STOCK[[#This Row],[Entradas]]-STOCK[[#This Row],[Salidas]]</f>
        <v>1</v>
      </c>
      <c r="M904" s="53">
        <f>STOCK[[#This Row],[Precio Final]]*10%</f>
        <v>0.2</v>
      </c>
      <c r="N904" s="53">
        <v>16</v>
      </c>
      <c r="O904" s="53">
        <v>17</v>
      </c>
      <c r="P904" s="53">
        <v>0.941176470588235</v>
      </c>
      <c r="Q904" s="71">
        <v>0</v>
      </c>
      <c r="R904" s="53">
        <v>0</v>
      </c>
      <c r="S904" s="53">
        <v>0.45</v>
      </c>
      <c r="T904" s="53">
        <f>STOCK[[#This Row],[Costo Unitario (USD)]]+STOCK[[#This Row],[Costo Envío (USD)]]+STOCK[[#This Row],[Comisión 10%]]</f>
        <v>1.59117647058823</v>
      </c>
      <c r="U904" s="53">
        <f>STOCK[[#This Row],[Costo total]]*1.5</f>
        <v>2.38676470588235</v>
      </c>
      <c r="V904" s="53">
        <v>2</v>
      </c>
      <c r="W904" s="53">
        <f>STOCK[[#This Row],[Precio Final]]-STOCK[[#This Row],[Costo total]]</f>
        <v>0.408823529411765</v>
      </c>
      <c r="X904" s="53">
        <f>STOCK[[#This Row],[Ganancia Unitaria]]*STOCK[[#This Row],[Salidas]]</f>
        <v>0.81764705882353</v>
      </c>
      <c r="Y904" s="53" t="s">
        <v>1732</v>
      </c>
      <c r="Z904" s="53">
        <f>STOCK[[#This Row],[Costo Envío (USD)]]*STOCK[[#This Row],[Entradas]]</f>
        <v>1.35</v>
      </c>
      <c r="AA904" s="53">
        <f>STOCK[[#This Row],[Costo total]]*STOCK[[#This Row],[Entradas]]</f>
        <v>4.7735294117647</v>
      </c>
      <c r="AB904" s="53">
        <f>STOCK[[#This Row],[Stock Actual]]*STOCK[[#This Row],[Costo total]]</f>
        <v>1.59117647058823</v>
      </c>
    </row>
    <row r="905" s="54" customFormat="1" ht="50" customHeight="1" spans="1:28">
      <c r="A905" s="54" t="s">
        <v>1800</v>
      </c>
      <c r="B905" s="66"/>
      <c r="C905" s="54" t="s">
        <v>32</v>
      </c>
      <c r="D905" s="54" t="s">
        <v>1795</v>
      </c>
      <c r="E905" s="68" t="s">
        <v>1796</v>
      </c>
      <c r="F905" s="54" t="s">
        <v>1801</v>
      </c>
      <c r="G905" s="54" t="s">
        <v>36</v>
      </c>
      <c r="H905" s="54">
        <f>STOCK[[#This Row],[Precio Final]]</f>
        <v>2</v>
      </c>
      <c r="I905" s="54">
        <f>STOCK[[#This Row],[Precio Venta Ideal (x1.5)]]</f>
        <v>2.38676470588235</v>
      </c>
      <c r="J905" s="72">
        <v>3</v>
      </c>
      <c r="K905" s="72">
        <f>SUMIFS(VENTAS[Cantidad],VENTAS[Código del producto Vendido],STOCK[[#This Row],[Code]])</f>
        <v>3</v>
      </c>
      <c r="L905" s="72">
        <f>STOCK[[#This Row],[Entradas]]-STOCK[[#This Row],[Salidas]]</f>
        <v>0</v>
      </c>
      <c r="M905" s="54">
        <f>STOCK[[#This Row],[Precio Final]]*10%</f>
        <v>0.2</v>
      </c>
      <c r="N905" s="54">
        <v>16</v>
      </c>
      <c r="O905" s="54">
        <v>17</v>
      </c>
      <c r="P905" s="54">
        <v>0.941176470588235</v>
      </c>
      <c r="Q905" s="72">
        <v>0</v>
      </c>
      <c r="R905" s="54">
        <v>0</v>
      </c>
      <c r="S905" s="54">
        <v>0.45</v>
      </c>
      <c r="T905" s="53">
        <f>STOCK[[#This Row],[Costo Unitario (USD)]]+STOCK[[#This Row],[Costo Envío (USD)]]+STOCK[[#This Row],[Comisión 10%]]</f>
        <v>1.59117647058823</v>
      </c>
      <c r="U905" s="54">
        <f>STOCK[[#This Row],[Costo total]]*1.5</f>
        <v>2.38676470588235</v>
      </c>
      <c r="V905" s="54">
        <v>2</v>
      </c>
      <c r="W905" s="54">
        <f>STOCK[[#This Row],[Precio Final]]-STOCK[[#This Row],[Costo total]]</f>
        <v>0.408823529411765</v>
      </c>
      <c r="X905" s="54">
        <f>STOCK[[#This Row],[Ganancia Unitaria]]*STOCK[[#This Row],[Salidas]]</f>
        <v>1.2264705882353</v>
      </c>
      <c r="Y905" s="54" t="s">
        <v>1732</v>
      </c>
      <c r="Z905" s="54">
        <f>STOCK[[#This Row],[Costo Envío (USD)]]*STOCK[[#This Row],[Entradas]]</f>
        <v>1.35</v>
      </c>
      <c r="AA905" s="54">
        <f>STOCK[[#This Row],[Costo total]]*STOCK[[#This Row],[Entradas]]</f>
        <v>4.7735294117647</v>
      </c>
      <c r="AB905" s="54">
        <f>STOCK[[#This Row],[Stock Actual]]*STOCK[[#This Row],[Costo total]]</f>
        <v>0</v>
      </c>
    </row>
    <row r="906" s="53" customFormat="1" ht="50" customHeight="1" spans="1:28">
      <c r="A906" s="53" t="s">
        <v>1802</v>
      </c>
      <c r="B906" s="66"/>
      <c r="C906" s="53" t="s">
        <v>32</v>
      </c>
      <c r="D906" s="53" t="s">
        <v>1755</v>
      </c>
      <c r="E906" s="67" t="s">
        <v>1803</v>
      </c>
      <c r="F906" s="53" t="s">
        <v>62</v>
      </c>
      <c r="G906" s="53" t="s">
        <v>36</v>
      </c>
      <c r="H906" s="53">
        <f>STOCK[[#This Row],[Precio Final]]</f>
        <v>25</v>
      </c>
      <c r="I906" s="53">
        <f>STOCK[[#This Row],[Precio Venta Ideal (x1.5)]]</f>
        <v>23.1617647058824</v>
      </c>
      <c r="J906" s="71">
        <v>2</v>
      </c>
      <c r="K906" s="71">
        <f>SUMIFS(VENTAS[Cantidad],VENTAS[Código del producto Vendido],STOCK[[#This Row],[Code]])</f>
        <v>3</v>
      </c>
      <c r="L906" s="71">
        <f>STOCK[[#This Row],[Entradas]]-STOCK[[#This Row],[Salidas]]</f>
        <v>-1</v>
      </c>
      <c r="M906" s="53">
        <f>STOCK[[#This Row],[Precio Final]]*10%</f>
        <v>2.5</v>
      </c>
      <c r="N906" s="53">
        <v>169</v>
      </c>
      <c r="O906" s="53">
        <v>17</v>
      </c>
      <c r="P906" s="53">
        <v>9.94117647058824</v>
      </c>
      <c r="Q906" s="71">
        <v>0</v>
      </c>
      <c r="R906" s="53">
        <v>0</v>
      </c>
      <c r="S906" s="53">
        <v>3</v>
      </c>
      <c r="T906" s="53">
        <f>STOCK[[#This Row],[Costo Unitario (USD)]]+STOCK[[#This Row],[Costo Envío (USD)]]+STOCK[[#This Row],[Comisión 10%]]</f>
        <v>15.4411764705882</v>
      </c>
      <c r="U906" s="53">
        <f>STOCK[[#This Row],[Costo total]]*1.5</f>
        <v>23.1617647058824</v>
      </c>
      <c r="V906" s="53">
        <v>25</v>
      </c>
      <c r="W906" s="53">
        <f>STOCK[[#This Row],[Precio Final]]-STOCK[[#This Row],[Costo total]]</f>
        <v>9.55882352941176</v>
      </c>
      <c r="X906" s="53">
        <f>STOCK[[#This Row],[Ganancia Unitaria]]*STOCK[[#This Row],[Salidas]]</f>
        <v>28.6764705882353</v>
      </c>
      <c r="Y906" s="53" t="s">
        <v>1732</v>
      </c>
      <c r="Z906" s="53">
        <f>STOCK[[#This Row],[Costo Envío (USD)]]*STOCK[[#This Row],[Entradas]]</f>
        <v>6</v>
      </c>
      <c r="AA906" s="53">
        <f>STOCK[[#This Row],[Costo total]]*STOCK[[#This Row],[Entradas]]</f>
        <v>30.8823529411765</v>
      </c>
      <c r="AB906" s="53">
        <f>STOCK[[#This Row],[Stock Actual]]*STOCK[[#This Row],[Costo total]]</f>
        <v>-15.4411764705882</v>
      </c>
    </row>
    <row r="907" s="54" customFormat="1" ht="50" customHeight="1" spans="1:28">
      <c r="A907" s="54" t="s">
        <v>1804</v>
      </c>
      <c r="B907" s="66"/>
      <c r="C907" s="54" t="s">
        <v>32</v>
      </c>
      <c r="D907" s="54" t="s">
        <v>203</v>
      </c>
      <c r="E907" s="68" t="s">
        <v>1805</v>
      </c>
      <c r="F907" s="54" t="s">
        <v>1806</v>
      </c>
      <c r="G907" s="54" t="s">
        <v>36</v>
      </c>
      <c r="H907" s="54">
        <f>STOCK[[#This Row],[Precio Final]]</f>
        <v>35</v>
      </c>
      <c r="I907" s="54">
        <f>STOCK[[#This Row],[Precio Venta Ideal (x1.5)]]</f>
        <v>36.0441176470588</v>
      </c>
      <c r="J907" s="72">
        <v>1</v>
      </c>
      <c r="K907" s="72">
        <f>SUMIFS(VENTAS[Cantidad],VENTAS[Código del producto Vendido],STOCK[[#This Row],[Code]])</f>
        <v>0</v>
      </c>
      <c r="L907" s="72">
        <f>STOCK[[#This Row],[Entradas]]-STOCK[[#This Row],[Salidas]]</f>
        <v>1</v>
      </c>
      <c r="M907" s="54">
        <f>STOCK[[#This Row],[Precio Final]]*10%</f>
        <v>3.5</v>
      </c>
      <c r="N907" s="54">
        <v>264</v>
      </c>
      <c r="O907" s="54">
        <v>17</v>
      </c>
      <c r="P907" s="54">
        <v>15.5294117647059</v>
      </c>
      <c r="Q907" s="72">
        <v>0</v>
      </c>
      <c r="R907" s="54">
        <v>0</v>
      </c>
      <c r="S907" s="54">
        <v>5</v>
      </c>
      <c r="T907" s="53">
        <f>STOCK[[#This Row],[Costo Unitario (USD)]]+STOCK[[#This Row],[Costo Envío (USD)]]+STOCK[[#This Row],[Comisión 10%]]</f>
        <v>24.0294117647059</v>
      </c>
      <c r="U907" s="54">
        <f>STOCK[[#This Row],[Costo total]]*1.5</f>
        <v>36.0441176470588</v>
      </c>
      <c r="V907" s="54">
        <v>35</v>
      </c>
      <c r="W907" s="54">
        <f>STOCK[[#This Row],[Precio Final]]-STOCK[[#This Row],[Costo total]]</f>
        <v>10.9705882352941</v>
      </c>
      <c r="X907" s="54">
        <f>STOCK[[#This Row],[Ganancia Unitaria]]*STOCK[[#This Row],[Salidas]]</f>
        <v>0</v>
      </c>
      <c r="Y907" s="54" t="s">
        <v>1732</v>
      </c>
      <c r="Z907" s="54">
        <f>STOCK[[#This Row],[Costo Envío (USD)]]*STOCK[[#This Row],[Entradas]]</f>
        <v>5</v>
      </c>
      <c r="AA907" s="54">
        <f>STOCK[[#This Row],[Costo total]]*STOCK[[#This Row],[Entradas]]</f>
        <v>24.0294117647059</v>
      </c>
      <c r="AB907" s="54">
        <f>STOCK[[#This Row],[Stock Actual]]*STOCK[[#This Row],[Costo total]]</f>
        <v>24.0294117647059</v>
      </c>
    </row>
    <row r="908" s="53" customFormat="1" ht="50" customHeight="1" spans="1:28">
      <c r="A908" s="53" t="s">
        <v>1807</v>
      </c>
      <c r="B908" s="76"/>
      <c r="C908" s="53" t="s">
        <v>32</v>
      </c>
      <c r="D908" s="53" t="s">
        <v>1808</v>
      </c>
      <c r="E908" s="67" t="s">
        <v>1809</v>
      </c>
      <c r="F908" s="53" t="s">
        <v>529</v>
      </c>
      <c r="G908" s="53" t="s">
        <v>36</v>
      </c>
      <c r="H908" s="53">
        <f>STOCK[[#This Row],[Precio Final]]</f>
        <v>3</v>
      </c>
      <c r="I908" s="53">
        <f>STOCK[[#This Row],[Precio Venta Ideal (x1.5)]]</f>
        <v>3.05294117647059</v>
      </c>
      <c r="J908" s="71">
        <v>3</v>
      </c>
      <c r="K908" s="71">
        <f>SUMIFS(VENTAS[Cantidad],VENTAS[Código del producto Vendido],STOCK[[#This Row],[Code]])</f>
        <v>3</v>
      </c>
      <c r="L908" s="71">
        <f>STOCK[[#This Row],[Entradas]]-STOCK[[#This Row],[Salidas]]</f>
        <v>0</v>
      </c>
      <c r="M908" s="53">
        <f>STOCK[[#This Row],[Precio Final]]*10%</f>
        <v>0.3</v>
      </c>
      <c r="N908" s="53">
        <v>21</v>
      </c>
      <c r="O908" s="53">
        <v>17</v>
      </c>
      <c r="P908" s="53">
        <v>1.23529411764706</v>
      </c>
      <c r="Q908" s="71">
        <v>0</v>
      </c>
      <c r="R908" s="53">
        <v>0</v>
      </c>
      <c r="S908" s="53">
        <v>0.5</v>
      </c>
      <c r="T908" s="53">
        <f>STOCK[[#This Row],[Costo Unitario (USD)]]+STOCK[[#This Row],[Costo Envío (USD)]]+STOCK[[#This Row],[Comisión 10%]]</f>
        <v>2.03529411764706</v>
      </c>
      <c r="U908" s="53">
        <f>STOCK[[#This Row],[Costo total]]*1.5</f>
        <v>3.05294117647059</v>
      </c>
      <c r="V908" s="53">
        <v>3</v>
      </c>
      <c r="W908" s="53">
        <f>STOCK[[#This Row],[Precio Final]]-STOCK[[#This Row],[Costo total]]</f>
        <v>0.96470588235294</v>
      </c>
      <c r="X908" s="53">
        <f>STOCK[[#This Row],[Ganancia Unitaria]]*STOCK[[#This Row],[Salidas]]</f>
        <v>2.89411764705882</v>
      </c>
      <c r="Y908" s="53" t="s">
        <v>1732</v>
      </c>
      <c r="Z908" s="53">
        <f>STOCK[[#This Row],[Costo Envío (USD)]]*STOCK[[#This Row],[Entradas]]</f>
        <v>1.5</v>
      </c>
      <c r="AA908" s="53">
        <f>STOCK[[#This Row],[Costo total]]*STOCK[[#This Row],[Entradas]]</f>
        <v>6.10588235294118</v>
      </c>
      <c r="AB908" s="53">
        <f>STOCK[[#This Row],[Stock Actual]]*STOCK[[#This Row],[Costo total]]</f>
        <v>0</v>
      </c>
    </row>
    <row r="909" s="54" customFormat="1" ht="50" customHeight="1" spans="1:28">
      <c r="A909" s="54" t="s">
        <v>1810</v>
      </c>
      <c r="B909" s="66"/>
      <c r="C909" s="54" t="s">
        <v>32</v>
      </c>
      <c r="D909" s="54" t="s">
        <v>1808</v>
      </c>
      <c r="E909" s="68" t="s">
        <v>1811</v>
      </c>
      <c r="F909" s="54" t="s">
        <v>529</v>
      </c>
      <c r="G909" s="54" t="s">
        <v>1812</v>
      </c>
      <c r="H909" s="54">
        <f>STOCK[[#This Row],[Precio Final]]</f>
        <v>3</v>
      </c>
      <c r="I909" s="54">
        <f>STOCK[[#This Row],[Precio Venta Ideal (x1.5)]]</f>
        <v>3.31764705882352</v>
      </c>
      <c r="J909" s="72">
        <v>1</v>
      </c>
      <c r="K909" s="72">
        <f>SUMIFS(VENTAS[Cantidad],VENTAS[Código del producto Vendido],STOCK[[#This Row],[Code]])</f>
        <v>1</v>
      </c>
      <c r="L909" s="72">
        <f>STOCK[[#This Row],[Entradas]]-STOCK[[#This Row],[Salidas]]</f>
        <v>0</v>
      </c>
      <c r="M909" s="54">
        <f>STOCK[[#This Row],[Precio Final]]*10%</f>
        <v>0.3</v>
      </c>
      <c r="N909" s="54">
        <v>24</v>
      </c>
      <c r="O909" s="54">
        <v>17</v>
      </c>
      <c r="P909" s="54">
        <v>1.41176470588235</v>
      </c>
      <c r="Q909" s="72">
        <v>0</v>
      </c>
      <c r="R909" s="54">
        <v>0</v>
      </c>
      <c r="S909" s="54">
        <v>0.5</v>
      </c>
      <c r="T909" s="53">
        <f>STOCK[[#This Row],[Costo Unitario (USD)]]+STOCK[[#This Row],[Costo Envío (USD)]]+STOCK[[#This Row],[Comisión 10%]]</f>
        <v>2.21176470588235</v>
      </c>
      <c r="U909" s="54">
        <f>STOCK[[#This Row],[Costo total]]*1.5</f>
        <v>3.31764705882352</v>
      </c>
      <c r="V909" s="54">
        <v>3</v>
      </c>
      <c r="W909" s="54">
        <f>STOCK[[#This Row],[Precio Final]]-STOCK[[#This Row],[Costo total]]</f>
        <v>0.78823529411765</v>
      </c>
      <c r="X909" s="54">
        <f>STOCK[[#This Row],[Ganancia Unitaria]]*STOCK[[#This Row],[Salidas]]</f>
        <v>0.78823529411765</v>
      </c>
      <c r="Y909" s="54" t="s">
        <v>1732</v>
      </c>
      <c r="Z909" s="54">
        <f>STOCK[[#This Row],[Costo Envío (USD)]]*STOCK[[#This Row],[Entradas]]</f>
        <v>0.5</v>
      </c>
      <c r="AA909" s="54">
        <f>STOCK[[#This Row],[Costo total]]*STOCK[[#This Row],[Entradas]]</f>
        <v>2.21176470588235</v>
      </c>
      <c r="AB909" s="54">
        <f>STOCK[[#This Row],[Stock Actual]]*STOCK[[#This Row],[Costo total]]</f>
        <v>0</v>
      </c>
    </row>
    <row r="910" s="53" customFormat="1" ht="50" customHeight="1" spans="1:28">
      <c r="A910" s="53" t="s">
        <v>1813</v>
      </c>
      <c r="B910" s="66"/>
      <c r="C910" s="53" t="s">
        <v>32</v>
      </c>
      <c r="D910" s="53" t="s">
        <v>44</v>
      </c>
      <c r="E910" s="67" t="s">
        <v>1814</v>
      </c>
      <c r="F910" s="53" t="s">
        <v>1713</v>
      </c>
      <c r="G910" s="53" t="s">
        <v>36</v>
      </c>
      <c r="H910" s="53">
        <f>STOCK[[#This Row],[Precio Final]]</f>
        <v>40</v>
      </c>
      <c r="I910" s="53">
        <f>STOCK[[#This Row],[Precio Venta Ideal (x1.5)]]</f>
        <v>40.4117647058823</v>
      </c>
      <c r="J910" s="71">
        <v>2</v>
      </c>
      <c r="K910" s="71">
        <f>SUMIFS(VENTAS[Cantidad],VENTAS[Código del producto Vendido],STOCK[[#This Row],[Code]])</f>
        <v>2</v>
      </c>
      <c r="L910" s="71">
        <f>STOCK[[#This Row],[Entradas]]-STOCK[[#This Row],[Salidas]]</f>
        <v>0</v>
      </c>
      <c r="M910" s="53">
        <f>STOCK[[#This Row],[Precio Final]]*10%</f>
        <v>4</v>
      </c>
      <c r="N910" s="53">
        <v>305</v>
      </c>
      <c r="O910" s="53">
        <v>17</v>
      </c>
      <c r="P910" s="53">
        <v>17.9411764705882</v>
      </c>
      <c r="Q910" s="71">
        <v>0</v>
      </c>
      <c r="R910" s="53">
        <v>0</v>
      </c>
      <c r="S910" s="53">
        <v>5</v>
      </c>
      <c r="T910" s="53">
        <f>STOCK[[#This Row],[Costo Unitario (USD)]]+STOCK[[#This Row],[Costo Envío (USD)]]+STOCK[[#This Row],[Comisión 10%]]</f>
        <v>26.9411764705882</v>
      </c>
      <c r="U910" s="53">
        <f>STOCK[[#This Row],[Costo total]]*1.5</f>
        <v>40.4117647058823</v>
      </c>
      <c r="V910" s="53">
        <v>40</v>
      </c>
      <c r="W910" s="53">
        <f>STOCK[[#This Row],[Precio Final]]-STOCK[[#This Row],[Costo total]]</f>
        <v>13.0588235294118</v>
      </c>
      <c r="X910" s="53">
        <f>STOCK[[#This Row],[Ganancia Unitaria]]*STOCK[[#This Row],[Salidas]]</f>
        <v>26.1176470588236</v>
      </c>
      <c r="Y910" s="53" t="s">
        <v>1732</v>
      </c>
      <c r="Z910" s="53">
        <f>STOCK[[#This Row],[Costo Envío (USD)]]*STOCK[[#This Row],[Entradas]]</f>
        <v>10</v>
      </c>
      <c r="AA910" s="53">
        <f>STOCK[[#This Row],[Costo total]]*STOCK[[#This Row],[Entradas]]</f>
        <v>53.8823529411764</v>
      </c>
      <c r="AB910" s="53">
        <f>STOCK[[#This Row],[Stock Actual]]*STOCK[[#This Row],[Costo total]]</f>
        <v>0</v>
      </c>
    </row>
    <row r="911" s="54" customFormat="1" ht="50" customHeight="1" spans="1:28">
      <c r="A911" s="54" t="s">
        <v>1815</v>
      </c>
      <c r="B911" s="66"/>
      <c r="C911" s="54" t="s">
        <v>32</v>
      </c>
      <c r="D911" s="54" t="s">
        <v>1816</v>
      </c>
      <c r="E911" s="68" t="s">
        <v>1817</v>
      </c>
      <c r="F911" s="54" t="s">
        <v>49</v>
      </c>
      <c r="G911" s="54" t="s">
        <v>36</v>
      </c>
      <c r="H911" s="54">
        <f>STOCK[[#This Row],[Precio Final]]</f>
        <v>25</v>
      </c>
      <c r="I911" s="54">
        <f>STOCK[[#This Row],[Precio Venta Ideal (x1.5)]]</f>
        <v>13.8970588235294</v>
      </c>
      <c r="J911" s="72">
        <v>1</v>
      </c>
      <c r="K911" s="72">
        <f>SUMIFS(VENTAS[Cantidad],VENTAS[Código del producto Vendido],STOCK[[#This Row],[Code]])</f>
        <v>0</v>
      </c>
      <c r="L911" s="72">
        <f>STOCK[[#This Row],[Entradas]]-STOCK[[#This Row],[Salidas]]</f>
        <v>1</v>
      </c>
      <c r="M911" s="54">
        <f>STOCK[[#This Row],[Precio Final]]*10%</f>
        <v>2.5</v>
      </c>
      <c r="N911" s="54">
        <v>115</v>
      </c>
      <c r="O911" s="54">
        <v>17</v>
      </c>
      <c r="P911" s="54">
        <v>6.76470588235294</v>
      </c>
      <c r="Q911" s="72">
        <v>0</v>
      </c>
      <c r="R911" s="54">
        <v>0</v>
      </c>
      <c r="S911" s="54">
        <v>0</v>
      </c>
      <c r="T911" s="53">
        <f>STOCK[[#This Row],[Costo Unitario (USD)]]+STOCK[[#This Row],[Costo Envío (USD)]]+STOCK[[#This Row],[Comisión 10%]]</f>
        <v>9.26470588235294</v>
      </c>
      <c r="U911" s="54">
        <f>STOCK[[#This Row],[Costo total]]*1.5</f>
        <v>13.8970588235294</v>
      </c>
      <c r="V911" s="54">
        <v>25</v>
      </c>
      <c r="W911" s="54">
        <f>STOCK[[#This Row],[Precio Final]]-STOCK[[#This Row],[Costo total]]</f>
        <v>15.7352941176471</v>
      </c>
      <c r="X911" s="54">
        <f>STOCK[[#This Row],[Ganancia Unitaria]]*STOCK[[#This Row],[Salidas]]</f>
        <v>0</v>
      </c>
      <c r="AA911" s="54">
        <f>STOCK[[#This Row],[Costo total]]*STOCK[[#This Row],[Entradas]]</f>
        <v>9.26470588235294</v>
      </c>
      <c r="AB911" s="54">
        <f>STOCK[[#This Row],[Stock Actual]]*STOCK[[#This Row],[Costo total]]</f>
        <v>9.26470588235294</v>
      </c>
    </row>
    <row r="912" s="53" customFormat="1" ht="50" customHeight="1" spans="1:28">
      <c r="A912" s="53" t="s">
        <v>1818</v>
      </c>
      <c r="B912" s="66"/>
      <c r="C912" s="53" t="s">
        <v>32</v>
      </c>
      <c r="D912" s="53" t="s">
        <v>1819</v>
      </c>
      <c r="E912" s="67" t="s">
        <v>1820</v>
      </c>
      <c r="F912" s="53" t="s">
        <v>1821</v>
      </c>
      <c r="G912" s="53" t="s">
        <v>1296</v>
      </c>
      <c r="H912" s="53">
        <f>STOCK[[#This Row],[Precio Final]]</f>
        <v>22</v>
      </c>
      <c r="I912" s="53">
        <f>STOCK[[#This Row],[Precio Venta Ideal (x1.5)]]</f>
        <v>19.485</v>
      </c>
      <c r="J912" s="71">
        <v>4</v>
      </c>
      <c r="K912" s="71">
        <f>SUMIFS(VENTAS[Cantidad],VENTAS[Código del producto Vendido],STOCK[[#This Row],[Code]])</f>
        <v>4</v>
      </c>
      <c r="L912" s="71">
        <f>STOCK[[#This Row],[Entradas]]-STOCK[[#This Row],[Salidas]]</f>
        <v>0</v>
      </c>
      <c r="M912" s="53">
        <f>STOCK[[#This Row],[Precio Final]]*10%</f>
        <v>2.2</v>
      </c>
      <c r="N912" s="53">
        <v>0</v>
      </c>
      <c r="O912" s="53">
        <v>0</v>
      </c>
      <c r="P912" s="53">
        <v>8.99</v>
      </c>
      <c r="Q912" s="71">
        <v>0</v>
      </c>
      <c r="R912" s="53">
        <v>0</v>
      </c>
      <c r="S912" s="53">
        <v>1.8</v>
      </c>
      <c r="T912" s="53">
        <f>STOCK[[#This Row],[Costo Unitario (USD)]]+STOCK[[#This Row],[Costo Envío (USD)]]+STOCK[[#This Row],[Comisión 10%]]</f>
        <v>12.99</v>
      </c>
      <c r="U912" s="53">
        <f>STOCK[[#This Row],[Costo total]]*1.5</f>
        <v>19.485</v>
      </c>
      <c r="V912" s="53">
        <v>22</v>
      </c>
      <c r="W912" s="53">
        <f>STOCK[[#This Row],[Precio Final]]-STOCK[[#This Row],[Costo total]]</f>
        <v>9.01</v>
      </c>
      <c r="X912" s="53">
        <f>STOCK[[#This Row],[Ganancia Unitaria]]*STOCK[[#This Row],[Salidas]]</f>
        <v>36.04</v>
      </c>
      <c r="Y912" s="53" t="s">
        <v>1822</v>
      </c>
      <c r="AA912" s="53">
        <f>STOCK[[#This Row],[Costo total]]*STOCK[[#This Row],[Entradas]]</f>
        <v>51.96</v>
      </c>
      <c r="AB912" s="53">
        <f>STOCK[[#This Row],[Stock Actual]]*STOCK[[#This Row],[Costo total]]</f>
        <v>0</v>
      </c>
    </row>
    <row r="913" s="54" customFormat="1" ht="50" customHeight="1" spans="1:28">
      <c r="A913" s="54" t="s">
        <v>1823</v>
      </c>
      <c r="B913" s="66"/>
      <c r="C913" s="54" t="s">
        <v>32</v>
      </c>
      <c r="D913" s="54" t="s">
        <v>1819</v>
      </c>
      <c r="E913" s="68" t="s">
        <v>1820</v>
      </c>
      <c r="F913" s="54" t="s">
        <v>1824</v>
      </c>
      <c r="G913" s="54" t="s">
        <v>1296</v>
      </c>
      <c r="H913" s="54">
        <f>STOCK[[#This Row],[Precio Final]]</f>
        <v>22</v>
      </c>
      <c r="I913" s="54">
        <f>STOCK[[#This Row],[Precio Venta Ideal (x1.5)]]</f>
        <v>19.485</v>
      </c>
      <c r="J913" s="72">
        <v>1</v>
      </c>
      <c r="K913" s="72">
        <f>SUMIFS(VENTAS[Cantidad],VENTAS[Código del producto Vendido],STOCK[[#This Row],[Code]])</f>
        <v>1</v>
      </c>
      <c r="L913" s="72">
        <f>STOCK[[#This Row],[Entradas]]-STOCK[[#This Row],[Salidas]]</f>
        <v>0</v>
      </c>
      <c r="M913" s="54">
        <f>STOCK[[#This Row],[Precio Final]]*10%</f>
        <v>2.2</v>
      </c>
      <c r="N913" s="54">
        <v>0</v>
      </c>
      <c r="O913" s="54">
        <v>0</v>
      </c>
      <c r="P913" s="54">
        <v>8.99</v>
      </c>
      <c r="Q913" s="72">
        <v>0</v>
      </c>
      <c r="R913" s="54">
        <v>0</v>
      </c>
      <c r="S913" s="54">
        <v>1.8</v>
      </c>
      <c r="T913" s="53">
        <f>STOCK[[#This Row],[Costo Unitario (USD)]]+STOCK[[#This Row],[Costo Envío (USD)]]+STOCK[[#This Row],[Comisión 10%]]</f>
        <v>12.99</v>
      </c>
      <c r="U913" s="54">
        <f>STOCK[[#This Row],[Costo total]]*1.5</f>
        <v>19.485</v>
      </c>
      <c r="V913" s="54">
        <v>22</v>
      </c>
      <c r="W913" s="54">
        <f>STOCK[[#This Row],[Precio Final]]-STOCK[[#This Row],[Costo total]]</f>
        <v>9.01</v>
      </c>
      <c r="X913" s="54">
        <f>STOCK[[#This Row],[Ganancia Unitaria]]*STOCK[[#This Row],[Salidas]]</f>
        <v>9.01</v>
      </c>
      <c r="Y913" s="54" t="s">
        <v>1822</v>
      </c>
      <c r="AA913" s="54">
        <f>STOCK[[#This Row],[Costo total]]*STOCK[[#This Row],[Entradas]]</f>
        <v>12.99</v>
      </c>
      <c r="AB913" s="54">
        <f>STOCK[[#This Row],[Stock Actual]]*STOCK[[#This Row],[Costo total]]</f>
        <v>0</v>
      </c>
    </row>
    <row r="914" s="53" customFormat="1" ht="50" customHeight="1" spans="1:28">
      <c r="A914" s="53" t="s">
        <v>1825</v>
      </c>
      <c r="B914" s="66"/>
      <c r="C914" s="53" t="s">
        <v>32</v>
      </c>
      <c r="D914" s="53" t="s">
        <v>44</v>
      </c>
      <c r="E914" s="67" t="s">
        <v>1820</v>
      </c>
      <c r="F914" s="53" t="s">
        <v>1826</v>
      </c>
      <c r="G914" s="53" t="s">
        <v>1296</v>
      </c>
      <c r="H914" s="53">
        <f>STOCK[[#This Row],[Precio Final]]</f>
        <v>22</v>
      </c>
      <c r="I914" s="53">
        <f>STOCK[[#This Row],[Precio Venta Ideal (x1.5)]]</f>
        <v>19.485</v>
      </c>
      <c r="J914" s="71">
        <v>2</v>
      </c>
      <c r="K914" s="71">
        <f>SUMIFS(VENTAS[Cantidad],VENTAS[Código del producto Vendido],STOCK[[#This Row],[Code]])</f>
        <v>2</v>
      </c>
      <c r="L914" s="71">
        <f>STOCK[[#This Row],[Entradas]]-STOCK[[#This Row],[Salidas]]</f>
        <v>0</v>
      </c>
      <c r="M914" s="53">
        <f>STOCK[[#This Row],[Precio Final]]*10%</f>
        <v>2.2</v>
      </c>
      <c r="N914" s="53">
        <v>0</v>
      </c>
      <c r="O914" s="53">
        <v>0</v>
      </c>
      <c r="P914" s="53">
        <v>8.99</v>
      </c>
      <c r="Q914" s="71">
        <v>0</v>
      </c>
      <c r="R914" s="53">
        <v>0</v>
      </c>
      <c r="S914" s="53">
        <v>1.8</v>
      </c>
      <c r="T914" s="53">
        <f>STOCK[[#This Row],[Costo Unitario (USD)]]+STOCK[[#This Row],[Costo Envío (USD)]]+STOCK[[#This Row],[Comisión 10%]]</f>
        <v>12.99</v>
      </c>
      <c r="U914" s="53">
        <f>STOCK[[#This Row],[Costo total]]*1.5</f>
        <v>19.485</v>
      </c>
      <c r="V914" s="53">
        <v>22</v>
      </c>
      <c r="W914" s="53">
        <f>STOCK[[#This Row],[Precio Final]]-STOCK[[#This Row],[Costo total]]</f>
        <v>9.01</v>
      </c>
      <c r="X914" s="53">
        <f>STOCK[[#This Row],[Ganancia Unitaria]]*STOCK[[#This Row],[Salidas]]</f>
        <v>18.02</v>
      </c>
      <c r="Y914" s="53" t="s">
        <v>1822</v>
      </c>
      <c r="AA914" s="53">
        <f>STOCK[[#This Row],[Costo total]]*STOCK[[#This Row],[Entradas]]</f>
        <v>25.98</v>
      </c>
      <c r="AB914" s="53">
        <f>STOCK[[#This Row],[Stock Actual]]*STOCK[[#This Row],[Costo total]]</f>
        <v>0</v>
      </c>
    </row>
    <row r="915" s="54" customFormat="1" ht="50" customHeight="1" spans="1:28">
      <c r="A915" s="54" t="s">
        <v>1827</v>
      </c>
      <c r="B915" s="66"/>
      <c r="C915" s="54" t="s">
        <v>32</v>
      </c>
      <c r="D915" s="54" t="s">
        <v>488</v>
      </c>
      <c r="E915" s="68" t="s">
        <v>1828</v>
      </c>
      <c r="F915" s="54" t="s">
        <v>525</v>
      </c>
      <c r="G915" s="54" t="s">
        <v>1296</v>
      </c>
      <c r="H915" s="54">
        <f>STOCK[[#This Row],[Precio Final]]</f>
        <v>25</v>
      </c>
      <c r="I915" s="54">
        <f>STOCK[[#This Row],[Precio Venta Ideal (x1.5)]]</f>
        <v>21.435</v>
      </c>
      <c r="J915" s="72">
        <v>2</v>
      </c>
      <c r="K915" s="72">
        <f>SUMIFS(VENTAS[Cantidad],VENTAS[Código del producto Vendido],STOCK[[#This Row],[Code]])</f>
        <v>1</v>
      </c>
      <c r="L915" s="72">
        <f>STOCK[[#This Row],[Entradas]]-STOCK[[#This Row],[Salidas]]</f>
        <v>1</v>
      </c>
      <c r="M915" s="54">
        <f>STOCK[[#This Row],[Precio Final]]*10%</f>
        <v>2.5</v>
      </c>
      <c r="N915" s="54">
        <v>0</v>
      </c>
      <c r="O915" s="54">
        <v>0</v>
      </c>
      <c r="P915" s="54">
        <v>9.99</v>
      </c>
      <c r="Q915" s="72">
        <v>0</v>
      </c>
      <c r="R915" s="54">
        <v>0</v>
      </c>
      <c r="S915" s="54">
        <v>1.8</v>
      </c>
      <c r="T915" s="53">
        <f>STOCK[[#This Row],[Costo Unitario (USD)]]+STOCK[[#This Row],[Costo Envío (USD)]]+STOCK[[#This Row],[Comisión 10%]]</f>
        <v>14.29</v>
      </c>
      <c r="U915" s="54">
        <f>STOCK[[#This Row],[Costo total]]*1.5</f>
        <v>21.435</v>
      </c>
      <c r="V915" s="54">
        <v>25</v>
      </c>
      <c r="W915" s="54">
        <f>STOCK[[#This Row],[Precio Final]]-STOCK[[#This Row],[Costo total]]</f>
        <v>10.71</v>
      </c>
      <c r="X915" s="54">
        <f>STOCK[[#This Row],[Ganancia Unitaria]]*STOCK[[#This Row],[Salidas]]</f>
        <v>10.71</v>
      </c>
      <c r="Y915" s="54" t="s">
        <v>1822</v>
      </c>
      <c r="AA915" s="54">
        <f>STOCK[[#This Row],[Costo total]]*STOCK[[#This Row],[Entradas]]</f>
        <v>28.58</v>
      </c>
      <c r="AB915" s="54">
        <f>STOCK[[#This Row],[Stock Actual]]*STOCK[[#This Row],[Costo total]]</f>
        <v>14.29</v>
      </c>
    </row>
    <row r="916" s="53" customFormat="1" ht="50" customHeight="1" spans="1:28">
      <c r="A916" s="53" t="s">
        <v>1829</v>
      </c>
      <c r="B916" s="66"/>
      <c r="C916" s="53" t="s">
        <v>32</v>
      </c>
      <c r="D916" s="53" t="s">
        <v>1830</v>
      </c>
      <c r="E916" s="67" t="s">
        <v>1831</v>
      </c>
      <c r="F916" s="53" t="s">
        <v>46</v>
      </c>
      <c r="G916" s="53" t="s">
        <v>1296</v>
      </c>
      <c r="H916" s="53">
        <f>STOCK[[#This Row],[Precio Final]]</f>
        <v>30</v>
      </c>
      <c r="I916" s="53">
        <f>STOCK[[#This Row],[Precio Venta Ideal (x1.5)]]</f>
        <v>29.685</v>
      </c>
      <c r="J916" s="71">
        <v>2</v>
      </c>
      <c r="K916" s="71">
        <f>SUMIFS(VENTAS[Cantidad],VENTAS[Código del producto Vendido],STOCK[[#This Row],[Code]])</f>
        <v>1</v>
      </c>
      <c r="L916" s="71">
        <f>STOCK[[#This Row],[Entradas]]-STOCK[[#This Row],[Salidas]]</f>
        <v>1</v>
      </c>
      <c r="M916" s="53">
        <f>STOCK[[#This Row],[Precio Final]]*10%</f>
        <v>3</v>
      </c>
      <c r="N916" s="53">
        <v>0</v>
      </c>
      <c r="O916" s="53">
        <v>0</v>
      </c>
      <c r="P916" s="53">
        <v>14.99</v>
      </c>
      <c r="Q916" s="71">
        <v>0</v>
      </c>
      <c r="R916" s="53">
        <v>0</v>
      </c>
      <c r="S916" s="53">
        <v>1.8</v>
      </c>
      <c r="T916" s="53">
        <f>STOCK[[#This Row],[Costo Unitario (USD)]]+STOCK[[#This Row],[Costo Envío (USD)]]+STOCK[[#This Row],[Comisión 10%]]</f>
        <v>19.79</v>
      </c>
      <c r="U916" s="53">
        <f>STOCK[[#This Row],[Costo total]]*1.5</f>
        <v>29.685</v>
      </c>
      <c r="V916" s="53">
        <v>30</v>
      </c>
      <c r="W916" s="53">
        <f>STOCK[[#This Row],[Precio Final]]-STOCK[[#This Row],[Costo total]]</f>
        <v>10.21</v>
      </c>
      <c r="X916" s="53">
        <f>STOCK[[#This Row],[Ganancia Unitaria]]*STOCK[[#This Row],[Salidas]]</f>
        <v>10.21</v>
      </c>
      <c r="Y916" s="53" t="s">
        <v>1822</v>
      </c>
      <c r="AA916" s="53">
        <f>STOCK[[#This Row],[Costo total]]*STOCK[[#This Row],[Entradas]]</f>
        <v>39.58</v>
      </c>
      <c r="AB916" s="53">
        <f>STOCK[[#This Row],[Stock Actual]]*STOCK[[#This Row],[Costo total]]</f>
        <v>19.79</v>
      </c>
    </row>
    <row r="917" s="54" customFormat="1" ht="50" customHeight="1" spans="1:28">
      <c r="A917" s="54" t="s">
        <v>1832</v>
      </c>
      <c r="B917" s="66"/>
      <c r="C917" s="54" t="s">
        <v>32</v>
      </c>
      <c r="D917" s="54" t="s">
        <v>1830</v>
      </c>
      <c r="E917" s="68" t="s">
        <v>1833</v>
      </c>
      <c r="F917" s="54" t="s">
        <v>62</v>
      </c>
      <c r="G917" s="54" t="s">
        <v>1296</v>
      </c>
      <c r="H917" s="54">
        <f>STOCK[[#This Row],[Precio Final]]</f>
        <v>25</v>
      </c>
      <c r="I917" s="54">
        <f>STOCK[[#This Row],[Precio Venta Ideal (x1.5)]]</f>
        <v>21.435</v>
      </c>
      <c r="J917" s="72">
        <v>1</v>
      </c>
      <c r="K917" s="72">
        <f>SUMIFS(VENTAS[Cantidad],VENTAS[Código del producto Vendido],STOCK[[#This Row],[Code]])</f>
        <v>1</v>
      </c>
      <c r="L917" s="72">
        <f>STOCK[[#This Row],[Entradas]]-STOCK[[#This Row],[Salidas]]</f>
        <v>0</v>
      </c>
      <c r="M917" s="54">
        <f>STOCK[[#This Row],[Precio Final]]*10%</f>
        <v>2.5</v>
      </c>
      <c r="N917" s="54">
        <v>0</v>
      </c>
      <c r="O917" s="54">
        <v>0</v>
      </c>
      <c r="P917" s="54">
        <v>9.99</v>
      </c>
      <c r="Q917" s="72">
        <v>0</v>
      </c>
      <c r="R917" s="54">
        <v>0</v>
      </c>
      <c r="S917" s="54">
        <v>1.8</v>
      </c>
      <c r="T917" s="53">
        <f>STOCK[[#This Row],[Costo Unitario (USD)]]+STOCK[[#This Row],[Costo Envío (USD)]]+STOCK[[#This Row],[Comisión 10%]]</f>
        <v>14.29</v>
      </c>
      <c r="U917" s="54">
        <f>STOCK[[#This Row],[Costo total]]*1.5</f>
        <v>21.435</v>
      </c>
      <c r="V917" s="54">
        <v>25</v>
      </c>
      <c r="W917" s="54">
        <f>STOCK[[#This Row],[Precio Final]]-STOCK[[#This Row],[Costo total]]</f>
        <v>10.71</v>
      </c>
      <c r="X917" s="54">
        <f>STOCK[[#This Row],[Ganancia Unitaria]]*STOCK[[#This Row],[Salidas]]</f>
        <v>10.71</v>
      </c>
      <c r="Y917" s="54" t="s">
        <v>1822</v>
      </c>
      <c r="AA917" s="54">
        <f>STOCK[[#This Row],[Costo total]]*STOCK[[#This Row],[Entradas]]</f>
        <v>14.29</v>
      </c>
      <c r="AB917" s="54">
        <f>STOCK[[#This Row],[Stock Actual]]*STOCK[[#This Row],[Costo total]]</f>
        <v>0</v>
      </c>
    </row>
    <row r="918" s="53" customFormat="1" ht="50" customHeight="1" spans="1:28">
      <c r="A918" s="53" t="s">
        <v>1834</v>
      </c>
      <c r="B918" s="66"/>
      <c r="C918" s="53" t="s">
        <v>32</v>
      </c>
      <c r="D918" s="53" t="s">
        <v>1830</v>
      </c>
      <c r="E918" s="67" t="s">
        <v>1833</v>
      </c>
      <c r="F918" s="53" t="s">
        <v>49</v>
      </c>
      <c r="G918" s="53" t="s">
        <v>1296</v>
      </c>
      <c r="H918" s="53">
        <f>STOCK[[#This Row],[Precio Final]]</f>
        <v>25</v>
      </c>
      <c r="I918" s="53">
        <f>STOCK[[#This Row],[Precio Venta Ideal (x1.5)]]</f>
        <v>21.435</v>
      </c>
      <c r="J918" s="71">
        <v>1</v>
      </c>
      <c r="K918" s="71">
        <f>SUMIFS(VENTAS[Cantidad],VENTAS[Código del producto Vendido],STOCK[[#This Row],[Code]])</f>
        <v>1</v>
      </c>
      <c r="L918" s="71">
        <f>STOCK[[#This Row],[Entradas]]-STOCK[[#This Row],[Salidas]]</f>
        <v>0</v>
      </c>
      <c r="M918" s="53">
        <f>STOCK[[#This Row],[Precio Final]]*10%</f>
        <v>2.5</v>
      </c>
      <c r="N918" s="53">
        <v>0</v>
      </c>
      <c r="O918" s="53">
        <v>0</v>
      </c>
      <c r="P918" s="53">
        <v>9.99</v>
      </c>
      <c r="Q918" s="71">
        <v>0</v>
      </c>
      <c r="R918" s="53">
        <v>0</v>
      </c>
      <c r="S918" s="53">
        <v>1.8</v>
      </c>
      <c r="T918" s="53">
        <f>STOCK[[#This Row],[Costo Unitario (USD)]]+STOCK[[#This Row],[Costo Envío (USD)]]+STOCK[[#This Row],[Comisión 10%]]</f>
        <v>14.29</v>
      </c>
      <c r="U918" s="53">
        <f>STOCK[[#This Row],[Costo total]]*1.5</f>
        <v>21.435</v>
      </c>
      <c r="V918" s="53">
        <v>25</v>
      </c>
      <c r="W918" s="53">
        <f>STOCK[[#This Row],[Precio Final]]-STOCK[[#This Row],[Costo total]]</f>
        <v>10.71</v>
      </c>
      <c r="X918" s="53">
        <f>STOCK[[#This Row],[Ganancia Unitaria]]*STOCK[[#This Row],[Salidas]]</f>
        <v>10.71</v>
      </c>
      <c r="Y918" s="53" t="s">
        <v>1822</v>
      </c>
      <c r="AA918" s="53">
        <f>STOCK[[#This Row],[Costo total]]*STOCK[[#This Row],[Entradas]]</f>
        <v>14.29</v>
      </c>
      <c r="AB918" s="53">
        <f>STOCK[[#This Row],[Stock Actual]]*STOCK[[#This Row],[Costo total]]</f>
        <v>0</v>
      </c>
    </row>
    <row r="919" s="54" customFormat="1" ht="50" customHeight="1" spans="1:28">
      <c r="A919" s="54" t="s">
        <v>1835</v>
      </c>
      <c r="B919" s="66"/>
      <c r="C919" s="54" t="s">
        <v>32</v>
      </c>
      <c r="D919" s="54" t="s">
        <v>1830</v>
      </c>
      <c r="E919" s="68" t="s">
        <v>1836</v>
      </c>
      <c r="F919" s="54" t="s">
        <v>1837</v>
      </c>
      <c r="G919" s="54" t="s">
        <v>1296</v>
      </c>
      <c r="H919" s="54">
        <f>STOCK[[#This Row],[Precio Final]]</f>
        <v>30</v>
      </c>
      <c r="I919" s="54">
        <f>STOCK[[#This Row],[Precio Venta Ideal (x1.5)]]</f>
        <v>22.185</v>
      </c>
      <c r="J919" s="72">
        <v>3</v>
      </c>
      <c r="K919" s="72">
        <f>SUMIFS(VENTAS[Cantidad],VENTAS[Código del producto Vendido],STOCK[[#This Row],[Code]])</f>
        <v>1</v>
      </c>
      <c r="L919" s="72">
        <f>STOCK[[#This Row],[Entradas]]-STOCK[[#This Row],[Salidas]]</f>
        <v>2</v>
      </c>
      <c r="M919" s="54">
        <f>STOCK[[#This Row],[Precio Final]]*10%</f>
        <v>3</v>
      </c>
      <c r="N919" s="54">
        <v>0</v>
      </c>
      <c r="O919" s="54">
        <v>0</v>
      </c>
      <c r="P919" s="54">
        <v>9.99</v>
      </c>
      <c r="Q919" s="72">
        <v>0</v>
      </c>
      <c r="R919" s="54">
        <v>0</v>
      </c>
      <c r="S919" s="54">
        <v>1.8</v>
      </c>
      <c r="T919" s="53">
        <f>STOCK[[#This Row],[Costo Unitario (USD)]]+STOCK[[#This Row],[Costo Envío (USD)]]+STOCK[[#This Row],[Comisión 10%]]</f>
        <v>14.79</v>
      </c>
      <c r="U919" s="54">
        <f>STOCK[[#This Row],[Costo total]]*1.5</f>
        <v>22.185</v>
      </c>
      <c r="V919" s="54">
        <v>30</v>
      </c>
      <c r="W919" s="54">
        <f>STOCK[[#This Row],[Precio Final]]-STOCK[[#This Row],[Costo total]]</f>
        <v>15.21</v>
      </c>
      <c r="X919" s="54">
        <f>STOCK[[#This Row],[Ganancia Unitaria]]*STOCK[[#This Row],[Salidas]]</f>
        <v>15.21</v>
      </c>
      <c r="Y919" s="54" t="s">
        <v>1822</v>
      </c>
      <c r="AA919" s="54">
        <f>STOCK[[#This Row],[Costo total]]*STOCK[[#This Row],[Entradas]]</f>
        <v>44.37</v>
      </c>
      <c r="AB919" s="54">
        <f>STOCK[[#This Row],[Stock Actual]]*STOCK[[#This Row],[Costo total]]</f>
        <v>29.58</v>
      </c>
    </row>
    <row r="920" s="53" customFormat="1" ht="50" customHeight="1" spans="1:28">
      <c r="A920" s="53" t="s">
        <v>1838</v>
      </c>
      <c r="B920" s="66"/>
      <c r="C920" s="53" t="s">
        <v>32</v>
      </c>
      <c r="D920" s="53" t="s">
        <v>1819</v>
      </c>
      <c r="E920" s="67" t="s">
        <v>1839</v>
      </c>
      <c r="F920" s="53" t="s">
        <v>1840</v>
      </c>
      <c r="G920" s="53" t="s">
        <v>1296</v>
      </c>
      <c r="H920" s="53">
        <f>STOCK[[#This Row],[Precio Final]]</f>
        <v>20</v>
      </c>
      <c r="I920" s="53">
        <f>STOCK[[#This Row],[Precio Venta Ideal (x1.5)]]</f>
        <v>20.685</v>
      </c>
      <c r="J920" s="71">
        <v>2</v>
      </c>
      <c r="K920" s="71">
        <f>SUMIFS(VENTAS[Cantidad],VENTAS[Código del producto Vendido],STOCK[[#This Row],[Code]])</f>
        <v>2</v>
      </c>
      <c r="L920" s="71">
        <f>STOCK[[#This Row],[Entradas]]-STOCK[[#This Row],[Salidas]]</f>
        <v>0</v>
      </c>
      <c r="M920" s="53">
        <f>STOCK[[#This Row],[Precio Final]]*10%</f>
        <v>2</v>
      </c>
      <c r="N920" s="53">
        <v>0</v>
      </c>
      <c r="O920" s="53">
        <v>0</v>
      </c>
      <c r="P920" s="53">
        <v>9.99</v>
      </c>
      <c r="Q920" s="71">
        <v>0</v>
      </c>
      <c r="R920" s="53">
        <v>0</v>
      </c>
      <c r="S920" s="53">
        <v>1.8</v>
      </c>
      <c r="T920" s="53">
        <f>STOCK[[#This Row],[Costo Unitario (USD)]]+STOCK[[#This Row],[Costo Envío (USD)]]+STOCK[[#This Row],[Comisión 10%]]</f>
        <v>13.79</v>
      </c>
      <c r="U920" s="53">
        <f>STOCK[[#This Row],[Costo total]]*1.5</f>
        <v>20.685</v>
      </c>
      <c r="V920" s="53">
        <v>20</v>
      </c>
      <c r="W920" s="53">
        <f>STOCK[[#This Row],[Precio Final]]-STOCK[[#This Row],[Costo total]]</f>
        <v>6.21</v>
      </c>
      <c r="X920" s="53">
        <f>STOCK[[#This Row],[Ganancia Unitaria]]*STOCK[[#This Row],[Salidas]]</f>
        <v>12.42</v>
      </c>
      <c r="Y920" s="53" t="s">
        <v>1822</v>
      </c>
      <c r="AA920" s="53">
        <f>STOCK[[#This Row],[Costo total]]*STOCK[[#This Row],[Entradas]]</f>
        <v>27.58</v>
      </c>
      <c r="AB920" s="53">
        <f>STOCK[[#This Row],[Stock Actual]]*STOCK[[#This Row],[Costo total]]</f>
        <v>0</v>
      </c>
    </row>
    <row r="921" s="54" customFormat="1" ht="50" customHeight="1" spans="1:28">
      <c r="A921" s="54" t="s">
        <v>1841</v>
      </c>
      <c r="B921" s="66"/>
      <c r="C921" s="54" t="s">
        <v>32</v>
      </c>
      <c r="D921" s="54" t="s">
        <v>1819</v>
      </c>
      <c r="E921" s="68" t="s">
        <v>1839</v>
      </c>
      <c r="F921" s="54" t="s">
        <v>1842</v>
      </c>
      <c r="G921" s="54" t="s">
        <v>1296</v>
      </c>
      <c r="H921" s="54">
        <f>STOCK[[#This Row],[Precio Final]]</f>
        <v>20</v>
      </c>
      <c r="I921" s="54">
        <f>STOCK[[#This Row],[Precio Venta Ideal (x1.5)]]</f>
        <v>20.685</v>
      </c>
      <c r="J921" s="72">
        <v>2</v>
      </c>
      <c r="K921" s="72">
        <f>SUMIFS(VENTAS[Cantidad],VENTAS[Código del producto Vendido],STOCK[[#This Row],[Code]])</f>
        <v>2</v>
      </c>
      <c r="L921" s="72">
        <f>STOCK[[#This Row],[Entradas]]-STOCK[[#This Row],[Salidas]]</f>
        <v>0</v>
      </c>
      <c r="M921" s="54">
        <f>STOCK[[#This Row],[Precio Final]]*10%</f>
        <v>2</v>
      </c>
      <c r="N921" s="54">
        <v>0</v>
      </c>
      <c r="O921" s="54">
        <v>0</v>
      </c>
      <c r="P921" s="54">
        <v>9.99</v>
      </c>
      <c r="Q921" s="72">
        <v>0</v>
      </c>
      <c r="R921" s="54">
        <v>0</v>
      </c>
      <c r="S921" s="54">
        <v>1.8</v>
      </c>
      <c r="T921" s="53">
        <f>STOCK[[#This Row],[Costo Unitario (USD)]]+STOCK[[#This Row],[Costo Envío (USD)]]+STOCK[[#This Row],[Comisión 10%]]</f>
        <v>13.79</v>
      </c>
      <c r="U921" s="54">
        <f>STOCK[[#This Row],[Costo total]]*1.5</f>
        <v>20.685</v>
      </c>
      <c r="V921" s="54">
        <v>20</v>
      </c>
      <c r="W921" s="54">
        <f>STOCK[[#This Row],[Precio Final]]-STOCK[[#This Row],[Costo total]]</f>
        <v>6.21</v>
      </c>
      <c r="X921" s="54">
        <f>STOCK[[#This Row],[Ganancia Unitaria]]*STOCK[[#This Row],[Salidas]]</f>
        <v>12.42</v>
      </c>
      <c r="Y921" s="54" t="s">
        <v>1822</v>
      </c>
      <c r="AA921" s="54">
        <f>STOCK[[#This Row],[Costo total]]*STOCK[[#This Row],[Entradas]]</f>
        <v>27.58</v>
      </c>
      <c r="AB921" s="54">
        <f>STOCK[[#This Row],[Stock Actual]]*STOCK[[#This Row],[Costo total]]</f>
        <v>0</v>
      </c>
    </row>
    <row r="922" s="53" customFormat="1" ht="50" customHeight="1" spans="1:28">
      <c r="A922" s="53" t="s">
        <v>1843</v>
      </c>
      <c r="B922" s="66"/>
      <c r="C922" s="53" t="s">
        <v>32</v>
      </c>
      <c r="D922" s="53" t="s">
        <v>1819</v>
      </c>
      <c r="E922" s="67" t="s">
        <v>1839</v>
      </c>
      <c r="F922" s="53" t="s">
        <v>1844</v>
      </c>
      <c r="G922" s="53" t="s">
        <v>1296</v>
      </c>
      <c r="H922" s="53">
        <f>STOCK[[#This Row],[Precio Final]]</f>
        <v>20</v>
      </c>
      <c r="I922" s="53">
        <f>STOCK[[#This Row],[Precio Venta Ideal (x1.5)]]</f>
        <v>20.685</v>
      </c>
      <c r="J922" s="71">
        <v>1</v>
      </c>
      <c r="K922" s="71">
        <f>SUMIFS(VENTAS[Cantidad],VENTAS[Código del producto Vendido],STOCK[[#This Row],[Code]])</f>
        <v>1</v>
      </c>
      <c r="L922" s="71">
        <f>STOCK[[#This Row],[Entradas]]-STOCK[[#This Row],[Salidas]]</f>
        <v>0</v>
      </c>
      <c r="M922" s="53">
        <f>STOCK[[#This Row],[Precio Final]]*10%</f>
        <v>2</v>
      </c>
      <c r="N922" s="53">
        <v>0</v>
      </c>
      <c r="O922" s="53">
        <v>0</v>
      </c>
      <c r="P922" s="53">
        <v>9.99</v>
      </c>
      <c r="Q922" s="71">
        <v>0</v>
      </c>
      <c r="R922" s="53">
        <v>0</v>
      </c>
      <c r="S922" s="53">
        <v>1.8</v>
      </c>
      <c r="T922" s="53">
        <f>STOCK[[#This Row],[Costo Unitario (USD)]]+STOCK[[#This Row],[Costo Envío (USD)]]+STOCK[[#This Row],[Comisión 10%]]</f>
        <v>13.79</v>
      </c>
      <c r="U922" s="53">
        <f>STOCK[[#This Row],[Costo total]]*1.5</f>
        <v>20.685</v>
      </c>
      <c r="V922" s="53">
        <v>20</v>
      </c>
      <c r="W922" s="53">
        <f>STOCK[[#This Row],[Precio Final]]-STOCK[[#This Row],[Costo total]]</f>
        <v>6.21</v>
      </c>
      <c r="X922" s="53">
        <f>STOCK[[#This Row],[Ganancia Unitaria]]*STOCK[[#This Row],[Salidas]]</f>
        <v>6.21</v>
      </c>
      <c r="Y922" s="53" t="s">
        <v>1822</v>
      </c>
      <c r="AA922" s="53">
        <f>STOCK[[#This Row],[Costo total]]*STOCK[[#This Row],[Entradas]]</f>
        <v>13.79</v>
      </c>
      <c r="AB922" s="53">
        <f>STOCK[[#This Row],[Stock Actual]]*STOCK[[#This Row],[Costo total]]</f>
        <v>0</v>
      </c>
    </row>
    <row r="923" s="54" customFormat="1" ht="50" customHeight="1" spans="1:28">
      <c r="A923" s="54" t="s">
        <v>1845</v>
      </c>
      <c r="B923" s="66"/>
      <c r="C923" s="54" t="s">
        <v>32</v>
      </c>
      <c r="D923" s="54" t="s">
        <v>1819</v>
      </c>
      <c r="E923" s="68" t="s">
        <v>1846</v>
      </c>
      <c r="F923" s="54" t="s">
        <v>49</v>
      </c>
      <c r="G923" s="54" t="s">
        <v>1296</v>
      </c>
      <c r="H923" s="54">
        <f>STOCK[[#This Row],[Precio Final]]</f>
        <v>30</v>
      </c>
      <c r="I923" s="54">
        <f>STOCK[[#This Row],[Precio Venta Ideal (x1.5)]]</f>
        <v>25.935</v>
      </c>
      <c r="J923" s="72">
        <v>1</v>
      </c>
      <c r="K923" s="72">
        <f>SUMIFS(VENTAS[Cantidad],VENTAS[Código del producto Vendido],STOCK[[#This Row],[Code]])</f>
        <v>0</v>
      </c>
      <c r="L923" s="72">
        <f>STOCK[[#This Row],[Entradas]]-STOCK[[#This Row],[Salidas]]</f>
        <v>1</v>
      </c>
      <c r="M923" s="54">
        <f>STOCK[[#This Row],[Precio Final]]*10%</f>
        <v>3</v>
      </c>
      <c r="N923" s="54">
        <v>0</v>
      </c>
      <c r="O923" s="54">
        <v>0</v>
      </c>
      <c r="P923" s="54">
        <v>12.49</v>
      </c>
      <c r="Q923" s="72">
        <v>0</v>
      </c>
      <c r="R923" s="54">
        <v>0</v>
      </c>
      <c r="S923" s="54">
        <v>1.8</v>
      </c>
      <c r="T923" s="53">
        <f>STOCK[[#This Row],[Costo Unitario (USD)]]+STOCK[[#This Row],[Costo Envío (USD)]]+STOCK[[#This Row],[Comisión 10%]]</f>
        <v>17.29</v>
      </c>
      <c r="U923" s="54">
        <f>STOCK[[#This Row],[Costo total]]*1.5</f>
        <v>25.935</v>
      </c>
      <c r="V923" s="54">
        <v>30</v>
      </c>
      <c r="W923" s="54">
        <f>STOCK[[#This Row],[Precio Final]]-STOCK[[#This Row],[Costo total]]</f>
        <v>12.71</v>
      </c>
      <c r="X923" s="54">
        <f>STOCK[[#This Row],[Ganancia Unitaria]]*STOCK[[#This Row],[Salidas]]</f>
        <v>0</v>
      </c>
      <c r="Y923" s="54" t="s">
        <v>1822</v>
      </c>
      <c r="AA923" s="54">
        <f>STOCK[[#This Row],[Costo total]]*STOCK[[#This Row],[Entradas]]</f>
        <v>17.29</v>
      </c>
      <c r="AB923" s="54">
        <f>STOCK[[#This Row],[Stock Actual]]*STOCK[[#This Row],[Costo total]]</f>
        <v>17.29</v>
      </c>
    </row>
    <row r="924" s="53" customFormat="1" ht="50" customHeight="1" spans="1:28">
      <c r="A924" s="53" t="s">
        <v>1847</v>
      </c>
      <c r="B924" s="66"/>
      <c r="C924" s="53" t="s">
        <v>32</v>
      </c>
      <c r="D924" s="53" t="s">
        <v>488</v>
      </c>
      <c r="E924" s="67" t="s">
        <v>1848</v>
      </c>
      <c r="F924" s="53" t="s">
        <v>525</v>
      </c>
      <c r="G924" s="53" t="s">
        <v>1296</v>
      </c>
      <c r="H924" s="53">
        <f>STOCK[[#This Row],[Precio Final]]</f>
        <v>25</v>
      </c>
      <c r="I924" s="53">
        <f>STOCK[[#This Row],[Precio Venta Ideal (x1.5)]]</f>
        <v>23.685</v>
      </c>
      <c r="J924" s="71">
        <v>2</v>
      </c>
      <c r="K924" s="71">
        <f>SUMIFS(VENTAS[Cantidad],VENTAS[Código del producto Vendido],STOCK[[#This Row],[Code]])</f>
        <v>1</v>
      </c>
      <c r="L924" s="71">
        <f>STOCK[[#This Row],[Entradas]]-STOCK[[#This Row],[Salidas]]</f>
        <v>1</v>
      </c>
      <c r="M924" s="53">
        <f>STOCK[[#This Row],[Precio Final]]*10%</f>
        <v>2.5</v>
      </c>
      <c r="N924" s="53">
        <v>0</v>
      </c>
      <c r="O924" s="53">
        <v>0</v>
      </c>
      <c r="P924" s="53">
        <v>11.49</v>
      </c>
      <c r="Q924" s="71">
        <v>0</v>
      </c>
      <c r="R924" s="53">
        <v>0</v>
      </c>
      <c r="S924" s="53">
        <v>1.8</v>
      </c>
      <c r="T924" s="53">
        <f>STOCK[[#This Row],[Costo Unitario (USD)]]+STOCK[[#This Row],[Costo Envío (USD)]]+STOCK[[#This Row],[Comisión 10%]]</f>
        <v>15.79</v>
      </c>
      <c r="U924" s="53">
        <f>STOCK[[#This Row],[Costo total]]*1.5</f>
        <v>23.685</v>
      </c>
      <c r="V924" s="53">
        <v>25</v>
      </c>
      <c r="W924" s="53">
        <f>STOCK[[#This Row],[Precio Final]]-STOCK[[#This Row],[Costo total]]</f>
        <v>9.21</v>
      </c>
      <c r="X924" s="53">
        <f>STOCK[[#This Row],[Ganancia Unitaria]]*STOCK[[#This Row],[Salidas]]</f>
        <v>9.21</v>
      </c>
      <c r="Y924" s="53" t="s">
        <v>1822</v>
      </c>
      <c r="AA924" s="53">
        <f>STOCK[[#This Row],[Costo total]]*STOCK[[#This Row],[Entradas]]</f>
        <v>31.58</v>
      </c>
      <c r="AB924" s="53">
        <f>STOCK[[#This Row],[Stock Actual]]*STOCK[[#This Row],[Costo total]]</f>
        <v>15.79</v>
      </c>
    </row>
    <row r="925" s="54" customFormat="1" ht="50" customHeight="1" spans="1:28">
      <c r="A925" s="54" t="s">
        <v>1849</v>
      </c>
      <c r="B925" s="66"/>
      <c r="C925" s="54" t="s">
        <v>32</v>
      </c>
      <c r="D925" s="54" t="s">
        <v>488</v>
      </c>
      <c r="E925" s="68" t="s">
        <v>1850</v>
      </c>
      <c r="F925" s="54" t="s">
        <v>525</v>
      </c>
      <c r="G925" s="54" t="s">
        <v>1296</v>
      </c>
      <c r="H925" s="54">
        <f>STOCK[[#This Row],[Precio Final]]</f>
        <v>18</v>
      </c>
      <c r="I925" s="54">
        <f>STOCK[[#This Row],[Precio Venta Ideal (x1.5)]]</f>
        <v>18.885</v>
      </c>
      <c r="J925" s="72">
        <v>2</v>
      </c>
      <c r="K925" s="72">
        <f>SUMIFS(VENTAS[Cantidad],VENTAS[Código del producto Vendido],STOCK[[#This Row],[Code]])</f>
        <v>1</v>
      </c>
      <c r="L925" s="72">
        <f>STOCK[[#This Row],[Entradas]]-STOCK[[#This Row],[Salidas]]</f>
        <v>1</v>
      </c>
      <c r="M925" s="54">
        <f>STOCK[[#This Row],[Precio Final]]*10%</f>
        <v>1.8</v>
      </c>
      <c r="N925" s="54">
        <v>0</v>
      </c>
      <c r="O925" s="54">
        <v>0</v>
      </c>
      <c r="P925" s="54">
        <v>8.99</v>
      </c>
      <c r="Q925" s="72">
        <v>0</v>
      </c>
      <c r="R925" s="54">
        <v>0</v>
      </c>
      <c r="S925" s="54">
        <v>1.8</v>
      </c>
      <c r="T925" s="53">
        <f>STOCK[[#This Row],[Costo Unitario (USD)]]+STOCK[[#This Row],[Costo Envío (USD)]]+STOCK[[#This Row],[Comisión 10%]]</f>
        <v>12.59</v>
      </c>
      <c r="U925" s="54">
        <f>STOCK[[#This Row],[Costo total]]*1.5</f>
        <v>18.885</v>
      </c>
      <c r="V925" s="54">
        <v>18</v>
      </c>
      <c r="W925" s="54">
        <f>STOCK[[#This Row],[Precio Final]]-STOCK[[#This Row],[Costo total]]</f>
        <v>5.41</v>
      </c>
      <c r="X925" s="54">
        <f>STOCK[[#This Row],[Ganancia Unitaria]]*STOCK[[#This Row],[Salidas]]</f>
        <v>5.41</v>
      </c>
      <c r="Y925" s="54" t="s">
        <v>1822</v>
      </c>
      <c r="AA925" s="54">
        <f>STOCK[[#This Row],[Costo total]]*STOCK[[#This Row],[Entradas]]</f>
        <v>25.18</v>
      </c>
      <c r="AB925" s="54">
        <f>STOCK[[#This Row],[Stock Actual]]*STOCK[[#This Row],[Costo total]]</f>
        <v>12.59</v>
      </c>
    </row>
    <row r="926" s="53" customFormat="1" ht="50" customHeight="1" spans="1:28">
      <c r="A926" s="53" t="s">
        <v>1851</v>
      </c>
      <c r="B926" s="66"/>
      <c r="C926" s="53" t="s">
        <v>32</v>
      </c>
      <c r="D926" s="53" t="s">
        <v>488</v>
      </c>
      <c r="E926" s="67" t="s">
        <v>1852</v>
      </c>
      <c r="F926" s="53" t="s">
        <v>525</v>
      </c>
      <c r="G926" s="53" t="s">
        <v>1296</v>
      </c>
      <c r="H926" s="53">
        <f>STOCK[[#This Row],[Precio Final]]</f>
        <v>18</v>
      </c>
      <c r="I926" s="53">
        <f>STOCK[[#This Row],[Precio Venta Ideal (x1.5)]]</f>
        <v>20.385</v>
      </c>
      <c r="J926" s="71">
        <v>2</v>
      </c>
      <c r="K926" s="71">
        <f>SUMIFS(VENTAS[Cantidad],VENTAS[Código del producto Vendido],STOCK[[#This Row],[Code]])</f>
        <v>0</v>
      </c>
      <c r="L926" s="71">
        <f>STOCK[[#This Row],[Entradas]]-STOCK[[#This Row],[Salidas]]</f>
        <v>2</v>
      </c>
      <c r="M926" s="53">
        <f>STOCK[[#This Row],[Precio Final]]*10%</f>
        <v>1.8</v>
      </c>
      <c r="N926" s="53">
        <v>0</v>
      </c>
      <c r="O926" s="53">
        <v>0</v>
      </c>
      <c r="P926" s="53">
        <v>9.99</v>
      </c>
      <c r="Q926" s="71">
        <v>0</v>
      </c>
      <c r="R926" s="53">
        <v>0</v>
      </c>
      <c r="S926" s="53">
        <v>1.8</v>
      </c>
      <c r="T926" s="53">
        <f>STOCK[[#This Row],[Costo Unitario (USD)]]+STOCK[[#This Row],[Costo Envío (USD)]]+STOCK[[#This Row],[Comisión 10%]]</f>
        <v>13.59</v>
      </c>
      <c r="U926" s="53">
        <f>STOCK[[#This Row],[Costo total]]*1.5</f>
        <v>20.385</v>
      </c>
      <c r="V926" s="53">
        <v>18</v>
      </c>
      <c r="W926" s="53">
        <f>STOCK[[#This Row],[Precio Final]]-STOCK[[#This Row],[Costo total]]</f>
        <v>4.41</v>
      </c>
      <c r="X926" s="53">
        <f>STOCK[[#This Row],[Ganancia Unitaria]]*STOCK[[#This Row],[Salidas]]</f>
        <v>0</v>
      </c>
      <c r="Y926" s="53" t="s">
        <v>1822</v>
      </c>
      <c r="AA926" s="53">
        <f>STOCK[[#This Row],[Costo total]]*STOCK[[#This Row],[Entradas]]</f>
        <v>27.18</v>
      </c>
      <c r="AB926" s="53">
        <f>STOCK[[#This Row],[Stock Actual]]*STOCK[[#This Row],[Costo total]]</f>
        <v>27.18</v>
      </c>
    </row>
    <row r="927" s="54" customFormat="1" ht="50" customHeight="1" spans="1:28">
      <c r="A927" s="54" t="s">
        <v>1853</v>
      </c>
      <c r="B927" s="66"/>
      <c r="C927" s="54" t="s">
        <v>32</v>
      </c>
      <c r="D927" s="54" t="s">
        <v>488</v>
      </c>
      <c r="E927" s="68" t="s">
        <v>1854</v>
      </c>
      <c r="F927" s="54" t="s">
        <v>1855</v>
      </c>
      <c r="G927" s="54" t="s">
        <v>1296</v>
      </c>
      <c r="H927" s="54">
        <f>STOCK[[#This Row],[Precio Final]]</f>
        <v>20</v>
      </c>
      <c r="I927" s="54">
        <f>STOCK[[#This Row],[Precio Venta Ideal (x1.5)]]</f>
        <v>19.185</v>
      </c>
      <c r="J927" s="72">
        <v>2</v>
      </c>
      <c r="K927" s="72">
        <f>SUMIFS(VENTAS[Cantidad],VENTAS[Código del producto Vendido],STOCK[[#This Row],[Code]])</f>
        <v>2</v>
      </c>
      <c r="L927" s="72">
        <f>STOCK[[#This Row],[Entradas]]-STOCK[[#This Row],[Salidas]]</f>
        <v>0</v>
      </c>
      <c r="M927" s="54">
        <f>STOCK[[#This Row],[Precio Final]]*10%</f>
        <v>2</v>
      </c>
      <c r="N927" s="54">
        <v>0</v>
      </c>
      <c r="O927" s="54">
        <v>0</v>
      </c>
      <c r="P927" s="54">
        <v>8.99</v>
      </c>
      <c r="Q927" s="72">
        <v>0</v>
      </c>
      <c r="R927" s="54">
        <v>0</v>
      </c>
      <c r="S927" s="54">
        <v>1.8</v>
      </c>
      <c r="T927" s="53">
        <f>STOCK[[#This Row],[Costo Unitario (USD)]]+STOCK[[#This Row],[Costo Envío (USD)]]+STOCK[[#This Row],[Comisión 10%]]</f>
        <v>12.79</v>
      </c>
      <c r="U927" s="54">
        <f>STOCK[[#This Row],[Costo total]]*1.5</f>
        <v>19.185</v>
      </c>
      <c r="V927" s="54">
        <v>20</v>
      </c>
      <c r="W927" s="54">
        <f>STOCK[[#This Row],[Precio Final]]-STOCK[[#This Row],[Costo total]]</f>
        <v>7.21</v>
      </c>
      <c r="X927" s="54">
        <f>STOCK[[#This Row],[Ganancia Unitaria]]*STOCK[[#This Row],[Salidas]]</f>
        <v>14.42</v>
      </c>
      <c r="Y927" s="54" t="s">
        <v>1822</v>
      </c>
      <c r="AA927" s="54">
        <f>STOCK[[#This Row],[Costo total]]*STOCK[[#This Row],[Entradas]]</f>
        <v>25.58</v>
      </c>
      <c r="AB927" s="54">
        <f>STOCK[[#This Row],[Stock Actual]]*STOCK[[#This Row],[Costo total]]</f>
        <v>0</v>
      </c>
    </row>
    <row r="928" s="53" customFormat="1" ht="50" customHeight="1" spans="1:28">
      <c r="A928" s="53" t="s">
        <v>1856</v>
      </c>
      <c r="B928" s="66"/>
      <c r="C928" s="53" t="s">
        <v>32</v>
      </c>
      <c r="D928" s="53" t="s">
        <v>488</v>
      </c>
      <c r="E928" s="67" t="s">
        <v>1857</v>
      </c>
      <c r="F928" s="53" t="s">
        <v>1855</v>
      </c>
      <c r="G928" s="53" t="s">
        <v>1296</v>
      </c>
      <c r="H928" s="53">
        <f>STOCK[[#This Row],[Precio Final]]</f>
        <v>20</v>
      </c>
      <c r="I928" s="53">
        <f>STOCK[[#This Row],[Precio Venta Ideal (x1.5)]]</f>
        <v>19.185</v>
      </c>
      <c r="J928" s="71">
        <v>2</v>
      </c>
      <c r="K928" s="71">
        <f>SUMIFS(VENTAS[Cantidad],VENTAS[Código del producto Vendido],STOCK[[#This Row],[Code]])</f>
        <v>2</v>
      </c>
      <c r="L928" s="71">
        <f>STOCK[[#This Row],[Entradas]]-STOCK[[#This Row],[Salidas]]</f>
        <v>0</v>
      </c>
      <c r="M928" s="53">
        <f>STOCK[[#This Row],[Precio Final]]*10%</f>
        <v>2</v>
      </c>
      <c r="N928" s="53">
        <v>0</v>
      </c>
      <c r="O928" s="53">
        <v>0</v>
      </c>
      <c r="P928" s="53">
        <v>8.99</v>
      </c>
      <c r="Q928" s="71">
        <v>0</v>
      </c>
      <c r="R928" s="53">
        <v>0</v>
      </c>
      <c r="S928" s="53">
        <v>1.8</v>
      </c>
      <c r="T928" s="53">
        <f>STOCK[[#This Row],[Costo Unitario (USD)]]+STOCK[[#This Row],[Costo Envío (USD)]]+STOCK[[#This Row],[Comisión 10%]]</f>
        <v>12.79</v>
      </c>
      <c r="U928" s="53">
        <f>STOCK[[#This Row],[Costo total]]*1.5</f>
        <v>19.185</v>
      </c>
      <c r="V928" s="53">
        <v>20</v>
      </c>
      <c r="W928" s="53">
        <f>STOCK[[#This Row],[Precio Final]]-STOCK[[#This Row],[Costo total]]</f>
        <v>7.21</v>
      </c>
      <c r="X928" s="53">
        <f>STOCK[[#This Row],[Ganancia Unitaria]]*STOCK[[#This Row],[Salidas]]</f>
        <v>14.42</v>
      </c>
      <c r="Y928" s="53" t="s">
        <v>1822</v>
      </c>
      <c r="AA928" s="53">
        <f>STOCK[[#This Row],[Costo total]]*STOCK[[#This Row],[Entradas]]</f>
        <v>25.58</v>
      </c>
      <c r="AB928" s="53">
        <f>STOCK[[#This Row],[Stock Actual]]*STOCK[[#This Row],[Costo total]]</f>
        <v>0</v>
      </c>
    </row>
    <row r="929" s="54" customFormat="1" ht="50" customHeight="1" spans="1:28">
      <c r="A929" s="54" t="s">
        <v>1858</v>
      </c>
      <c r="B929" s="66"/>
      <c r="C929" s="54" t="s">
        <v>32</v>
      </c>
      <c r="D929" s="54" t="s">
        <v>488</v>
      </c>
      <c r="E929" s="68" t="s">
        <v>1859</v>
      </c>
      <c r="F929" s="54" t="s">
        <v>525</v>
      </c>
      <c r="G929" s="54" t="s">
        <v>1296</v>
      </c>
      <c r="H929" s="54">
        <f>STOCK[[#This Row],[Precio Final]]</f>
        <v>20</v>
      </c>
      <c r="I929" s="54">
        <f>STOCK[[#This Row],[Precio Venta Ideal (x1.5)]]</f>
        <v>20.685</v>
      </c>
      <c r="J929" s="72">
        <v>2</v>
      </c>
      <c r="K929" s="72">
        <f>SUMIFS(VENTAS[Cantidad],VENTAS[Código del producto Vendido],STOCK[[#This Row],[Code]])</f>
        <v>1</v>
      </c>
      <c r="L929" s="72">
        <f>STOCK[[#This Row],[Entradas]]-STOCK[[#This Row],[Salidas]]</f>
        <v>1</v>
      </c>
      <c r="M929" s="54">
        <f>STOCK[[#This Row],[Precio Final]]*10%</f>
        <v>2</v>
      </c>
      <c r="N929" s="54">
        <v>0</v>
      </c>
      <c r="O929" s="54">
        <v>0</v>
      </c>
      <c r="P929" s="54">
        <v>9.99</v>
      </c>
      <c r="Q929" s="72">
        <v>0</v>
      </c>
      <c r="R929" s="54">
        <v>0</v>
      </c>
      <c r="S929" s="54">
        <v>1.8</v>
      </c>
      <c r="T929" s="53">
        <f>STOCK[[#This Row],[Costo Unitario (USD)]]+STOCK[[#This Row],[Costo Envío (USD)]]+STOCK[[#This Row],[Comisión 10%]]</f>
        <v>13.79</v>
      </c>
      <c r="U929" s="54">
        <f>STOCK[[#This Row],[Costo total]]*1.5</f>
        <v>20.685</v>
      </c>
      <c r="V929" s="54">
        <v>20</v>
      </c>
      <c r="W929" s="54">
        <f>STOCK[[#This Row],[Precio Final]]-STOCK[[#This Row],[Costo total]]</f>
        <v>6.21</v>
      </c>
      <c r="X929" s="54">
        <f>STOCK[[#This Row],[Ganancia Unitaria]]*STOCK[[#This Row],[Salidas]]</f>
        <v>6.21</v>
      </c>
      <c r="Y929" s="54" t="s">
        <v>1822</v>
      </c>
      <c r="AA929" s="54">
        <f>STOCK[[#This Row],[Costo total]]*STOCK[[#This Row],[Entradas]]</f>
        <v>27.58</v>
      </c>
      <c r="AB929" s="54">
        <f>STOCK[[#This Row],[Stock Actual]]*STOCK[[#This Row],[Costo total]]</f>
        <v>13.79</v>
      </c>
    </row>
    <row r="930" s="53" customFormat="1" ht="50" customHeight="1" spans="1:28">
      <c r="A930" s="53" t="s">
        <v>1860</v>
      </c>
      <c r="B930" s="66"/>
      <c r="C930" s="53" t="s">
        <v>32</v>
      </c>
      <c r="D930" s="53" t="s">
        <v>488</v>
      </c>
      <c r="E930" s="67" t="s">
        <v>1861</v>
      </c>
      <c r="F930" s="53" t="s">
        <v>1855</v>
      </c>
      <c r="G930" s="53" t="s">
        <v>1296</v>
      </c>
      <c r="H930" s="53">
        <f>STOCK[[#This Row],[Precio Final]]</f>
        <v>25</v>
      </c>
      <c r="I930" s="53">
        <f>STOCK[[#This Row],[Precio Venta Ideal (x1.5)]]</f>
        <v>27.435</v>
      </c>
      <c r="J930" s="71">
        <v>2</v>
      </c>
      <c r="K930" s="71">
        <f>SUMIFS(VENTAS[Cantidad],VENTAS[Código del producto Vendido],STOCK[[#This Row],[Code]])</f>
        <v>2</v>
      </c>
      <c r="L930" s="71">
        <f>STOCK[[#This Row],[Entradas]]-STOCK[[#This Row],[Salidas]]</f>
        <v>0</v>
      </c>
      <c r="M930" s="53">
        <f>STOCK[[#This Row],[Precio Final]]*10%</f>
        <v>2.5</v>
      </c>
      <c r="N930" s="53">
        <v>0</v>
      </c>
      <c r="O930" s="53">
        <v>0</v>
      </c>
      <c r="P930" s="53">
        <v>13.99</v>
      </c>
      <c r="Q930" s="71">
        <v>0</v>
      </c>
      <c r="R930" s="53">
        <v>0</v>
      </c>
      <c r="S930" s="53">
        <v>1.8</v>
      </c>
      <c r="T930" s="53">
        <f>STOCK[[#This Row],[Costo Unitario (USD)]]+STOCK[[#This Row],[Costo Envío (USD)]]+STOCK[[#This Row],[Comisión 10%]]</f>
        <v>18.29</v>
      </c>
      <c r="U930" s="53">
        <f>STOCK[[#This Row],[Costo total]]*1.5</f>
        <v>27.435</v>
      </c>
      <c r="V930" s="53">
        <v>25</v>
      </c>
      <c r="W930" s="53">
        <f>STOCK[[#This Row],[Precio Final]]-STOCK[[#This Row],[Costo total]]</f>
        <v>6.71</v>
      </c>
      <c r="X930" s="53">
        <f>STOCK[[#This Row],[Ganancia Unitaria]]*STOCK[[#This Row],[Salidas]]</f>
        <v>13.42</v>
      </c>
      <c r="Y930" s="53" t="s">
        <v>1822</v>
      </c>
      <c r="AA930" s="53">
        <f>STOCK[[#This Row],[Costo total]]*STOCK[[#This Row],[Entradas]]</f>
        <v>36.58</v>
      </c>
      <c r="AB930" s="53">
        <f>STOCK[[#This Row],[Stock Actual]]*STOCK[[#This Row],[Costo total]]</f>
        <v>0</v>
      </c>
    </row>
    <row r="931" s="54" customFormat="1" ht="50" customHeight="1" spans="1:28">
      <c r="A931" s="54" t="s">
        <v>1862</v>
      </c>
      <c r="B931" s="66"/>
      <c r="C931" s="54" t="s">
        <v>32</v>
      </c>
      <c r="D931" s="54" t="s">
        <v>488</v>
      </c>
      <c r="E931" s="68" t="s">
        <v>1863</v>
      </c>
      <c r="F931" s="54" t="s">
        <v>1855</v>
      </c>
      <c r="G931" s="54" t="s">
        <v>1296</v>
      </c>
      <c r="H931" s="54">
        <f>STOCK[[#This Row],[Precio Final]]</f>
        <v>25</v>
      </c>
      <c r="I931" s="54">
        <f>STOCK[[#This Row],[Precio Venta Ideal (x1.5)]]</f>
        <v>27.435</v>
      </c>
      <c r="J931" s="72">
        <v>2</v>
      </c>
      <c r="K931" s="72">
        <f>SUMIFS(VENTAS[Cantidad],VENTAS[Código del producto Vendido],STOCK[[#This Row],[Code]])</f>
        <v>2</v>
      </c>
      <c r="L931" s="72">
        <f>STOCK[[#This Row],[Entradas]]-STOCK[[#This Row],[Salidas]]</f>
        <v>0</v>
      </c>
      <c r="M931" s="54">
        <f>STOCK[[#This Row],[Precio Final]]*10%</f>
        <v>2.5</v>
      </c>
      <c r="N931" s="54">
        <v>0</v>
      </c>
      <c r="O931" s="54">
        <v>0</v>
      </c>
      <c r="P931" s="54">
        <v>13.99</v>
      </c>
      <c r="Q931" s="72">
        <v>0</v>
      </c>
      <c r="R931" s="54">
        <v>0</v>
      </c>
      <c r="S931" s="54">
        <v>1.8</v>
      </c>
      <c r="T931" s="53">
        <f>STOCK[[#This Row],[Costo Unitario (USD)]]+STOCK[[#This Row],[Costo Envío (USD)]]+STOCK[[#This Row],[Comisión 10%]]</f>
        <v>18.29</v>
      </c>
      <c r="U931" s="54">
        <f>STOCK[[#This Row],[Costo total]]*1.5</f>
        <v>27.435</v>
      </c>
      <c r="V931" s="54">
        <v>25</v>
      </c>
      <c r="W931" s="54">
        <f>STOCK[[#This Row],[Precio Final]]-STOCK[[#This Row],[Costo total]]</f>
        <v>6.71</v>
      </c>
      <c r="X931" s="54">
        <f>STOCK[[#This Row],[Ganancia Unitaria]]*STOCK[[#This Row],[Salidas]]</f>
        <v>13.42</v>
      </c>
      <c r="Y931" s="54" t="s">
        <v>1822</v>
      </c>
      <c r="AA931" s="54">
        <f>STOCK[[#This Row],[Costo total]]*STOCK[[#This Row],[Entradas]]</f>
        <v>36.58</v>
      </c>
      <c r="AB931" s="54">
        <f>STOCK[[#This Row],[Stock Actual]]*STOCK[[#This Row],[Costo total]]</f>
        <v>0</v>
      </c>
    </row>
    <row r="932" s="53" customFormat="1" ht="50" customHeight="1" spans="1:28">
      <c r="A932" s="53" t="s">
        <v>1864</v>
      </c>
      <c r="B932" s="66"/>
      <c r="C932" s="53" t="s">
        <v>32</v>
      </c>
      <c r="D932" s="53" t="s">
        <v>488</v>
      </c>
      <c r="E932" s="67" t="s">
        <v>1865</v>
      </c>
      <c r="F932" s="53" t="s">
        <v>525</v>
      </c>
      <c r="G932" s="53" t="s">
        <v>1296</v>
      </c>
      <c r="H932" s="53">
        <f>STOCK[[#This Row],[Precio Final]]</f>
        <v>20</v>
      </c>
      <c r="I932" s="53">
        <f>STOCK[[#This Row],[Precio Venta Ideal (x1.5)]]</f>
        <v>20.685</v>
      </c>
      <c r="J932" s="71">
        <v>2</v>
      </c>
      <c r="K932" s="71">
        <f>SUMIFS(VENTAS[Cantidad],VENTAS[Código del producto Vendido],STOCK[[#This Row],[Code]])</f>
        <v>0</v>
      </c>
      <c r="L932" s="71">
        <f>STOCK[[#This Row],[Entradas]]-STOCK[[#This Row],[Salidas]]</f>
        <v>2</v>
      </c>
      <c r="M932" s="53">
        <f>STOCK[[#This Row],[Precio Final]]*10%</f>
        <v>2</v>
      </c>
      <c r="N932" s="53">
        <v>0</v>
      </c>
      <c r="O932" s="53">
        <v>0</v>
      </c>
      <c r="P932" s="53">
        <v>9.99</v>
      </c>
      <c r="Q932" s="71">
        <v>0</v>
      </c>
      <c r="R932" s="53">
        <v>0</v>
      </c>
      <c r="S932" s="53">
        <v>1.8</v>
      </c>
      <c r="T932" s="53">
        <f>STOCK[[#This Row],[Costo Unitario (USD)]]+STOCK[[#This Row],[Costo Envío (USD)]]+STOCK[[#This Row],[Comisión 10%]]</f>
        <v>13.79</v>
      </c>
      <c r="U932" s="53">
        <f>STOCK[[#This Row],[Costo total]]*1.5</f>
        <v>20.685</v>
      </c>
      <c r="V932" s="53">
        <v>20</v>
      </c>
      <c r="W932" s="53">
        <f>STOCK[[#This Row],[Precio Final]]-STOCK[[#This Row],[Costo total]]</f>
        <v>6.21</v>
      </c>
      <c r="X932" s="53">
        <f>STOCK[[#This Row],[Ganancia Unitaria]]*STOCK[[#This Row],[Salidas]]</f>
        <v>0</v>
      </c>
      <c r="Y932" s="53" t="s">
        <v>1822</v>
      </c>
      <c r="AA932" s="53">
        <f>STOCK[[#This Row],[Costo total]]*STOCK[[#This Row],[Entradas]]</f>
        <v>27.58</v>
      </c>
      <c r="AB932" s="53">
        <f>STOCK[[#This Row],[Stock Actual]]*STOCK[[#This Row],[Costo total]]</f>
        <v>27.58</v>
      </c>
    </row>
    <row r="933" s="54" customFormat="1" ht="50" customHeight="1" spans="1:28">
      <c r="A933" s="54" t="s">
        <v>1866</v>
      </c>
      <c r="B933" s="66"/>
      <c r="C933" s="54" t="s">
        <v>32</v>
      </c>
      <c r="D933" s="54" t="s">
        <v>1867</v>
      </c>
      <c r="E933" s="68" t="s">
        <v>1868</v>
      </c>
      <c r="F933" s="54" t="s">
        <v>40</v>
      </c>
      <c r="G933" s="54" t="s">
        <v>1296</v>
      </c>
      <c r="H933" s="54">
        <f>STOCK[[#This Row],[Precio Final]]</f>
        <v>40</v>
      </c>
      <c r="I933" s="54">
        <f>STOCK[[#This Row],[Precio Venta Ideal (x1.5)]]</f>
        <v>42.435</v>
      </c>
      <c r="J933" s="72">
        <v>1</v>
      </c>
      <c r="K933" s="72">
        <f>SUMIFS(VENTAS[Cantidad],VENTAS[Código del producto Vendido],STOCK[[#This Row],[Code]])</f>
        <v>1</v>
      </c>
      <c r="L933" s="72">
        <f>STOCK[[#This Row],[Entradas]]-STOCK[[#This Row],[Salidas]]</f>
        <v>0</v>
      </c>
      <c r="M933" s="54">
        <f>STOCK[[#This Row],[Precio Final]]*10%</f>
        <v>4</v>
      </c>
      <c r="N933" s="54">
        <v>0</v>
      </c>
      <c r="O933" s="54">
        <v>0</v>
      </c>
      <c r="P933" s="54">
        <v>22.49</v>
      </c>
      <c r="Q933" s="72">
        <v>0</v>
      </c>
      <c r="R933" s="54">
        <v>0</v>
      </c>
      <c r="S933" s="54">
        <v>1.8</v>
      </c>
      <c r="T933" s="53">
        <f>STOCK[[#This Row],[Costo Unitario (USD)]]+STOCK[[#This Row],[Costo Envío (USD)]]+STOCK[[#This Row],[Comisión 10%]]</f>
        <v>28.29</v>
      </c>
      <c r="U933" s="54">
        <f>STOCK[[#This Row],[Costo total]]*1.5</f>
        <v>42.435</v>
      </c>
      <c r="V933" s="54">
        <v>40</v>
      </c>
      <c r="W933" s="54">
        <f>STOCK[[#This Row],[Precio Final]]-STOCK[[#This Row],[Costo total]]</f>
        <v>11.71</v>
      </c>
      <c r="X933" s="54">
        <f>STOCK[[#This Row],[Ganancia Unitaria]]*STOCK[[#This Row],[Salidas]]</f>
        <v>11.71</v>
      </c>
      <c r="Y933" s="54" t="s">
        <v>1822</v>
      </c>
      <c r="AA933" s="54">
        <f>STOCK[[#This Row],[Costo total]]*STOCK[[#This Row],[Entradas]]</f>
        <v>28.29</v>
      </c>
      <c r="AB933" s="54">
        <f>STOCK[[#This Row],[Stock Actual]]*STOCK[[#This Row],[Costo total]]</f>
        <v>0</v>
      </c>
    </row>
    <row r="934" s="53" customFormat="1" ht="50" customHeight="1" spans="1:28">
      <c r="A934" s="53" t="s">
        <v>1869</v>
      </c>
      <c r="B934" s="66"/>
      <c r="C934" s="53" t="s">
        <v>32</v>
      </c>
      <c r="D934" s="53" t="s">
        <v>1867</v>
      </c>
      <c r="E934" s="67" t="s">
        <v>1868</v>
      </c>
      <c r="F934" s="53" t="s">
        <v>1870</v>
      </c>
      <c r="G934" s="53" t="s">
        <v>1296</v>
      </c>
      <c r="H934" s="53">
        <f>STOCK[[#This Row],[Precio Final]]</f>
        <v>40</v>
      </c>
      <c r="I934" s="53">
        <f>STOCK[[#This Row],[Precio Venta Ideal (x1.5)]]</f>
        <v>42.435</v>
      </c>
      <c r="J934" s="71">
        <v>1</v>
      </c>
      <c r="K934" s="71">
        <f>SUMIFS(VENTAS[Cantidad],VENTAS[Código del producto Vendido],STOCK[[#This Row],[Code]])</f>
        <v>1</v>
      </c>
      <c r="L934" s="71">
        <f>STOCK[[#This Row],[Entradas]]-STOCK[[#This Row],[Salidas]]</f>
        <v>0</v>
      </c>
      <c r="M934" s="53">
        <f>STOCK[[#This Row],[Precio Final]]*10%</f>
        <v>4</v>
      </c>
      <c r="N934" s="53">
        <v>0</v>
      </c>
      <c r="O934" s="53">
        <v>0</v>
      </c>
      <c r="P934" s="53">
        <v>22.49</v>
      </c>
      <c r="Q934" s="71">
        <v>0</v>
      </c>
      <c r="R934" s="53">
        <v>0</v>
      </c>
      <c r="S934" s="53">
        <v>1.8</v>
      </c>
      <c r="T934" s="53">
        <f>STOCK[[#This Row],[Costo Unitario (USD)]]+STOCK[[#This Row],[Costo Envío (USD)]]+STOCK[[#This Row],[Comisión 10%]]</f>
        <v>28.29</v>
      </c>
      <c r="U934" s="53">
        <f>STOCK[[#This Row],[Costo total]]*1.5</f>
        <v>42.435</v>
      </c>
      <c r="V934" s="53">
        <v>40</v>
      </c>
      <c r="W934" s="53">
        <f>STOCK[[#This Row],[Precio Final]]-STOCK[[#This Row],[Costo total]]</f>
        <v>11.71</v>
      </c>
      <c r="X934" s="53">
        <f>STOCK[[#This Row],[Ganancia Unitaria]]*STOCK[[#This Row],[Salidas]]</f>
        <v>11.71</v>
      </c>
      <c r="Y934" s="53" t="s">
        <v>1822</v>
      </c>
      <c r="AA934" s="53">
        <f>STOCK[[#This Row],[Costo total]]*STOCK[[#This Row],[Entradas]]</f>
        <v>28.29</v>
      </c>
      <c r="AB934" s="53">
        <f>STOCK[[#This Row],[Stock Actual]]*STOCK[[#This Row],[Costo total]]</f>
        <v>0</v>
      </c>
    </row>
    <row r="935" s="54" customFormat="1" ht="50" customHeight="1" spans="1:28">
      <c r="A935" s="54" t="s">
        <v>1871</v>
      </c>
      <c r="B935" s="66"/>
      <c r="C935" s="54" t="s">
        <v>32</v>
      </c>
      <c r="D935" s="54" t="s">
        <v>1872</v>
      </c>
      <c r="E935" s="68" t="s">
        <v>1868</v>
      </c>
      <c r="F935" s="54" t="s">
        <v>1844</v>
      </c>
      <c r="G935" s="54" t="s">
        <v>1296</v>
      </c>
      <c r="H935" s="54">
        <f>STOCK[[#This Row],[Precio Final]]</f>
        <v>40</v>
      </c>
      <c r="I935" s="54">
        <f>STOCK[[#This Row],[Precio Venta Ideal (x1.5)]]</f>
        <v>42.435</v>
      </c>
      <c r="J935" s="72">
        <v>1</v>
      </c>
      <c r="K935" s="72">
        <f>SUMIFS(VENTAS[Cantidad],VENTAS[Código del producto Vendido],STOCK[[#This Row],[Code]])</f>
        <v>1</v>
      </c>
      <c r="L935" s="72">
        <f>STOCK[[#This Row],[Entradas]]-STOCK[[#This Row],[Salidas]]</f>
        <v>0</v>
      </c>
      <c r="M935" s="54">
        <f>STOCK[[#This Row],[Precio Final]]*10%</f>
        <v>4</v>
      </c>
      <c r="N935" s="54">
        <v>0</v>
      </c>
      <c r="O935" s="54">
        <v>0</v>
      </c>
      <c r="P935" s="54">
        <v>22.49</v>
      </c>
      <c r="Q935" s="72">
        <v>0</v>
      </c>
      <c r="R935" s="54">
        <v>0</v>
      </c>
      <c r="S935" s="54">
        <v>1.8</v>
      </c>
      <c r="T935" s="53">
        <f>STOCK[[#This Row],[Costo Unitario (USD)]]+STOCK[[#This Row],[Costo Envío (USD)]]+STOCK[[#This Row],[Comisión 10%]]</f>
        <v>28.29</v>
      </c>
      <c r="U935" s="54">
        <f>STOCK[[#This Row],[Costo total]]*1.5</f>
        <v>42.435</v>
      </c>
      <c r="V935" s="54">
        <v>40</v>
      </c>
      <c r="W935" s="54">
        <f>STOCK[[#This Row],[Precio Final]]-STOCK[[#This Row],[Costo total]]</f>
        <v>11.71</v>
      </c>
      <c r="X935" s="54">
        <f>STOCK[[#This Row],[Ganancia Unitaria]]*STOCK[[#This Row],[Salidas]]</f>
        <v>11.71</v>
      </c>
      <c r="Y935" s="54" t="s">
        <v>1822</v>
      </c>
      <c r="AA935" s="54">
        <f>STOCK[[#This Row],[Costo total]]*STOCK[[#This Row],[Entradas]]</f>
        <v>28.29</v>
      </c>
      <c r="AB935" s="54">
        <f>STOCK[[#This Row],[Stock Actual]]*STOCK[[#This Row],[Costo total]]</f>
        <v>0</v>
      </c>
    </row>
    <row r="936" s="53" customFormat="1" ht="50" customHeight="1" spans="1:28">
      <c r="A936" s="53" t="s">
        <v>1873</v>
      </c>
      <c r="B936" s="66"/>
      <c r="C936" s="53" t="s">
        <v>32</v>
      </c>
      <c r="D936" s="53" t="s">
        <v>1867</v>
      </c>
      <c r="E936" s="67" t="s">
        <v>1868</v>
      </c>
      <c r="F936" s="53" t="s">
        <v>49</v>
      </c>
      <c r="G936" s="53" t="s">
        <v>1296</v>
      </c>
      <c r="H936" s="53">
        <f>STOCK[[#This Row],[Precio Final]]</f>
        <v>40</v>
      </c>
      <c r="I936" s="53">
        <f>STOCK[[#This Row],[Precio Venta Ideal (x1.5)]]</f>
        <v>42.435</v>
      </c>
      <c r="J936" s="71">
        <v>1</v>
      </c>
      <c r="K936" s="71">
        <f>SUMIFS(VENTAS[Cantidad],VENTAS[Código del producto Vendido],STOCK[[#This Row],[Code]])</f>
        <v>0</v>
      </c>
      <c r="L936" s="71">
        <f>STOCK[[#This Row],[Entradas]]-STOCK[[#This Row],[Salidas]]</f>
        <v>1</v>
      </c>
      <c r="M936" s="53">
        <f>STOCK[[#This Row],[Precio Final]]*10%</f>
        <v>4</v>
      </c>
      <c r="N936" s="53">
        <v>0</v>
      </c>
      <c r="O936" s="53">
        <v>0</v>
      </c>
      <c r="P936" s="53">
        <v>22.49</v>
      </c>
      <c r="Q936" s="71">
        <v>0</v>
      </c>
      <c r="R936" s="53">
        <v>0</v>
      </c>
      <c r="S936" s="53">
        <v>1.8</v>
      </c>
      <c r="T936" s="53">
        <f>STOCK[[#This Row],[Costo Unitario (USD)]]+STOCK[[#This Row],[Costo Envío (USD)]]+STOCK[[#This Row],[Comisión 10%]]</f>
        <v>28.29</v>
      </c>
      <c r="U936" s="53">
        <f>STOCK[[#This Row],[Costo total]]*1.5</f>
        <v>42.435</v>
      </c>
      <c r="V936" s="53">
        <v>40</v>
      </c>
      <c r="W936" s="53">
        <f>STOCK[[#This Row],[Precio Final]]-STOCK[[#This Row],[Costo total]]</f>
        <v>11.71</v>
      </c>
      <c r="X936" s="53">
        <f>STOCK[[#This Row],[Ganancia Unitaria]]*STOCK[[#This Row],[Salidas]]</f>
        <v>0</v>
      </c>
      <c r="Y936" s="53" t="s">
        <v>1822</v>
      </c>
      <c r="AA936" s="53">
        <f>STOCK[[#This Row],[Costo total]]*STOCK[[#This Row],[Entradas]]</f>
        <v>28.29</v>
      </c>
      <c r="AB936" s="53">
        <f>STOCK[[#This Row],[Stock Actual]]*STOCK[[#This Row],[Costo total]]</f>
        <v>28.29</v>
      </c>
    </row>
    <row r="937" s="54" customFormat="1" ht="50" customHeight="1" spans="1:28">
      <c r="A937" s="54" t="s">
        <v>1874</v>
      </c>
      <c r="B937" s="66"/>
      <c r="C937" s="54" t="s">
        <v>32</v>
      </c>
      <c r="D937" s="54" t="s">
        <v>44</v>
      </c>
      <c r="E937" s="68" t="s">
        <v>1875</v>
      </c>
      <c r="F937" s="54" t="s">
        <v>42</v>
      </c>
      <c r="G937" s="54" t="s">
        <v>1876</v>
      </c>
      <c r="H937" s="54">
        <f>STOCK[[#This Row],[Precio Final]]</f>
        <v>30</v>
      </c>
      <c r="I937" s="54">
        <f>STOCK[[#This Row],[Precio Venta Ideal (x1.5)]]</f>
        <v>33.57</v>
      </c>
      <c r="J937" s="72">
        <v>1</v>
      </c>
      <c r="K937" s="72">
        <f>SUMIFS(VENTAS[Cantidad],VENTAS[Código del producto Vendido],STOCK[[#This Row],[Code]])</f>
        <v>0</v>
      </c>
      <c r="L937" s="72">
        <f>STOCK[[#This Row],[Entradas]]-STOCK[[#This Row],[Salidas]]</f>
        <v>1</v>
      </c>
      <c r="M937" s="54">
        <f>STOCK[[#This Row],[Precio Final]]*10%</f>
        <v>3</v>
      </c>
      <c r="N937" s="54">
        <v>0</v>
      </c>
      <c r="O937" s="54">
        <v>0</v>
      </c>
      <c r="P937" s="54">
        <v>17.88</v>
      </c>
      <c r="Q937" s="72">
        <v>0</v>
      </c>
      <c r="R937" s="54">
        <v>0</v>
      </c>
      <c r="S937" s="54">
        <v>1.5</v>
      </c>
      <c r="T937" s="53">
        <f>STOCK[[#This Row],[Costo Unitario (USD)]]+STOCK[[#This Row],[Costo Envío (USD)]]+STOCK[[#This Row],[Comisión 10%]]</f>
        <v>22.38</v>
      </c>
      <c r="U937" s="54">
        <f>STOCK[[#This Row],[Costo total]]*1.5</f>
        <v>33.57</v>
      </c>
      <c r="V937" s="54">
        <v>30</v>
      </c>
      <c r="W937" s="54">
        <f>STOCK[[#This Row],[Precio Final]]-STOCK[[#This Row],[Costo total]]</f>
        <v>7.62</v>
      </c>
      <c r="X937" s="54">
        <f>STOCK[[#This Row],[Ganancia Unitaria]]*STOCK[[#This Row],[Salidas]]</f>
        <v>0</v>
      </c>
      <c r="Y937" s="54" t="s">
        <v>1877</v>
      </c>
      <c r="AA937" s="54">
        <f>STOCK[[#This Row],[Costo total]]*STOCK[[#This Row],[Entradas]]</f>
        <v>22.38</v>
      </c>
      <c r="AB937" s="54">
        <f>STOCK[[#This Row],[Stock Actual]]*STOCK[[#This Row],[Costo total]]</f>
        <v>22.38</v>
      </c>
    </row>
    <row r="938" s="53" customFormat="1" ht="50" customHeight="1" spans="1:28">
      <c r="A938" s="53" t="s">
        <v>1878</v>
      </c>
      <c r="B938" s="66"/>
      <c r="C938" s="53" t="s">
        <v>32</v>
      </c>
      <c r="D938" s="53" t="s">
        <v>1819</v>
      </c>
      <c r="E938" s="67" t="s">
        <v>1875</v>
      </c>
      <c r="F938" s="53" t="s">
        <v>49</v>
      </c>
      <c r="G938" s="53" t="s">
        <v>1876</v>
      </c>
      <c r="H938" s="53">
        <f>STOCK[[#This Row],[Precio Final]]</f>
        <v>32</v>
      </c>
      <c r="I938" s="53">
        <f>STOCK[[#This Row],[Precio Venta Ideal (x1.5)]]</f>
        <v>33.87</v>
      </c>
      <c r="J938" s="71">
        <v>1</v>
      </c>
      <c r="K938" s="71">
        <f>SUMIFS(VENTAS[Cantidad],VENTAS[Código del producto Vendido],STOCK[[#This Row],[Code]])</f>
        <v>1</v>
      </c>
      <c r="L938" s="71">
        <f>STOCK[[#This Row],[Entradas]]-STOCK[[#This Row],[Salidas]]</f>
        <v>0</v>
      </c>
      <c r="M938" s="53">
        <f>STOCK[[#This Row],[Precio Final]]*10%</f>
        <v>3.2</v>
      </c>
      <c r="N938" s="53">
        <v>0</v>
      </c>
      <c r="O938" s="53">
        <v>0</v>
      </c>
      <c r="P938" s="53">
        <v>17.88</v>
      </c>
      <c r="Q938" s="71">
        <v>0</v>
      </c>
      <c r="R938" s="53">
        <v>0</v>
      </c>
      <c r="S938" s="53">
        <v>1.5</v>
      </c>
      <c r="T938" s="53">
        <f>STOCK[[#This Row],[Costo Unitario (USD)]]+STOCK[[#This Row],[Costo Envío (USD)]]+STOCK[[#This Row],[Comisión 10%]]</f>
        <v>22.58</v>
      </c>
      <c r="U938" s="53">
        <f>STOCK[[#This Row],[Costo total]]*1.5</f>
        <v>33.87</v>
      </c>
      <c r="V938" s="53">
        <v>32</v>
      </c>
      <c r="W938" s="53">
        <f>STOCK[[#This Row],[Precio Final]]-STOCK[[#This Row],[Costo total]]</f>
        <v>9.42</v>
      </c>
      <c r="X938" s="53">
        <f>STOCK[[#This Row],[Ganancia Unitaria]]*STOCK[[#This Row],[Salidas]]</f>
        <v>9.42</v>
      </c>
      <c r="Y938" s="53" t="s">
        <v>1877</v>
      </c>
      <c r="AA938" s="53">
        <f>STOCK[[#This Row],[Costo total]]*STOCK[[#This Row],[Entradas]]</f>
        <v>22.58</v>
      </c>
      <c r="AB938" s="53">
        <f>STOCK[[#This Row],[Stock Actual]]*STOCK[[#This Row],[Costo total]]</f>
        <v>0</v>
      </c>
    </row>
    <row r="939" s="54" customFormat="1" ht="50" customHeight="1" spans="1:28">
      <c r="A939" s="54" t="s">
        <v>1879</v>
      </c>
      <c r="B939" s="66"/>
      <c r="C939" s="54" t="s">
        <v>32</v>
      </c>
      <c r="D939" s="54" t="s">
        <v>44</v>
      </c>
      <c r="E939" s="68" t="s">
        <v>1875</v>
      </c>
      <c r="F939" s="54" t="s">
        <v>46</v>
      </c>
      <c r="G939" s="54" t="s">
        <v>1876</v>
      </c>
      <c r="H939" s="54">
        <f>STOCK[[#This Row],[Precio Final]]</f>
        <v>30</v>
      </c>
      <c r="I939" s="54">
        <f>STOCK[[#This Row],[Precio Venta Ideal (x1.5)]]</f>
        <v>33.57</v>
      </c>
      <c r="J939" s="72">
        <v>2</v>
      </c>
      <c r="K939" s="72">
        <f>SUMIFS(VENTAS[Cantidad],VENTAS[Código del producto Vendido],STOCK[[#This Row],[Code]])</f>
        <v>0</v>
      </c>
      <c r="L939" s="72">
        <f>STOCK[[#This Row],[Entradas]]-STOCK[[#This Row],[Salidas]]</f>
        <v>2</v>
      </c>
      <c r="M939" s="54">
        <f>STOCK[[#This Row],[Precio Final]]*10%</f>
        <v>3</v>
      </c>
      <c r="N939" s="54">
        <v>0</v>
      </c>
      <c r="O939" s="54">
        <v>0</v>
      </c>
      <c r="P939" s="54">
        <v>17.88</v>
      </c>
      <c r="Q939" s="72">
        <v>0</v>
      </c>
      <c r="R939" s="54">
        <v>0</v>
      </c>
      <c r="S939" s="54">
        <v>1.5</v>
      </c>
      <c r="T939" s="53">
        <f>STOCK[[#This Row],[Costo Unitario (USD)]]+STOCK[[#This Row],[Costo Envío (USD)]]+STOCK[[#This Row],[Comisión 10%]]</f>
        <v>22.38</v>
      </c>
      <c r="U939" s="54">
        <f>STOCK[[#This Row],[Costo total]]*1.5</f>
        <v>33.57</v>
      </c>
      <c r="V939" s="54">
        <v>30</v>
      </c>
      <c r="W939" s="54">
        <f>STOCK[[#This Row],[Precio Final]]-STOCK[[#This Row],[Costo total]]</f>
        <v>7.62</v>
      </c>
      <c r="X939" s="54">
        <f>STOCK[[#This Row],[Ganancia Unitaria]]*STOCK[[#This Row],[Salidas]]</f>
        <v>0</v>
      </c>
      <c r="Y939" s="54" t="s">
        <v>1877</v>
      </c>
      <c r="AA939" s="54">
        <f>STOCK[[#This Row],[Costo total]]*STOCK[[#This Row],[Entradas]]</f>
        <v>44.76</v>
      </c>
      <c r="AB939" s="54">
        <f>STOCK[[#This Row],[Stock Actual]]*STOCK[[#This Row],[Costo total]]</f>
        <v>44.76</v>
      </c>
    </row>
    <row r="940" s="53" customFormat="1" ht="50" customHeight="1" spans="1:28">
      <c r="A940" s="53" t="s">
        <v>1880</v>
      </c>
      <c r="B940" s="66"/>
      <c r="C940" s="53" t="s">
        <v>32</v>
      </c>
      <c r="D940" s="53" t="s">
        <v>1881</v>
      </c>
      <c r="E940" s="67" t="s">
        <v>1882</v>
      </c>
      <c r="F940" s="53" t="s">
        <v>1883</v>
      </c>
      <c r="G940" s="53" t="s">
        <v>1876</v>
      </c>
      <c r="H940" s="53">
        <f>STOCK[[#This Row],[Precio Final]]</f>
        <v>35</v>
      </c>
      <c r="I940" s="53">
        <f>STOCK[[#This Row],[Precio Venta Ideal (x1.5)]]</f>
        <v>39.72</v>
      </c>
      <c r="J940" s="71">
        <v>1</v>
      </c>
      <c r="K940" s="71">
        <f>SUMIFS(VENTAS[Cantidad],VENTAS[Código del producto Vendido],STOCK[[#This Row],[Code]])</f>
        <v>1</v>
      </c>
      <c r="L940" s="71">
        <f>STOCK[[#This Row],[Entradas]]-STOCK[[#This Row],[Salidas]]</f>
        <v>0</v>
      </c>
      <c r="M940" s="53">
        <f>STOCK[[#This Row],[Precio Final]]*10%</f>
        <v>3.5</v>
      </c>
      <c r="N940" s="53">
        <v>0</v>
      </c>
      <c r="O940" s="53">
        <v>0</v>
      </c>
      <c r="P940" s="53">
        <v>20.48</v>
      </c>
      <c r="Q940" s="71">
        <v>0</v>
      </c>
      <c r="R940" s="53">
        <v>0</v>
      </c>
      <c r="S940" s="53">
        <v>2.5</v>
      </c>
      <c r="T940" s="53">
        <f>STOCK[[#This Row],[Costo Unitario (USD)]]+STOCK[[#This Row],[Costo Envío (USD)]]+STOCK[[#This Row],[Comisión 10%]]</f>
        <v>26.48</v>
      </c>
      <c r="U940" s="53">
        <f>STOCK[[#This Row],[Costo total]]*1.5</f>
        <v>39.72</v>
      </c>
      <c r="V940" s="53">
        <v>35</v>
      </c>
      <c r="W940" s="53">
        <f>STOCK[[#This Row],[Precio Final]]-STOCK[[#This Row],[Costo total]]</f>
        <v>8.52</v>
      </c>
      <c r="X940" s="53">
        <f>STOCK[[#This Row],[Ganancia Unitaria]]*STOCK[[#This Row],[Salidas]]</f>
        <v>8.52</v>
      </c>
      <c r="Y940" s="53" t="s">
        <v>1877</v>
      </c>
      <c r="AA940" s="53">
        <f>STOCK[[#This Row],[Costo total]]*STOCK[[#This Row],[Entradas]]</f>
        <v>26.48</v>
      </c>
      <c r="AB940" s="53">
        <f>STOCK[[#This Row],[Stock Actual]]*STOCK[[#This Row],[Costo total]]</f>
        <v>0</v>
      </c>
    </row>
    <row r="941" s="54" customFormat="1" ht="50" customHeight="1" spans="1:28">
      <c r="A941" s="54" t="s">
        <v>1884</v>
      </c>
      <c r="B941" s="66"/>
      <c r="C941" s="54" t="s">
        <v>32</v>
      </c>
      <c r="D941" s="54" t="s">
        <v>1881</v>
      </c>
      <c r="E941" s="68" t="s">
        <v>1885</v>
      </c>
      <c r="F941" s="54" t="s">
        <v>1883</v>
      </c>
      <c r="G941" s="54" t="s">
        <v>1876</v>
      </c>
      <c r="H941" s="54">
        <f>STOCK[[#This Row],[Precio Final]]</f>
        <v>35</v>
      </c>
      <c r="I941" s="54">
        <f>STOCK[[#This Row],[Precio Venta Ideal (x1.5)]]</f>
        <v>39.72</v>
      </c>
      <c r="J941" s="72">
        <v>1</v>
      </c>
      <c r="K941" s="72">
        <f>SUMIFS(VENTAS[Cantidad],VENTAS[Código del producto Vendido],STOCK[[#This Row],[Code]])</f>
        <v>1</v>
      </c>
      <c r="L941" s="72">
        <f>STOCK[[#This Row],[Entradas]]-STOCK[[#This Row],[Salidas]]</f>
        <v>0</v>
      </c>
      <c r="M941" s="54">
        <f>STOCK[[#This Row],[Precio Final]]*10%</f>
        <v>3.5</v>
      </c>
      <c r="N941" s="54">
        <v>0</v>
      </c>
      <c r="O941" s="54">
        <v>0</v>
      </c>
      <c r="P941" s="54">
        <v>20.48</v>
      </c>
      <c r="Q941" s="72">
        <v>0</v>
      </c>
      <c r="R941" s="54">
        <v>0</v>
      </c>
      <c r="S941" s="54">
        <v>2.5</v>
      </c>
      <c r="T941" s="53">
        <f>STOCK[[#This Row],[Costo Unitario (USD)]]+STOCK[[#This Row],[Costo Envío (USD)]]+STOCK[[#This Row],[Comisión 10%]]</f>
        <v>26.48</v>
      </c>
      <c r="U941" s="54">
        <f>STOCK[[#This Row],[Costo total]]*1.5</f>
        <v>39.72</v>
      </c>
      <c r="V941" s="54">
        <v>35</v>
      </c>
      <c r="W941" s="54">
        <f>STOCK[[#This Row],[Precio Final]]-STOCK[[#This Row],[Costo total]]</f>
        <v>8.52</v>
      </c>
      <c r="X941" s="54">
        <f>STOCK[[#This Row],[Ganancia Unitaria]]*STOCK[[#This Row],[Salidas]]</f>
        <v>8.52</v>
      </c>
      <c r="Y941" s="54" t="s">
        <v>1877</v>
      </c>
      <c r="AA941" s="54">
        <f>STOCK[[#This Row],[Costo total]]*STOCK[[#This Row],[Entradas]]</f>
        <v>26.48</v>
      </c>
      <c r="AB941" s="54">
        <f>STOCK[[#This Row],[Stock Actual]]*STOCK[[#This Row],[Costo total]]</f>
        <v>0</v>
      </c>
    </row>
    <row r="942" s="53" customFormat="1" ht="50" customHeight="1" spans="1:28">
      <c r="A942" s="53" t="s">
        <v>1886</v>
      </c>
      <c r="B942" s="66"/>
      <c r="C942" s="53" t="s">
        <v>32</v>
      </c>
      <c r="D942" s="53" t="s">
        <v>1819</v>
      </c>
      <c r="E942" s="67" t="s">
        <v>1887</v>
      </c>
      <c r="F942" s="53" t="s">
        <v>1888</v>
      </c>
      <c r="G942" s="53" t="s">
        <v>1876</v>
      </c>
      <c r="H942" s="53">
        <f>STOCK[[#This Row],[Precio Final]]</f>
        <v>35</v>
      </c>
      <c r="I942" s="53">
        <f>STOCK[[#This Row],[Precio Venta Ideal (x1.5)]]</f>
        <v>40.755</v>
      </c>
      <c r="J942" s="71">
        <v>1</v>
      </c>
      <c r="K942" s="71">
        <f>SUMIFS(VENTAS[Cantidad],VENTAS[Código del producto Vendido],STOCK[[#This Row],[Code]])</f>
        <v>1</v>
      </c>
      <c r="L942" s="71">
        <f>STOCK[[#This Row],[Entradas]]-STOCK[[#This Row],[Salidas]]</f>
        <v>0</v>
      </c>
      <c r="M942" s="53">
        <f>STOCK[[#This Row],[Precio Final]]*10%</f>
        <v>3.5</v>
      </c>
      <c r="N942" s="53">
        <v>0</v>
      </c>
      <c r="O942" s="53">
        <v>0</v>
      </c>
      <c r="P942" s="53">
        <v>22.17</v>
      </c>
      <c r="Q942" s="71">
        <v>0</v>
      </c>
      <c r="R942" s="53">
        <v>0</v>
      </c>
      <c r="S942" s="53">
        <v>1.5</v>
      </c>
      <c r="T942" s="53">
        <f>STOCK[[#This Row],[Costo Unitario (USD)]]+STOCK[[#This Row],[Costo Envío (USD)]]+STOCK[[#This Row],[Comisión 10%]]</f>
        <v>27.17</v>
      </c>
      <c r="U942" s="53">
        <f>STOCK[[#This Row],[Costo total]]*1.5</f>
        <v>40.755</v>
      </c>
      <c r="V942" s="53">
        <v>35</v>
      </c>
      <c r="W942" s="53">
        <f>STOCK[[#This Row],[Precio Final]]-STOCK[[#This Row],[Costo total]]</f>
        <v>7.83</v>
      </c>
      <c r="X942" s="53">
        <f>STOCK[[#This Row],[Ganancia Unitaria]]*STOCK[[#This Row],[Salidas]]</f>
        <v>7.83</v>
      </c>
      <c r="Y942" s="53" t="s">
        <v>1877</v>
      </c>
      <c r="AA942" s="53">
        <f>STOCK[[#This Row],[Costo total]]*STOCK[[#This Row],[Entradas]]</f>
        <v>27.17</v>
      </c>
      <c r="AB942" s="53">
        <f>STOCK[[#This Row],[Stock Actual]]*STOCK[[#This Row],[Costo total]]</f>
        <v>0</v>
      </c>
    </row>
    <row r="943" s="54" customFormat="1" ht="50" customHeight="1" spans="1:28">
      <c r="A943" s="54" t="s">
        <v>1889</v>
      </c>
      <c r="B943" s="66"/>
      <c r="C943" s="54" t="s">
        <v>32</v>
      </c>
      <c r="D943" s="54" t="s">
        <v>44</v>
      </c>
      <c r="E943" s="68" t="s">
        <v>1890</v>
      </c>
      <c r="F943" s="54" t="s">
        <v>819</v>
      </c>
      <c r="G943" s="54" t="s">
        <v>1876</v>
      </c>
      <c r="H943" s="54">
        <f>STOCK[[#This Row],[Precio Final]]</f>
        <v>35</v>
      </c>
      <c r="I943" s="54">
        <f>STOCK[[#This Row],[Precio Venta Ideal (x1.5)]]</f>
        <v>40.23</v>
      </c>
      <c r="J943" s="72">
        <v>1</v>
      </c>
      <c r="K943" s="72">
        <f>SUMIFS(VENTAS[Cantidad],VENTAS[Código del producto Vendido],STOCK[[#This Row],[Code]])</f>
        <v>1</v>
      </c>
      <c r="L943" s="72">
        <f>STOCK[[#This Row],[Entradas]]-STOCK[[#This Row],[Salidas]]</f>
        <v>0</v>
      </c>
      <c r="M943" s="54">
        <f>STOCK[[#This Row],[Precio Final]]*10%</f>
        <v>3.5</v>
      </c>
      <c r="N943" s="54">
        <v>0</v>
      </c>
      <c r="O943" s="54">
        <v>0</v>
      </c>
      <c r="P943" s="54">
        <v>21.82</v>
      </c>
      <c r="Q943" s="72">
        <v>0</v>
      </c>
      <c r="R943" s="54">
        <v>0</v>
      </c>
      <c r="S943" s="54">
        <v>1.5</v>
      </c>
      <c r="T943" s="53">
        <f>STOCK[[#This Row],[Costo Unitario (USD)]]+STOCK[[#This Row],[Costo Envío (USD)]]+STOCK[[#This Row],[Comisión 10%]]</f>
        <v>26.82</v>
      </c>
      <c r="U943" s="54">
        <f>STOCK[[#This Row],[Costo total]]*1.5</f>
        <v>40.23</v>
      </c>
      <c r="V943" s="54">
        <v>35</v>
      </c>
      <c r="W943" s="54">
        <f>STOCK[[#This Row],[Precio Final]]-STOCK[[#This Row],[Costo total]]</f>
        <v>8.18</v>
      </c>
      <c r="X943" s="54">
        <f>STOCK[[#This Row],[Ganancia Unitaria]]*STOCK[[#This Row],[Salidas]]</f>
        <v>8.18</v>
      </c>
      <c r="Y943" s="54" t="s">
        <v>1877</v>
      </c>
      <c r="AA943" s="54">
        <f>STOCK[[#This Row],[Costo total]]*STOCK[[#This Row],[Entradas]]</f>
        <v>26.82</v>
      </c>
      <c r="AB943" s="54">
        <f>STOCK[[#This Row],[Stock Actual]]*STOCK[[#This Row],[Costo total]]</f>
        <v>0</v>
      </c>
    </row>
    <row r="944" s="53" customFormat="1" ht="50" customHeight="1" spans="1:28">
      <c r="A944" s="53" t="s">
        <v>1891</v>
      </c>
      <c r="B944" s="66"/>
      <c r="C944" s="53" t="s">
        <v>32</v>
      </c>
      <c r="D944" s="53" t="s">
        <v>1881</v>
      </c>
      <c r="E944" s="67" t="s">
        <v>1892</v>
      </c>
      <c r="F944" s="53" t="s">
        <v>1893</v>
      </c>
      <c r="G944" s="53" t="s">
        <v>1876</v>
      </c>
      <c r="H944" s="53">
        <f>STOCK[[#This Row],[Precio Final]]</f>
        <v>12</v>
      </c>
      <c r="I944" s="53">
        <f>STOCK[[#This Row],[Precio Venta Ideal (x1.5)]]</f>
        <v>11.55</v>
      </c>
      <c r="J944" s="71">
        <v>3</v>
      </c>
      <c r="K944" s="71">
        <f>SUMIFS(VENTAS[Cantidad],VENTAS[Código del producto Vendido],STOCK[[#This Row],[Code]])</f>
        <v>3</v>
      </c>
      <c r="L944" s="71">
        <f>STOCK[[#This Row],[Entradas]]-STOCK[[#This Row],[Salidas]]</f>
        <v>0</v>
      </c>
      <c r="M944" s="53">
        <f>STOCK[[#This Row],[Precio Final]]*10%</f>
        <v>1.2</v>
      </c>
      <c r="N944" s="53">
        <v>0</v>
      </c>
      <c r="O944" s="53">
        <v>0</v>
      </c>
      <c r="P944" s="53">
        <v>5.5</v>
      </c>
      <c r="Q944" s="71">
        <v>0</v>
      </c>
      <c r="R944" s="53">
        <v>0</v>
      </c>
      <c r="S944" s="53">
        <v>1</v>
      </c>
      <c r="T944" s="53">
        <f>STOCK[[#This Row],[Costo Unitario (USD)]]+STOCK[[#This Row],[Costo Envío (USD)]]+STOCK[[#This Row],[Comisión 10%]]</f>
        <v>7.7</v>
      </c>
      <c r="U944" s="53">
        <f>STOCK[[#This Row],[Costo total]]*1.5</f>
        <v>11.55</v>
      </c>
      <c r="V944" s="53">
        <v>12</v>
      </c>
      <c r="W944" s="53">
        <f>STOCK[[#This Row],[Precio Final]]-STOCK[[#This Row],[Costo total]]</f>
        <v>4.3</v>
      </c>
      <c r="X944" s="53">
        <f>STOCK[[#This Row],[Ganancia Unitaria]]*STOCK[[#This Row],[Salidas]]</f>
        <v>12.9</v>
      </c>
      <c r="Y944" s="53" t="s">
        <v>1877</v>
      </c>
      <c r="AA944" s="53">
        <f>STOCK[[#This Row],[Costo total]]*STOCK[[#This Row],[Entradas]]</f>
        <v>23.1</v>
      </c>
      <c r="AB944" s="53">
        <f>STOCK[[#This Row],[Stock Actual]]*STOCK[[#This Row],[Costo total]]</f>
        <v>0</v>
      </c>
    </row>
    <row r="945" s="54" customFormat="1" ht="50" customHeight="1" spans="1:28">
      <c r="A945" s="54" t="s">
        <v>1894</v>
      </c>
      <c r="B945" s="66"/>
      <c r="C945" s="54" t="s">
        <v>32</v>
      </c>
      <c r="D945" s="54" t="s">
        <v>1881</v>
      </c>
      <c r="E945" s="68" t="s">
        <v>1895</v>
      </c>
      <c r="F945" s="54" t="s">
        <v>1883</v>
      </c>
      <c r="G945" s="54" t="s">
        <v>1876</v>
      </c>
      <c r="H945" s="54">
        <f>STOCK[[#This Row],[Precio Final]]</f>
        <v>20</v>
      </c>
      <c r="I945" s="54">
        <f>STOCK[[#This Row],[Precio Venta Ideal (x1.5)]]</f>
        <v>22.125</v>
      </c>
      <c r="J945" s="72">
        <v>2</v>
      </c>
      <c r="K945" s="72">
        <f>SUMIFS(VENTAS[Cantidad],VENTAS[Código del producto Vendido],STOCK[[#This Row],[Code]])</f>
        <v>2</v>
      </c>
      <c r="L945" s="72">
        <f>STOCK[[#This Row],[Entradas]]-STOCK[[#This Row],[Salidas]]</f>
        <v>0</v>
      </c>
      <c r="M945" s="54">
        <f>STOCK[[#This Row],[Precio Final]]*10%</f>
        <v>2</v>
      </c>
      <c r="N945" s="54">
        <v>0</v>
      </c>
      <c r="O945" s="54">
        <v>0</v>
      </c>
      <c r="P945" s="54">
        <v>10.95</v>
      </c>
      <c r="Q945" s="72">
        <v>0</v>
      </c>
      <c r="R945" s="54">
        <v>0</v>
      </c>
      <c r="S945" s="54">
        <v>1.8</v>
      </c>
      <c r="T945" s="53">
        <f>STOCK[[#This Row],[Costo Unitario (USD)]]+STOCK[[#This Row],[Costo Envío (USD)]]+STOCK[[#This Row],[Comisión 10%]]</f>
        <v>14.75</v>
      </c>
      <c r="U945" s="54">
        <f>STOCK[[#This Row],[Costo total]]*1.5</f>
        <v>22.125</v>
      </c>
      <c r="V945" s="54">
        <v>20</v>
      </c>
      <c r="W945" s="54">
        <f>STOCK[[#This Row],[Precio Final]]-STOCK[[#This Row],[Costo total]]</f>
        <v>5.25</v>
      </c>
      <c r="X945" s="54">
        <f>STOCK[[#This Row],[Ganancia Unitaria]]*STOCK[[#This Row],[Salidas]]</f>
        <v>10.5</v>
      </c>
      <c r="Y945" s="54" t="s">
        <v>1877</v>
      </c>
      <c r="AA945" s="54">
        <f>STOCK[[#This Row],[Costo total]]*STOCK[[#This Row],[Entradas]]</f>
        <v>29.5</v>
      </c>
      <c r="AB945" s="54">
        <f>STOCK[[#This Row],[Stock Actual]]*STOCK[[#This Row],[Costo total]]</f>
        <v>0</v>
      </c>
    </row>
    <row r="946" s="53" customFormat="1" ht="50" customHeight="1" spans="1:28">
      <c r="A946" s="53" t="s">
        <v>1896</v>
      </c>
      <c r="B946" s="66"/>
      <c r="C946" s="53" t="s">
        <v>32</v>
      </c>
      <c r="D946" s="53" t="s">
        <v>1881</v>
      </c>
      <c r="E946" s="67" t="s">
        <v>1897</v>
      </c>
      <c r="F946" s="53" t="s">
        <v>1883</v>
      </c>
      <c r="G946" s="53" t="s">
        <v>1876</v>
      </c>
      <c r="H946" s="53">
        <f>STOCK[[#This Row],[Precio Final]]</f>
        <v>20</v>
      </c>
      <c r="I946" s="53">
        <f>STOCK[[#This Row],[Precio Venta Ideal (x1.5)]]</f>
        <v>22.125</v>
      </c>
      <c r="J946" s="71">
        <v>2</v>
      </c>
      <c r="K946" s="71">
        <f>SUMIFS(VENTAS[Cantidad],VENTAS[Código del producto Vendido],STOCK[[#This Row],[Code]])</f>
        <v>2</v>
      </c>
      <c r="L946" s="71">
        <f>STOCK[[#This Row],[Entradas]]-STOCK[[#This Row],[Salidas]]</f>
        <v>0</v>
      </c>
      <c r="M946" s="53">
        <f>STOCK[[#This Row],[Precio Final]]*10%</f>
        <v>2</v>
      </c>
      <c r="N946" s="53">
        <v>0</v>
      </c>
      <c r="O946" s="53">
        <v>0</v>
      </c>
      <c r="P946" s="53">
        <v>10.95</v>
      </c>
      <c r="Q946" s="71">
        <v>0</v>
      </c>
      <c r="R946" s="53">
        <v>0</v>
      </c>
      <c r="S946" s="53">
        <v>1.8</v>
      </c>
      <c r="T946" s="53">
        <f>STOCK[[#This Row],[Costo Unitario (USD)]]+STOCK[[#This Row],[Costo Envío (USD)]]+STOCK[[#This Row],[Comisión 10%]]</f>
        <v>14.75</v>
      </c>
      <c r="U946" s="53">
        <f>STOCK[[#This Row],[Costo total]]*1.5</f>
        <v>22.125</v>
      </c>
      <c r="V946" s="53">
        <v>20</v>
      </c>
      <c r="W946" s="53">
        <f>STOCK[[#This Row],[Precio Final]]-STOCK[[#This Row],[Costo total]]</f>
        <v>5.25</v>
      </c>
      <c r="X946" s="53">
        <f>STOCK[[#This Row],[Ganancia Unitaria]]*STOCK[[#This Row],[Salidas]]</f>
        <v>10.5</v>
      </c>
      <c r="Y946" s="53" t="s">
        <v>1877</v>
      </c>
      <c r="AA946" s="53">
        <f>STOCK[[#This Row],[Costo total]]*STOCK[[#This Row],[Entradas]]</f>
        <v>29.5</v>
      </c>
      <c r="AB946" s="53">
        <f>STOCK[[#This Row],[Stock Actual]]*STOCK[[#This Row],[Costo total]]</f>
        <v>0</v>
      </c>
    </row>
    <row r="947" s="54" customFormat="1" ht="50" customHeight="1" spans="1:28">
      <c r="A947" s="54" t="s">
        <v>1898</v>
      </c>
      <c r="B947" s="66"/>
      <c r="C947" s="54" t="s">
        <v>32</v>
      </c>
      <c r="D947" s="54" t="s">
        <v>1881</v>
      </c>
      <c r="E947" s="68" t="s">
        <v>1899</v>
      </c>
      <c r="F947" s="54" t="s">
        <v>1893</v>
      </c>
      <c r="G947" s="54" t="s">
        <v>1876</v>
      </c>
      <c r="H947" s="54">
        <f>STOCK[[#This Row],[Precio Final]]</f>
        <v>25</v>
      </c>
      <c r="I947" s="54">
        <f>STOCK[[#This Row],[Precio Venta Ideal (x1.5)]]</f>
        <v>22.68</v>
      </c>
      <c r="J947" s="72">
        <v>3</v>
      </c>
      <c r="K947" s="72">
        <f>SUMIFS(VENTAS[Cantidad],VENTAS[Código del producto Vendido],STOCK[[#This Row],[Code]])</f>
        <v>3</v>
      </c>
      <c r="L947" s="72">
        <f>STOCK[[#This Row],[Entradas]]-STOCK[[#This Row],[Salidas]]</f>
        <v>0</v>
      </c>
      <c r="M947" s="54">
        <f>STOCK[[#This Row],[Precio Final]]*10%</f>
        <v>2.5</v>
      </c>
      <c r="N947" s="54">
        <v>0</v>
      </c>
      <c r="O947" s="54">
        <v>0</v>
      </c>
      <c r="P947" s="54">
        <v>10.82</v>
      </c>
      <c r="Q947" s="72">
        <v>0</v>
      </c>
      <c r="R947" s="54">
        <v>0</v>
      </c>
      <c r="S947" s="54">
        <v>1.8</v>
      </c>
      <c r="T947" s="53">
        <f>STOCK[[#This Row],[Costo Unitario (USD)]]+STOCK[[#This Row],[Costo Envío (USD)]]+STOCK[[#This Row],[Comisión 10%]]</f>
        <v>15.12</v>
      </c>
      <c r="U947" s="54">
        <f>STOCK[[#This Row],[Costo total]]*1.5</f>
        <v>22.68</v>
      </c>
      <c r="V947" s="54">
        <v>25</v>
      </c>
      <c r="W947" s="54">
        <f>STOCK[[#This Row],[Precio Final]]-STOCK[[#This Row],[Costo total]]</f>
        <v>9.88</v>
      </c>
      <c r="X947" s="54">
        <f>STOCK[[#This Row],[Ganancia Unitaria]]*STOCK[[#This Row],[Salidas]]</f>
        <v>29.64</v>
      </c>
      <c r="Y947" s="54" t="s">
        <v>1877</v>
      </c>
      <c r="AA947" s="54">
        <f>STOCK[[#This Row],[Costo total]]*STOCK[[#This Row],[Entradas]]</f>
        <v>45.36</v>
      </c>
      <c r="AB947" s="54">
        <f>STOCK[[#This Row],[Stock Actual]]*STOCK[[#This Row],[Costo total]]</f>
        <v>0</v>
      </c>
    </row>
    <row r="948" s="53" customFormat="1" ht="50" customHeight="1" spans="1:28">
      <c r="A948" s="53" t="s">
        <v>1900</v>
      </c>
      <c r="B948" s="66"/>
      <c r="C948" s="53" t="s">
        <v>32</v>
      </c>
      <c r="D948" s="53" t="s">
        <v>1881</v>
      </c>
      <c r="E948" s="67" t="s">
        <v>1901</v>
      </c>
      <c r="F948" s="53" t="s">
        <v>525</v>
      </c>
      <c r="G948" s="53" t="s">
        <v>1876</v>
      </c>
      <c r="H948" s="53">
        <f>STOCK[[#This Row],[Precio Final]]</f>
        <v>25</v>
      </c>
      <c r="I948" s="53">
        <f>STOCK[[#This Row],[Precio Venta Ideal (x1.5)]]</f>
        <v>21.405</v>
      </c>
      <c r="J948" s="71">
        <v>3</v>
      </c>
      <c r="K948" s="71">
        <f>SUMIFS(VENTAS[Cantidad],VENTAS[Código del producto Vendido],STOCK[[#This Row],[Code]])</f>
        <v>2</v>
      </c>
      <c r="L948" s="71">
        <f>STOCK[[#This Row],[Entradas]]-STOCK[[#This Row],[Salidas]]</f>
        <v>1</v>
      </c>
      <c r="M948" s="53">
        <f>STOCK[[#This Row],[Precio Final]]*10%</f>
        <v>2.5</v>
      </c>
      <c r="N948" s="53">
        <v>0</v>
      </c>
      <c r="O948" s="53">
        <v>0</v>
      </c>
      <c r="P948" s="53">
        <v>9.97</v>
      </c>
      <c r="Q948" s="71">
        <v>0</v>
      </c>
      <c r="R948" s="53">
        <v>0</v>
      </c>
      <c r="S948" s="53">
        <v>1.8</v>
      </c>
      <c r="T948" s="53">
        <f>STOCK[[#This Row],[Costo Unitario (USD)]]+STOCK[[#This Row],[Costo Envío (USD)]]+STOCK[[#This Row],[Comisión 10%]]</f>
        <v>14.27</v>
      </c>
      <c r="U948" s="53">
        <f>STOCK[[#This Row],[Costo total]]*1.5</f>
        <v>21.405</v>
      </c>
      <c r="V948" s="53">
        <v>25</v>
      </c>
      <c r="W948" s="53">
        <f>STOCK[[#This Row],[Precio Final]]-STOCK[[#This Row],[Costo total]]</f>
        <v>10.73</v>
      </c>
      <c r="X948" s="53">
        <f>STOCK[[#This Row],[Ganancia Unitaria]]*STOCK[[#This Row],[Salidas]]</f>
        <v>21.46</v>
      </c>
      <c r="Y948" s="53" t="s">
        <v>1877</v>
      </c>
      <c r="AA948" s="53">
        <f>STOCK[[#This Row],[Costo total]]*STOCK[[#This Row],[Entradas]]</f>
        <v>42.81</v>
      </c>
      <c r="AB948" s="53">
        <f>STOCK[[#This Row],[Stock Actual]]*STOCK[[#This Row],[Costo total]]</f>
        <v>14.27</v>
      </c>
    </row>
    <row r="949" s="54" customFormat="1" ht="50" customHeight="1" spans="1:28">
      <c r="A949" s="54" t="s">
        <v>1902</v>
      </c>
      <c r="B949" s="66"/>
      <c r="C949" s="54" t="s">
        <v>32</v>
      </c>
      <c r="D949" s="54" t="s">
        <v>1867</v>
      </c>
      <c r="E949" s="68" t="s">
        <v>1903</v>
      </c>
      <c r="F949" s="54" t="s">
        <v>1904</v>
      </c>
      <c r="G949" s="54" t="s">
        <v>1876</v>
      </c>
      <c r="H949" s="54">
        <f>STOCK[[#This Row],[Precio Final]]</f>
        <v>14</v>
      </c>
      <c r="I949" s="54">
        <f>STOCK[[#This Row],[Precio Venta Ideal (x1.5)]]</f>
        <v>15.9</v>
      </c>
      <c r="J949" s="72">
        <v>2</v>
      </c>
      <c r="K949" s="72">
        <f>SUMIFS(VENTAS[Cantidad],VENTAS[Código del producto Vendido],STOCK[[#This Row],[Code]])</f>
        <v>2</v>
      </c>
      <c r="L949" s="72">
        <f>STOCK[[#This Row],[Entradas]]-STOCK[[#This Row],[Salidas]]</f>
        <v>0</v>
      </c>
      <c r="M949" s="54">
        <f>STOCK[[#This Row],[Precio Final]]*10%</f>
        <v>1.4</v>
      </c>
      <c r="N949" s="54">
        <v>0</v>
      </c>
      <c r="O949" s="54">
        <v>0</v>
      </c>
      <c r="P949" s="54">
        <v>8.7</v>
      </c>
      <c r="Q949" s="72">
        <v>0</v>
      </c>
      <c r="R949" s="54">
        <v>0</v>
      </c>
      <c r="S949" s="54">
        <v>0.5</v>
      </c>
      <c r="T949" s="53">
        <f>STOCK[[#This Row],[Costo Unitario (USD)]]+STOCK[[#This Row],[Costo Envío (USD)]]+STOCK[[#This Row],[Comisión 10%]]</f>
        <v>10.6</v>
      </c>
      <c r="U949" s="54">
        <f>STOCK[[#This Row],[Costo total]]*1.5</f>
        <v>15.9</v>
      </c>
      <c r="V949" s="54">
        <v>14</v>
      </c>
      <c r="W949" s="54">
        <f>STOCK[[#This Row],[Precio Final]]-STOCK[[#This Row],[Costo total]]</f>
        <v>3.4</v>
      </c>
      <c r="X949" s="54">
        <f>STOCK[[#This Row],[Ganancia Unitaria]]*STOCK[[#This Row],[Salidas]]</f>
        <v>6.8</v>
      </c>
      <c r="Y949" s="54" t="s">
        <v>1877</v>
      </c>
      <c r="AA949" s="54">
        <f>STOCK[[#This Row],[Costo total]]*STOCK[[#This Row],[Entradas]]</f>
        <v>21.2</v>
      </c>
      <c r="AB949" s="54">
        <f>STOCK[[#This Row],[Stock Actual]]*STOCK[[#This Row],[Costo total]]</f>
        <v>0</v>
      </c>
    </row>
    <row r="950" s="53" customFormat="1" ht="50" customHeight="1" spans="1:28">
      <c r="A950" s="53" t="s">
        <v>1905</v>
      </c>
      <c r="B950" s="66"/>
      <c r="C950" s="53" t="s">
        <v>32</v>
      </c>
      <c r="D950" s="53" t="s">
        <v>1867</v>
      </c>
      <c r="E950" s="67" t="s">
        <v>1903</v>
      </c>
      <c r="F950" s="53" t="s">
        <v>49</v>
      </c>
      <c r="G950" s="53" t="s">
        <v>1876</v>
      </c>
      <c r="H950" s="53">
        <f>STOCK[[#This Row],[Precio Final]]</f>
        <v>14</v>
      </c>
      <c r="I950" s="53">
        <f>STOCK[[#This Row],[Precio Venta Ideal (x1.5)]]</f>
        <v>15.9</v>
      </c>
      <c r="J950" s="71">
        <v>2</v>
      </c>
      <c r="K950" s="71">
        <f>SUMIFS(VENTAS[Cantidad],VENTAS[Código del producto Vendido],STOCK[[#This Row],[Code]])</f>
        <v>2</v>
      </c>
      <c r="L950" s="71">
        <f>STOCK[[#This Row],[Entradas]]-STOCK[[#This Row],[Salidas]]</f>
        <v>0</v>
      </c>
      <c r="M950" s="53">
        <f>STOCK[[#This Row],[Precio Final]]*10%</f>
        <v>1.4</v>
      </c>
      <c r="N950" s="53">
        <v>0</v>
      </c>
      <c r="O950" s="53">
        <v>0</v>
      </c>
      <c r="P950" s="53">
        <v>8.7</v>
      </c>
      <c r="Q950" s="71">
        <v>0</v>
      </c>
      <c r="R950" s="53">
        <v>0</v>
      </c>
      <c r="S950" s="53">
        <v>0.5</v>
      </c>
      <c r="T950" s="53">
        <f>STOCK[[#This Row],[Costo Unitario (USD)]]+STOCK[[#This Row],[Costo Envío (USD)]]+STOCK[[#This Row],[Comisión 10%]]</f>
        <v>10.6</v>
      </c>
      <c r="U950" s="53">
        <f>STOCK[[#This Row],[Costo total]]*1.5</f>
        <v>15.9</v>
      </c>
      <c r="V950" s="53">
        <v>14</v>
      </c>
      <c r="W950" s="53">
        <f>STOCK[[#This Row],[Precio Final]]-STOCK[[#This Row],[Costo total]]</f>
        <v>3.4</v>
      </c>
      <c r="X950" s="53">
        <f>STOCK[[#This Row],[Ganancia Unitaria]]*STOCK[[#This Row],[Salidas]]</f>
        <v>6.8</v>
      </c>
      <c r="Y950" s="53" t="s">
        <v>1877</v>
      </c>
      <c r="AA950" s="53">
        <f>STOCK[[#This Row],[Costo total]]*STOCK[[#This Row],[Entradas]]</f>
        <v>21.2</v>
      </c>
      <c r="AB950" s="53">
        <f>STOCK[[#This Row],[Stock Actual]]*STOCK[[#This Row],[Costo total]]</f>
        <v>0</v>
      </c>
    </row>
    <row r="951" s="54" customFormat="1" ht="50" customHeight="1" spans="1:28">
      <c r="A951" s="54" t="s">
        <v>1906</v>
      </c>
      <c r="B951" s="66"/>
      <c r="C951" s="54" t="s">
        <v>32</v>
      </c>
      <c r="D951" s="54" t="s">
        <v>1867</v>
      </c>
      <c r="E951" s="68" t="s">
        <v>1903</v>
      </c>
      <c r="F951" s="54" t="s">
        <v>46</v>
      </c>
      <c r="G951" s="54" t="s">
        <v>1876</v>
      </c>
      <c r="H951" s="54">
        <f>STOCK[[#This Row],[Precio Final]]</f>
        <v>14</v>
      </c>
      <c r="I951" s="54">
        <f>STOCK[[#This Row],[Precio Venta Ideal (x1.5)]]</f>
        <v>15.9</v>
      </c>
      <c r="J951" s="72">
        <v>2</v>
      </c>
      <c r="K951" s="72">
        <f>SUMIFS(VENTAS[Cantidad],VENTAS[Código del producto Vendido],STOCK[[#This Row],[Code]])</f>
        <v>1</v>
      </c>
      <c r="L951" s="72">
        <f>STOCK[[#This Row],[Entradas]]-STOCK[[#This Row],[Salidas]]</f>
        <v>1</v>
      </c>
      <c r="M951" s="54">
        <f>STOCK[[#This Row],[Precio Final]]*10%</f>
        <v>1.4</v>
      </c>
      <c r="N951" s="54">
        <v>0</v>
      </c>
      <c r="O951" s="54">
        <v>0</v>
      </c>
      <c r="P951" s="54">
        <v>8.7</v>
      </c>
      <c r="Q951" s="72">
        <v>0</v>
      </c>
      <c r="R951" s="54">
        <v>0</v>
      </c>
      <c r="S951" s="54">
        <v>0.5</v>
      </c>
      <c r="T951" s="53">
        <f>STOCK[[#This Row],[Costo Unitario (USD)]]+STOCK[[#This Row],[Costo Envío (USD)]]+STOCK[[#This Row],[Comisión 10%]]</f>
        <v>10.6</v>
      </c>
      <c r="U951" s="54">
        <f>STOCK[[#This Row],[Costo total]]*1.5</f>
        <v>15.9</v>
      </c>
      <c r="V951" s="54">
        <v>14</v>
      </c>
      <c r="W951" s="54">
        <f>STOCK[[#This Row],[Precio Final]]-STOCK[[#This Row],[Costo total]]</f>
        <v>3.4</v>
      </c>
      <c r="X951" s="54">
        <f>STOCK[[#This Row],[Ganancia Unitaria]]*STOCK[[#This Row],[Salidas]]</f>
        <v>3.4</v>
      </c>
      <c r="Y951" s="54" t="s">
        <v>1877</v>
      </c>
      <c r="AA951" s="54">
        <f>STOCK[[#This Row],[Costo total]]*STOCK[[#This Row],[Entradas]]</f>
        <v>21.2</v>
      </c>
      <c r="AB951" s="54">
        <f>STOCK[[#This Row],[Stock Actual]]*STOCK[[#This Row],[Costo total]]</f>
        <v>10.6</v>
      </c>
    </row>
    <row r="952" s="53" customFormat="1" ht="50" customHeight="1" spans="1:28">
      <c r="A952" s="53" t="s">
        <v>1907</v>
      </c>
      <c r="B952" s="66"/>
      <c r="C952" s="53" t="s">
        <v>32</v>
      </c>
      <c r="D952" s="53" t="s">
        <v>1881</v>
      </c>
      <c r="E952" s="67" t="s">
        <v>1908</v>
      </c>
      <c r="F952" s="53" t="s">
        <v>525</v>
      </c>
      <c r="G952" s="53" t="s">
        <v>1876</v>
      </c>
      <c r="H952" s="53">
        <f>STOCK[[#This Row],[Precio Final]]</f>
        <v>35</v>
      </c>
      <c r="I952" s="53">
        <f>STOCK[[#This Row],[Precio Venta Ideal (x1.5)]]</f>
        <v>37.47</v>
      </c>
      <c r="J952" s="71">
        <v>2</v>
      </c>
      <c r="K952" s="71">
        <f>SUMIFS(VENTAS[Cantidad],VENTAS[Código del producto Vendido],STOCK[[#This Row],[Code]])</f>
        <v>1</v>
      </c>
      <c r="L952" s="71">
        <f>STOCK[[#This Row],[Entradas]]-STOCK[[#This Row],[Salidas]]</f>
        <v>1</v>
      </c>
      <c r="M952" s="53">
        <f>STOCK[[#This Row],[Precio Final]]*10%</f>
        <v>3.5</v>
      </c>
      <c r="N952" s="53">
        <v>0</v>
      </c>
      <c r="O952" s="53">
        <v>0</v>
      </c>
      <c r="P952" s="53">
        <v>19.48</v>
      </c>
      <c r="Q952" s="71">
        <v>0</v>
      </c>
      <c r="R952" s="53">
        <v>0</v>
      </c>
      <c r="S952" s="53">
        <v>2</v>
      </c>
      <c r="T952" s="53">
        <f>STOCK[[#This Row],[Costo Unitario (USD)]]+STOCK[[#This Row],[Costo Envío (USD)]]+STOCK[[#This Row],[Comisión 10%]]</f>
        <v>24.98</v>
      </c>
      <c r="U952" s="53">
        <f>STOCK[[#This Row],[Costo total]]*1.5</f>
        <v>37.47</v>
      </c>
      <c r="V952" s="53">
        <v>35</v>
      </c>
      <c r="W952" s="53">
        <f>STOCK[[#This Row],[Precio Final]]-STOCK[[#This Row],[Costo total]]</f>
        <v>10.02</v>
      </c>
      <c r="X952" s="53">
        <f>STOCK[[#This Row],[Ganancia Unitaria]]*STOCK[[#This Row],[Salidas]]</f>
        <v>10.02</v>
      </c>
      <c r="Y952" s="53" t="s">
        <v>1877</v>
      </c>
      <c r="AA952" s="53">
        <f>STOCK[[#This Row],[Costo total]]*STOCK[[#This Row],[Entradas]]</f>
        <v>49.96</v>
      </c>
      <c r="AB952" s="53">
        <f>STOCK[[#This Row],[Stock Actual]]*STOCK[[#This Row],[Costo total]]</f>
        <v>24.98</v>
      </c>
    </row>
    <row r="953" s="54" customFormat="1" ht="50" customHeight="1" spans="1:28">
      <c r="A953" s="54" t="s">
        <v>1909</v>
      </c>
      <c r="B953" s="66"/>
      <c r="C953" s="54" t="s">
        <v>32</v>
      </c>
      <c r="D953" s="54" t="s">
        <v>1910</v>
      </c>
      <c r="E953" s="68" t="s">
        <v>1911</v>
      </c>
      <c r="F953" s="54" t="s">
        <v>1912</v>
      </c>
      <c r="G953" s="54" t="s">
        <v>1876</v>
      </c>
      <c r="H953" s="54">
        <f>STOCK[[#This Row],[Precio Final]]</f>
        <v>8</v>
      </c>
      <c r="I953" s="54">
        <f>STOCK[[#This Row],[Precio Venta Ideal (x1.5)]]</f>
        <v>7.875</v>
      </c>
      <c r="J953" s="72">
        <v>2</v>
      </c>
      <c r="K953" s="72">
        <f>SUMIFS(VENTAS[Cantidad],VENTAS[Código del producto Vendido],STOCK[[#This Row],[Code]])</f>
        <v>2</v>
      </c>
      <c r="L953" s="72">
        <f>STOCK[[#This Row],[Entradas]]-STOCK[[#This Row],[Salidas]]</f>
        <v>0</v>
      </c>
      <c r="M953" s="54">
        <f>STOCK[[#This Row],[Precio Final]]*10%</f>
        <v>0.8</v>
      </c>
      <c r="N953" s="54">
        <v>0</v>
      </c>
      <c r="O953" s="54">
        <v>0</v>
      </c>
      <c r="P953" s="54">
        <v>3.25</v>
      </c>
      <c r="Q953" s="72">
        <v>0</v>
      </c>
      <c r="R953" s="54">
        <v>0</v>
      </c>
      <c r="S953" s="54">
        <v>1.2</v>
      </c>
      <c r="T953" s="53">
        <f>STOCK[[#This Row],[Costo Unitario (USD)]]+STOCK[[#This Row],[Costo Envío (USD)]]+STOCK[[#This Row],[Comisión 10%]]</f>
        <v>5.25</v>
      </c>
      <c r="U953" s="54">
        <f>STOCK[[#This Row],[Costo total]]*1.5</f>
        <v>7.875</v>
      </c>
      <c r="V953" s="54">
        <v>8</v>
      </c>
      <c r="W953" s="54">
        <f>STOCK[[#This Row],[Precio Final]]-STOCK[[#This Row],[Costo total]]</f>
        <v>2.75</v>
      </c>
      <c r="X953" s="54">
        <f>STOCK[[#This Row],[Ganancia Unitaria]]*STOCK[[#This Row],[Salidas]]</f>
        <v>5.5</v>
      </c>
      <c r="Y953" s="54" t="s">
        <v>1877</v>
      </c>
      <c r="AA953" s="54">
        <f>STOCK[[#This Row],[Costo total]]*STOCK[[#This Row],[Entradas]]</f>
        <v>10.5</v>
      </c>
      <c r="AB953" s="54">
        <f>STOCK[[#This Row],[Stock Actual]]*STOCK[[#This Row],[Costo total]]</f>
        <v>0</v>
      </c>
    </row>
    <row r="954" s="53" customFormat="1" ht="50" customHeight="1" spans="1:28">
      <c r="A954" s="53" t="s">
        <v>1913</v>
      </c>
      <c r="B954" s="66"/>
      <c r="C954" s="53" t="s">
        <v>32</v>
      </c>
      <c r="D954" s="53" t="s">
        <v>1910</v>
      </c>
      <c r="E954" s="67" t="s">
        <v>1914</v>
      </c>
      <c r="F954" s="53" t="s">
        <v>1912</v>
      </c>
      <c r="G954" s="53" t="s">
        <v>1876</v>
      </c>
      <c r="H954" s="53">
        <f>STOCK[[#This Row],[Precio Final]]</f>
        <v>8</v>
      </c>
      <c r="I954" s="53">
        <f>STOCK[[#This Row],[Precio Venta Ideal (x1.5)]]</f>
        <v>7.875</v>
      </c>
      <c r="J954" s="71">
        <v>2</v>
      </c>
      <c r="K954" s="71">
        <f>SUMIFS(VENTAS[Cantidad],VENTAS[Código del producto Vendido],STOCK[[#This Row],[Code]])</f>
        <v>2</v>
      </c>
      <c r="L954" s="71">
        <f>STOCK[[#This Row],[Entradas]]-STOCK[[#This Row],[Salidas]]</f>
        <v>0</v>
      </c>
      <c r="M954" s="53">
        <f>STOCK[[#This Row],[Precio Final]]*10%</f>
        <v>0.8</v>
      </c>
      <c r="N954" s="53">
        <v>0</v>
      </c>
      <c r="O954" s="53">
        <v>0</v>
      </c>
      <c r="P954" s="53">
        <v>3.25</v>
      </c>
      <c r="Q954" s="71">
        <v>0</v>
      </c>
      <c r="R954" s="53">
        <v>0</v>
      </c>
      <c r="S954" s="53">
        <v>1.2</v>
      </c>
      <c r="T954" s="53">
        <f>STOCK[[#This Row],[Costo Unitario (USD)]]+STOCK[[#This Row],[Costo Envío (USD)]]+STOCK[[#This Row],[Comisión 10%]]</f>
        <v>5.25</v>
      </c>
      <c r="U954" s="53">
        <f>STOCK[[#This Row],[Costo total]]*1.5</f>
        <v>7.875</v>
      </c>
      <c r="V954" s="53">
        <v>8</v>
      </c>
      <c r="W954" s="53">
        <f>STOCK[[#This Row],[Precio Final]]-STOCK[[#This Row],[Costo total]]</f>
        <v>2.75</v>
      </c>
      <c r="X954" s="53">
        <f>STOCK[[#This Row],[Ganancia Unitaria]]*STOCK[[#This Row],[Salidas]]</f>
        <v>5.5</v>
      </c>
      <c r="Y954" s="53" t="s">
        <v>1877</v>
      </c>
      <c r="AA954" s="53">
        <f>STOCK[[#This Row],[Costo total]]*STOCK[[#This Row],[Entradas]]</f>
        <v>10.5</v>
      </c>
      <c r="AB954" s="53">
        <f>STOCK[[#This Row],[Stock Actual]]*STOCK[[#This Row],[Costo total]]</f>
        <v>0</v>
      </c>
    </row>
    <row r="955" s="54" customFormat="1" ht="50" customHeight="1" spans="1:28">
      <c r="A955" s="54" t="s">
        <v>1915</v>
      </c>
      <c r="B955" s="66"/>
      <c r="C955" s="54" t="s">
        <v>32</v>
      </c>
      <c r="D955" s="54" t="s">
        <v>1910</v>
      </c>
      <c r="E955" s="68" t="s">
        <v>1916</v>
      </c>
      <c r="F955" s="54" t="s">
        <v>1912</v>
      </c>
      <c r="G955" s="54" t="s">
        <v>1876</v>
      </c>
      <c r="H955" s="54">
        <f>STOCK[[#This Row],[Precio Final]]</f>
        <v>8</v>
      </c>
      <c r="I955" s="54">
        <f>STOCK[[#This Row],[Precio Venta Ideal (x1.5)]]</f>
        <v>8.49</v>
      </c>
      <c r="J955" s="72">
        <v>2</v>
      </c>
      <c r="K955" s="72">
        <f>SUMIFS(VENTAS[Cantidad],VENTAS[Código del producto Vendido],STOCK[[#This Row],[Code]])</f>
        <v>2</v>
      </c>
      <c r="L955" s="72">
        <f>STOCK[[#This Row],[Entradas]]-STOCK[[#This Row],[Salidas]]</f>
        <v>0</v>
      </c>
      <c r="M955" s="54">
        <f>STOCK[[#This Row],[Precio Final]]*10%</f>
        <v>0.8</v>
      </c>
      <c r="N955" s="54">
        <v>0</v>
      </c>
      <c r="O955" s="54">
        <v>0</v>
      </c>
      <c r="P955" s="54">
        <v>3.66</v>
      </c>
      <c r="Q955" s="72">
        <v>0</v>
      </c>
      <c r="R955" s="54">
        <v>0</v>
      </c>
      <c r="S955" s="54">
        <v>1.2</v>
      </c>
      <c r="T955" s="53">
        <f>STOCK[[#This Row],[Costo Unitario (USD)]]+STOCK[[#This Row],[Costo Envío (USD)]]+STOCK[[#This Row],[Comisión 10%]]</f>
        <v>5.66</v>
      </c>
      <c r="U955" s="54">
        <f>STOCK[[#This Row],[Costo total]]*1.5</f>
        <v>8.49</v>
      </c>
      <c r="V955" s="54">
        <v>8</v>
      </c>
      <c r="W955" s="54">
        <f>STOCK[[#This Row],[Precio Final]]-STOCK[[#This Row],[Costo total]]</f>
        <v>2.34</v>
      </c>
      <c r="X955" s="54">
        <f>STOCK[[#This Row],[Ganancia Unitaria]]*STOCK[[#This Row],[Salidas]]</f>
        <v>4.68</v>
      </c>
      <c r="Y955" s="54" t="s">
        <v>1877</v>
      </c>
      <c r="AA955" s="54">
        <f>STOCK[[#This Row],[Costo total]]*STOCK[[#This Row],[Entradas]]</f>
        <v>11.32</v>
      </c>
      <c r="AB955" s="54">
        <f>STOCK[[#This Row],[Stock Actual]]*STOCK[[#This Row],[Costo total]]</f>
        <v>0</v>
      </c>
    </row>
    <row r="956" s="53" customFormat="1" ht="50" customHeight="1" spans="1:28">
      <c r="A956" s="53" t="s">
        <v>1917</v>
      </c>
      <c r="B956" s="66"/>
      <c r="C956" s="53" t="s">
        <v>32</v>
      </c>
      <c r="D956" s="53" t="s">
        <v>1918</v>
      </c>
      <c r="E956" s="67" t="s">
        <v>1919</v>
      </c>
      <c r="F956" s="53" t="s">
        <v>1920</v>
      </c>
      <c r="G956" s="53" t="s">
        <v>36</v>
      </c>
      <c r="H956" s="53">
        <f>STOCK[[#This Row],[Precio Final]]</f>
        <v>0</v>
      </c>
      <c r="I956" s="53">
        <f>STOCK[[#This Row],[Precio Venta Ideal (x1.5)]]</f>
        <v>17.415</v>
      </c>
      <c r="J956" s="71">
        <v>0</v>
      </c>
      <c r="K956" s="71">
        <f>SUMIFS(VENTAS[Cantidad],VENTAS[Código del producto Vendido],STOCK[[#This Row],[Code]])</f>
        <v>0</v>
      </c>
      <c r="L956" s="71">
        <f>STOCK[[#This Row],[Entradas]]-STOCK[[#This Row],[Salidas]]</f>
        <v>0</v>
      </c>
      <c r="M956" s="53">
        <f>STOCK[[#This Row],[Precio Final]]*10%</f>
        <v>0</v>
      </c>
      <c r="N956" s="53">
        <v>0</v>
      </c>
      <c r="O956" s="53">
        <v>0</v>
      </c>
      <c r="P956" s="53">
        <v>11.61</v>
      </c>
      <c r="Q956" s="71">
        <v>0</v>
      </c>
      <c r="R956" s="53">
        <v>0</v>
      </c>
      <c r="S956" s="53">
        <v>0</v>
      </c>
      <c r="T956" s="53">
        <f>STOCK[[#This Row],[Costo Unitario (USD)]]+STOCK[[#This Row],[Costo Envío (USD)]]+STOCK[[#This Row],[Comisión 10%]]</f>
        <v>11.61</v>
      </c>
      <c r="U956" s="53">
        <f>STOCK[[#This Row],[Costo total]]*1.5</f>
        <v>17.415</v>
      </c>
      <c r="W956" s="53">
        <f>STOCK[[#This Row],[Precio Final]]-STOCK[[#This Row],[Costo total]]</f>
        <v>-11.61</v>
      </c>
      <c r="X956" s="53">
        <f>STOCK[[#This Row],[Ganancia Unitaria]]*STOCK[[#This Row],[Salidas]]</f>
        <v>0</v>
      </c>
      <c r="Y956" s="53" t="s">
        <v>1921</v>
      </c>
      <c r="AA956" s="53">
        <f>STOCK[[#This Row],[Costo total]]*STOCK[[#This Row],[Entradas]]</f>
        <v>0</v>
      </c>
      <c r="AB956" s="53">
        <f>STOCK[[#This Row],[Stock Actual]]*STOCK[[#This Row],[Costo total]]</f>
        <v>0</v>
      </c>
    </row>
    <row r="957" s="54" customFormat="1" ht="50" customHeight="1" spans="1:28">
      <c r="A957" s="54" t="s">
        <v>1922</v>
      </c>
      <c r="B957" s="66"/>
      <c r="C957" s="54" t="s">
        <v>32</v>
      </c>
      <c r="D957" s="54" t="s">
        <v>1923</v>
      </c>
      <c r="E957" s="68" t="s">
        <v>1919</v>
      </c>
      <c r="F957" s="54" t="s">
        <v>1924</v>
      </c>
      <c r="G957" s="54" t="s">
        <v>36</v>
      </c>
      <c r="H957" s="54">
        <f>STOCK[[#This Row],[Precio Final]]</f>
        <v>30</v>
      </c>
      <c r="I957" s="54">
        <f>STOCK[[#This Row],[Precio Venta Ideal (x1.5)]]</f>
        <v>21.915</v>
      </c>
      <c r="J957" s="72">
        <v>1</v>
      </c>
      <c r="K957" s="72">
        <f>SUMIFS(VENTAS[Cantidad],VENTAS[Código del producto Vendido],STOCK[[#This Row],[Code]])</f>
        <v>1</v>
      </c>
      <c r="L957" s="72">
        <f>STOCK[[#This Row],[Entradas]]-STOCK[[#This Row],[Salidas]]</f>
        <v>0</v>
      </c>
      <c r="M957" s="54">
        <f>STOCK[[#This Row],[Precio Final]]*10%</f>
        <v>3</v>
      </c>
      <c r="N957" s="54">
        <v>0</v>
      </c>
      <c r="O957" s="54">
        <v>0</v>
      </c>
      <c r="P957" s="54">
        <v>11.61</v>
      </c>
      <c r="Q957" s="72">
        <v>0</v>
      </c>
      <c r="R957" s="54">
        <v>0</v>
      </c>
      <c r="S957" s="54">
        <v>0</v>
      </c>
      <c r="T957" s="53">
        <f>STOCK[[#This Row],[Costo Unitario (USD)]]+STOCK[[#This Row],[Costo Envío (USD)]]+STOCK[[#This Row],[Comisión 10%]]</f>
        <v>14.61</v>
      </c>
      <c r="U957" s="54">
        <f>STOCK[[#This Row],[Costo total]]*1.5</f>
        <v>21.915</v>
      </c>
      <c r="V957" s="54">
        <v>30</v>
      </c>
      <c r="W957" s="54">
        <f>STOCK[[#This Row],[Precio Final]]-STOCK[[#This Row],[Costo total]]</f>
        <v>15.39</v>
      </c>
      <c r="X957" s="54">
        <f>STOCK[[#This Row],[Ganancia Unitaria]]*STOCK[[#This Row],[Salidas]]</f>
        <v>15.39</v>
      </c>
      <c r="Y957" s="54" t="s">
        <v>1921</v>
      </c>
      <c r="AA957" s="54">
        <f>STOCK[[#This Row],[Costo total]]*STOCK[[#This Row],[Entradas]]</f>
        <v>14.61</v>
      </c>
      <c r="AB957" s="54">
        <f>STOCK[[#This Row],[Stock Actual]]*STOCK[[#This Row],[Costo total]]</f>
        <v>0</v>
      </c>
    </row>
    <row r="958" s="53" customFormat="1" ht="50" customHeight="1" spans="1:28">
      <c r="A958" s="53" t="s">
        <v>1925</v>
      </c>
      <c r="B958" s="66"/>
      <c r="C958" s="53" t="s">
        <v>32</v>
      </c>
      <c r="D958" s="53" t="s">
        <v>44</v>
      </c>
      <c r="E958" s="67" t="s">
        <v>1926</v>
      </c>
      <c r="F958" s="53" t="s">
        <v>62</v>
      </c>
      <c r="G958" s="53" t="s">
        <v>36</v>
      </c>
      <c r="H958" s="53">
        <f>STOCK[[#This Row],[Precio Final]]</f>
        <v>30</v>
      </c>
      <c r="I958" s="53">
        <f>STOCK[[#This Row],[Precio Venta Ideal (x1.5)]]</f>
        <v>21.915</v>
      </c>
      <c r="J958" s="71">
        <v>1</v>
      </c>
      <c r="K958" s="71">
        <f>SUMIFS(VENTAS[Cantidad],VENTAS[Código del producto Vendido],STOCK[[#This Row],[Code]])</f>
        <v>1</v>
      </c>
      <c r="L958" s="71">
        <f>STOCK[[#This Row],[Entradas]]-STOCK[[#This Row],[Salidas]]</f>
        <v>0</v>
      </c>
      <c r="M958" s="53">
        <f>STOCK[[#This Row],[Precio Final]]*10%</f>
        <v>3</v>
      </c>
      <c r="N958" s="53">
        <v>0</v>
      </c>
      <c r="O958" s="53">
        <v>0</v>
      </c>
      <c r="P958" s="53">
        <v>11.61</v>
      </c>
      <c r="Q958" s="71">
        <v>0</v>
      </c>
      <c r="R958" s="53">
        <v>0</v>
      </c>
      <c r="S958" s="53">
        <v>0</v>
      </c>
      <c r="T958" s="53">
        <f>STOCK[[#This Row],[Costo Unitario (USD)]]+STOCK[[#This Row],[Costo Envío (USD)]]+STOCK[[#This Row],[Comisión 10%]]</f>
        <v>14.61</v>
      </c>
      <c r="U958" s="53">
        <f>STOCK[[#This Row],[Costo total]]*1.5</f>
        <v>21.915</v>
      </c>
      <c r="V958" s="53">
        <v>30</v>
      </c>
      <c r="W958" s="53">
        <f>STOCK[[#This Row],[Precio Final]]-STOCK[[#This Row],[Costo total]]</f>
        <v>15.39</v>
      </c>
      <c r="X958" s="53">
        <f>STOCK[[#This Row],[Ganancia Unitaria]]*STOCK[[#This Row],[Salidas]]</f>
        <v>15.39</v>
      </c>
      <c r="Y958" s="53" t="s">
        <v>1921</v>
      </c>
      <c r="AA958" s="53">
        <f>STOCK[[#This Row],[Costo total]]*STOCK[[#This Row],[Entradas]]</f>
        <v>14.61</v>
      </c>
      <c r="AB958" s="53">
        <f>STOCK[[#This Row],[Stock Actual]]*STOCK[[#This Row],[Costo total]]</f>
        <v>0</v>
      </c>
    </row>
    <row r="959" s="54" customFormat="1" ht="50" customHeight="1" spans="1:28">
      <c r="A959" s="54" t="s">
        <v>1927</v>
      </c>
      <c r="B959" s="66"/>
      <c r="C959" s="54" t="s">
        <v>32</v>
      </c>
      <c r="D959" s="54" t="s">
        <v>1928</v>
      </c>
      <c r="E959" s="68" t="s">
        <v>1929</v>
      </c>
      <c r="F959" s="54" t="s">
        <v>1930</v>
      </c>
      <c r="G959" s="54" t="s">
        <v>36</v>
      </c>
      <c r="H959" s="54">
        <f>STOCK[[#This Row],[Precio Final]]</f>
        <v>12</v>
      </c>
      <c r="I959" s="54">
        <f>STOCK[[#This Row],[Precio Venta Ideal (x1.5)]]</f>
        <v>9.255</v>
      </c>
      <c r="J959" s="72">
        <v>2</v>
      </c>
      <c r="K959" s="72">
        <f>SUMIFS(VENTAS[Cantidad],VENTAS[Código del producto Vendido],STOCK[[#This Row],[Code]])</f>
        <v>2</v>
      </c>
      <c r="L959" s="72">
        <f>STOCK[[#This Row],[Entradas]]-STOCK[[#This Row],[Salidas]]</f>
        <v>0</v>
      </c>
      <c r="M959" s="54">
        <f>STOCK[[#This Row],[Precio Final]]*10%</f>
        <v>1.2</v>
      </c>
      <c r="N959" s="54">
        <v>0</v>
      </c>
      <c r="O959" s="54">
        <v>0</v>
      </c>
      <c r="P959" s="54">
        <v>4.97</v>
      </c>
      <c r="Q959" s="72">
        <v>0</v>
      </c>
      <c r="R959" s="54">
        <v>0</v>
      </c>
      <c r="S959" s="54">
        <v>0</v>
      </c>
      <c r="T959" s="53">
        <f>STOCK[[#This Row],[Costo Unitario (USD)]]+STOCK[[#This Row],[Costo Envío (USD)]]+STOCK[[#This Row],[Comisión 10%]]</f>
        <v>6.17</v>
      </c>
      <c r="U959" s="54">
        <f>STOCK[[#This Row],[Costo total]]*1.5</f>
        <v>9.255</v>
      </c>
      <c r="V959" s="54">
        <v>12</v>
      </c>
      <c r="W959" s="54">
        <f>STOCK[[#This Row],[Precio Final]]-STOCK[[#This Row],[Costo total]]</f>
        <v>5.83</v>
      </c>
      <c r="X959" s="54">
        <f>STOCK[[#This Row],[Ganancia Unitaria]]*STOCK[[#This Row],[Salidas]]</f>
        <v>11.66</v>
      </c>
      <c r="Y959" s="54" t="s">
        <v>1921</v>
      </c>
      <c r="AA959" s="54">
        <f>STOCK[[#This Row],[Costo total]]*STOCK[[#This Row],[Entradas]]</f>
        <v>12.34</v>
      </c>
      <c r="AB959" s="54">
        <f>STOCK[[#This Row],[Stock Actual]]*STOCK[[#This Row],[Costo total]]</f>
        <v>0</v>
      </c>
    </row>
    <row r="960" s="53" customFormat="1" ht="50" customHeight="1" spans="1:28">
      <c r="A960" s="53" t="s">
        <v>1931</v>
      </c>
      <c r="B960" s="66"/>
      <c r="C960" s="53" t="s">
        <v>32</v>
      </c>
      <c r="D960" s="53" t="s">
        <v>1928</v>
      </c>
      <c r="E960" s="67" t="s">
        <v>1929</v>
      </c>
      <c r="F960" s="53" t="s">
        <v>1932</v>
      </c>
      <c r="G960" s="53" t="s">
        <v>36</v>
      </c>
      <c r="H960" s="53">
        <f>STOCK[[#This Row],[Precio Final]]</f>
        <v>12</v>
      </c>
      <c r="I960" s="53">
        <f>STOCK[[#This Row],[Precio Venta Ideal (x1.5)]]</f>
        <v>9.255</v>
      </c>
      <c r="J960" s="71">
        <v>2</v>
      </c>
      <c r="K960" s="71">
        <f>SUMIFS(VENTAS[Cantidad],VENTAS[Código del producto Vendido],STOCK[[#This Row],[Code]])</f>
        <v>2</v>
      </c>
      <c r="L960" s="71">
        <f>STOCK[[#This Row],[Entradas]]-STOCK[[#This Row],[Salidas]]</f>
        <v>0</v>
      </c>
      <c r="M960" s="53">
        <f>STOCK[[#This Row],[Precio Final]]*10%</f>
        <v>1.2</v>
      </c>
      <c r="N960" s="53">
        <v>0</v>
      </c>
      <c r="O960" s="53">
        <v>0</v>
      </c>
      <c r="P960" s="53">
        <v>4.97</v>
      </c>
      <c r="Q960" s="71">
        <v>0</v>
      </c>
      <c r="R960" s="53">
        <v>0</v>
      </c>
      <c r="S960" s="53">
        <v>0</v>
      </c>
      <c r="T960" s="53">
        <f>STOCK[[#This Row],[Costo Unitario (USD)]]+STOCK[[#This Row],[Costo Envío (USD)]]+STOCK[[#This Row],[Comisión 10%]]</f>
        <v>6.17</v>
      </c>
      <c r="U960" s="53">
        <f>STOCK[[#This Row],[Costo total]]*1.5</f>
        <v>9.255</v>
      </c>
      <c r="V960" s="53">
        <v>12</v>
      </c>
      <c r="W960" s="53">
        <f>STOCK[[#This Row],[Precio Final]]-STOCK[[#This Row],[Costo total]]</f>
        <v>5.83</v>
      </c>
      <c r="X960" s="53">
        <f>STOCK[[#This Row],[Ganancia Unitaria]]*STOCK[[#This Row],[Salidas]]</f>
        <v>11.66</v>
      </c>
      <c r="Y960" s="53" t="s">
        <v>1921</v>
      </c>
      <c r="AA960" s="53">
        <f>STOCK[[#This Row],[Costo total]]*STOCK[[#This Row],[Entradas]]</f>
        <v>12.34</v>
      </c>
      <c r="AB960" s="53">
        <f>STOCK[[#This Row],[Stock Actual]]*STOCK[[#This Row],[Costo total]]</f>
        <v>0</v>
      </c>
    </row>
    <row r="961" s="54" customFormat="1" ht="50" customHeight="1" spans="1:28">
      <c r="A961" s="54" t="s">
        <v>1933</v>
      </c>
      <c r="B961" s="66"/>
      <c r="C961" s="54" t="s">
        <v>32</v>
      </c>
      <c r="D961" s="54" t="s">
        <v>1928</v>
      </c>
      <c r="E961" s="68" t="s">
        <v>1929</v>
      </c>
      <c r="F961" s="54" t="s">
        <v>1934</v>
      </c>
      <c r="G961" s="54" t="s">
        <v>36</v>
      </c>
      <c r="H961" s="54">
        <f>STOCK[[#This Row],[Precio Final]]</f>
        <v>12</v>
      </c>
      <c r="I961" s="54">
        <f>STOCK[[#This Row],[Precio Venta Ideal (x1.5)]]</f>
        <v>9.255</v>
      </c>
      <c r="J961" s="72">
        <v>1</v>
      </c>
      <c r="K961" s="72">
        <f>SUMIFS(VENTAS[Cantidad],VENTAS[Código del producto Vendido],STOCK[[#This Row],[Code]])</f>
        <v>1</v>
      </c>
      <c r="L961" s="72">
        <f>STOCK[[#This Row],[Entradas]]-STOCK[[#This Row],[Salidas]]</f>
        <v>0</v>
      </c>
      <c r="M961" s="54">
        <f>STOCK[[#This Row],[Precio Final]]*10%</f>
        <v>1.2</v>
      </c>
      <c r="N961" s="54">
        <v>0</v>
      </c>
      <c r="O961" s="54">
        <v>0</v>
      </c>
      <c r="P961" s="54">
        <v>4.97</v>
      </c>
      <c r="Q961" s="72">
        <v>0</v>
      </c>
      <c r="R961" s="54">
        <v>0</v>
      </c>
      <c r="S961" s="54">
        <v>0</v>
      </c>
      <c r="T961" s="53">
        <f>STOCK[[#This Row],[Costo Unitario (USD)]]+STOCK[[#This Row],[Costo Envío (USD)]]+STOCK[[#This Row],[Comisión 10%]]</f>
        <v>6.17</v>
      </c>
      <c r="U961" s="54">
        <f>STOCK[[#This Row],[Costo total]]*1.5</f>
        <v>9.255</v>
      </c>
      <c r="V961" s="54">
        <v>12</v>
      </c>
      <c r="W961" s="54">
        <f>STOCK[[#This Row],[Precio Final]]-STOCK[[#This Row],[Costo total]]</f>
        <v>5.83</v>
      </c>
      <c r="X961" s="54">
        <f>STOCK[[#This Row],[Ganancia Unitaria]]*STOCK[[#This Row],[Salidas]]</f>
        <v>5.83</v>
      </c>
      <c r="Y961" s="54" t="s">
        <v>1921</v>
      </c>
      <c r="AA961" s="54">
        <f>STOCK[[#This Row],[Costo total]]*STOCK[[#This Row],[Entradas]]</f>
        <v>6.17</v>
      </c>
      <c r="AB961" s="54">
        <f>STOCK[[#This Row],[Stock Actual]]*STOCK[[#This Row],[Costo total]]</f>
        <v>0</v>
      </c>
    </row>
    <row r="962" s="53" customFormat="1" ht="50" customHeight="1" spans="1:28">
      <c r="A962" s="53" t="s">
        <v>1935</v>
      </c>
      <c r="B962" s="66"/>
      <c r="C962" s="53" t="s">
        <v>32</v>
      </c>
      <c r="D962" s="53" t="s">
        <v>1928</v>
      </c>
      <c r="E962" s="67" t="s">
        <v>1929</v>
      </c>
      <c r="F962" s="53" t="s">
        <v>1936</v>
      </c>
      <c r="G962" s="53" t="s">
        <v>36</v>
      </c>
      <c r="H962" s="53">
        <f>STOCK[[#This Row],[Precio Final]]</f>
        <v>0</v>
      </c>
      <c r="I962" s="53">
        <f>STOCK[[#This Row],[Precio Venta Ideal (x1.5)]]</f>
        <v>7.455</v>
      </c>
      <c r="J962" s="71">
        <v>0</v>
      </c>
      <c r="K962" s="71">
        <f>SUMIFS(VENTAS[Cantidad],VENTAS[Código del producto Vendido],STOCK[[#This Row],[Code]])</f>
        <v>0</v>
      </c>
      <c r="L962" s="71">
        <f>STOCK[[#This Row],[Entradas]]-STOCK[[#This Row],[Salidas]]</f>
        <v>0</v>
      </c>
      <c r="M962" s="53">
        <f>STOCK[[#This Row],[Precio Final]]*10%</f>
        <v>0</v>
      </c>
      <c r="N962" s="53">
        <v>0</v>
      </c>
      <c r="O962" s="53">
        <v>0</v>
      </c>
      <c r="P962" s="53">
        <v>4.97</v>
      </c>
      <c r="Q962" s="71">
        <v>0</v>
      </c>
      <c r="R962" s="53">
        <v>0</v>
      </c>
      <c r="S962" s="53">
        <v>0</v>
      </c>
      <c r="T962" s="53">
        <f>STOCK[[#This Row],[Costo Unitario (USD)]]+STOCK[[#This Row],[Costo Envío (USD)]]+STOCK[[#This Row],[Comisión 10%]]</f>
        <v>4.97</v>
      </c>
      <c r="U962" s="53">
        <f>STOCK[[#This Row],[Costo total]]*1.5</f>
        <v>7.455</v>
      </c>
      <c r="W962" s="53">
        <f>STOCK[[#This Row],[Precio Final]]-STOCK[[#This Row],[Costo total]]</f>
        <v>-4.97</v>
      </c>
      <c r="X962" s="53">
        <f>STOCK[[#This Row],[Ganancia Unitaria]]*STOCK[[#This Row],[Salidas]]</f>
        <v>0</v>
      </c>
      <c r="Y962" s="53" t="s">
        <v>1921</v>
      </c>
      <c r="AA962" s="53">
        <f>STOCK[[#This Row],[Costo total]]*STOCK[[#This Row],[Entradas]]</f>
        <v>0</v>
      </c>
      <c r="AB962" s="53">
        <f>STOCK[[#This Row],[Stock Actual]]*STOCK[[#This Row],[Costo total]]</f>
        <v>0</v>
      </c>
    </row>
    <row r="963" s="54" customFormat="1" ht="50" customHeight="1" spans="1:28">
      <c r="A963" s="54" t="s">
        <v>1937</v>
      </c>
      <c r="B963" s="66"/>
      <c r="C963" s="54" t="s">
        <v>32</v>
      </c>
      <c r="D963" s="54" t="s">
        <v>1938</v>
      </c>
      <c r="E963" s="68" t="s">
        <v>1939</v>
      </c>
      <c r="F963" s="54" t="s">
        <v>62</v>
      </c>
      <c r="G963" s="54" t="s">
        <v>36</v>
      </c>
      <c r="H963" s="54">
        <f>STOCK[[#This Row],[Precio Final]]</f>
        <v>8</v>
      </c>
      <c r="I963" s="54">
        <f>STOCK[[#This Row],[Precio Venta Ideal (x1.5)]]</f>
        <v>6.975</v>
      </c>
      <c r="J963" s="72">
        <v>3</v>
      </c>
      <c r="K963" s="72">
        <f>SUMIFS(VENTAS[Cantidad],VENTAS[Código del producto Vendido],STOCK[[#This Row],[Code]])</f>
        <v>1</v>
      </c>
      <c r="L963" s="72">
        <f>STOCK[[#This Row],[Entradas]]-STOCK[[#This Row],[Salidas]]</f>
        <v>2</v>
      </c>
      <c r="M963" s="54">
        <f>STOCK[[#This Row],[Precio Final]]*10%</f>
        <v>0.8</v>
      </c>
      <c r="N963" s="54">
        <v>0</v>
      </c>
      <c r="O963" s="54">
        <v>0</v>
      </c>
      <c r="P963" s="54">
        <v>3.85</v>
      </c>
      <c r="Q963" s="72">
        <v>0</v>
      </c>
      <c r="R963" s="54">
        <v>0</v>
      </c>
      <c r="S963" s="54">
        <v>0</v>
      </c>
      <c r="T963" s="53">
        <f>STOCK[[#This Row],[Costo Unitario (USD)]]+STOCK[[#This Row],[Costo Envío (USD)]]+STOCK[[#This Row],[Comisión 10%]]</f>
        <v>4.65</v>
      </c>
      <c r="U963" s="54">
        <f>STOCK[[#This Row],[Costo total]]*1.5</f>
        <v>6.975</v>
      </c>
      <c r="V963" s="54">
        <v>8</v>
      </c>
      <c r="W963" s="54">
        <f>STOCK[[#This Row],[Precio Final]]-STOCK[[#This Row],[Costo total]]</f>
        <v>3.35</v>
      </c>
      <c r="X963" s="54">
        <f>STOCK[[#This Row],[Ganancia Unitaria]]*STOCK[[#This Row],[Salidas]]</f>
        <v>3.35</v>
      </c>
      <c r="Y963" s="54" t="s">
        <v>1921</v>
      </c>
      <c r="AA963" s="54">
        <f>STOCK[[#This Row],[Costo total]]*STOCK[[#This Row],[Entradas]]</f>
        <v>13.95</v>
      </c>
      <c r="AB963" s="54">
        <f>STOCK[[#This Row],[Stock Actual]]*STOCK[[#This Row],[Costo total]]</f>
        <v>9.3</v>
      </c>
    </row>
    <row r="964" s="53" customFormat="1" ht="50" customHeight="1" spans="1:28">
      <c r="A964" s="53" t="s">
        <v>1940</v>
      </c>
      <c r="B964" s="66"/>
      <c r="C964" s="53" t="s">
        <v>32</v>
      </c>
      <c r="D964" s="54" t="s">
        <v>1938</v>
      </c>
      <c r="E964" s="67" t="s">
        <v>1941</v>
      </c>
      <c r="F964" s="53" t="s">
        <v>62</v>
      </c>
      <c r="G964" s="53" t="s">
        <v>36</v>
      </c>
      <c r="H964" s="53">
        <f>STOCK[[#This Row],[Precio Final]]</f>
        <v>8</v>
      </c>
      <c r="I964" s="53">
        <f>STOCK[[#This Row],[Precio Venta Ideal (x1.5)]]</f>
        <v>6.975</v>
      </c>
      <c r="J964" s="71">
        <v>2</v>
      </c>
      <c r="K964" s="71">
        <f>SUMIFS(VENTAS[Cantidad],VENTAS[Código del producto Vendido],STOCK[[#This Row],[Code]])</f>
        <v>0</v>
      </c>
      <c r="L964" s="71">
        <f>STOCK[[#This Row],[Entradas]]-STOCK[[#This Row],[Salidas]]</f>
        <v>2</v>
      </c>
      <c r="M964" s="53">
        <f>STOCK[[#This Row],[Precio Final]]*10%</f>
        <v>0.8</v>
      </c>
      <c r="N964" s="53">
        <v>0</v>
      </c>
      <c r="O964" s="53">
        <v>0</v>
      </c>
      <c r="P964" s="53">
        <v>3.85</v>
      </c>
      <c r="Q964" s="71">
        <v>0</v>
      </c>
      <c r="R964" s="53">
        <v>0</v>
      </c>
      <c r="S964" s="53">
        <v>0</v>
      </c>
      <c r="T964" s="53">
        <f>STOCK[[#This Row],[Costo Unitario (USD)]]+STOCK[[#This Row],[Costo Envío (USD)]]+STOCK[[#This Row],[Comisión 10%]]</f>
        <v>4.65</v>
      </c>
      <c r="U964" s="53">
        <f>STOCK[[#This Row],[Costo total]]*1.5</f>
        <v>6.975</v>
      </c>
      <c r="V964" s="53">
        <v>8</v>
      </c>
      <c r="W964" s="53">
        <f>STOCK[[#This Row],[Precio Final]]-STOCK[[#This Row],[Costo total]]</f>
        <v>3.35</v>
      </c>
      <c r="X964" s="53">
        <f>STOCK[[#This Row],[Ganancia Unitaria]]*STOCK[[#This Row],[Salidas]]</f>
        <v>0</v>
      </c>
      <c r="Y964" s="53" t="s">
        <v>1921</v>
      </c>
      <c r="AA964" s="53">
        <f>STOCK[[#This Row],[Costo total]]*STOCK[[#This Row],[Entradas]]</f>
        <v>9.3</v>
      </c>
      <c r="AB964" s="53">
        <f>STOCK[[#This Row],[Stock Actual]]*STOCK[[#This Row],[Costo total]]</f>
        <v>9.3</v>
      </c>
    </row>
    <row r="965" s="54" customFormat="1" ht="50" customHeight="1" spans="1:28">
      <c r="A965" s="54" t="s">
        <v>1942</v>
      </c>
      <c r="B965" s="66"/>
      <c r="C965" s="54" t="s">
        <v>32</v>
      </c>
      <c r="D965" s="54" t="s">
        <v>1938</v>
      </c>
      <c r="E965" s="68" t="s">
        <v>1941</v>
      </c>
      <c r="F965" s="54" t="s">
        <v>49</v>
      </c>
      <c r="G965" s="54" t="s">
        <v>36</v>
      </c>
      <c r="H965" s="54">
        <f>STOCK[[#This Row],[Precio Final]]</f>
        <v>8</v>
      </c>
      <c r="I965" s="54">
        <f>STOCK[[#This Row],[Precio Venta Ideal (x1.5)]]</f>
        <v>6.975</v>
      </c>
      <c r="J965" s="72">
        <v>2</v>
      </c>
      <c r="K965" s="72">
        <f>SUMIFS(VENTAS[Cantidad],VENTAS[Código del producto Vendido],STOCK[[#This Row],[Code]])</f>
        <v>0</v>
      </c>
      <c r="L965" s="72">
        <f>STOCK[[#This Row],[Entradas]]-STOCK[[#This Row],[Salidas]]</f>
        <v>2</v>
      </c>
      <c r="M965" s="54">
        <f>STOCK[[#This Row],[Precio Final]]*10%</f>
        <v>0.8</v>
      </c>
      <c r="N965" s="54">
        <v>0</v>
      </c>
      <c r="O965" s="54">
        <v>0</v>
      </c>
      <c r="P965" s="54">
        <v>3.85</v>
      </c>
      <c r="Q965" s="72">
        <v>0</v>
      </c>
      <c r="R965" s="54">
        <v>0</v>
      </c>
      <c r="S965" s="54">
        <v>0</v>
      </c>
      <c r="T965" s="53">
        <f>STOCK[[#This Row],[Costo Unitario (USD)]]+STOCK[[#This Row],[Costo Envío (USD)]]+STOCK[[#This Row],[Comisión 10%]]</f>
        <v>4.65</v>
      </c>
      <c r="U965" s="54">
        <f>STOCK[[#This Row],[Costo total]]*1.5</f>
        <v>6.975</v>
      </c>
      <c r="V965" s="54">
        <v>8</v>
      </c>
      <c r="W965" s="54">
        <f>STOCK[[#This Row],[Precio Final]]-STOCK[[#This Row],[Costo total]]</f>
        <v>3.35</v>
      </c>
      <c r="X965" s="54">
        <f>STOCK[[#This Row],[Ganancia Unitaria]]*STOCK[[#This Row],[Salidas]]</f>
        <v>0</v>
      </c>
      <c r="Y965" s="54" t="s">
        <v>1921</v>
      </c>
      <c r="AA965" s="54">
        <f>STOCK[[#This Row],[Costo total]]*STOCK[[#This Row],[Entradas]]</f>
        <v>9.3</v>
      </c>
      <c r="AB965" s="54">
        <f>STOCK[[#This Row],[Stock Actual]]*STOCK[[#This Row],[Costo total]]</f>
        <v>9.3</v>
      </c>
    </row>
    <row r="966" s="53" customFormat="1" ht="50" customHeight="1" spans="1:28">
      <c r="A966" s="53" t="s">
        <v>1943</v>
      </c>
      <c r="B966" s="66"/>
      <c r="C966" s="53" t="s">
        <v>32</v>
      </c>
      <c r="D966" s="53" t="s">
        <v>1944</v>
      </c>
      <c r="E966" s="67" t="s">
        <v>1757</v>
      </c>
      <c r="F966" s="53" t="s">
        <v>1945</v>
      </c>
      <c r="G966" s="53" t="s">
        <v>36</v>
      </c>
      <c r="H966" s="53">
        <f>STOCK[[#This Row],[Precio Final]]</f>
        <v>30</v>
      </c>
      <c r="I966" s="53">
        <f>STOCK[[#This Row],[Precio Venta Ideal (x1.5)]]</f>
        <v>31.455</v>
      </c>
      <c r="J966" s="71">
        <v>2</v>
      </c>
      <c r="K966" s="71">
        <f>SUMIFS(VENTAS[Cantidad],VENTAS[Código del producto Vendido],STOCK[[#This Row],[Code]])</f>
        <v>2</v>
      </c>
      <c r="L966" s="71">
        <f>STOCK[[#This Row],[Entradas]]-STOCK[[#This Row],[Salidas]]</f>
        <v>0</v>
      </c>
      <c r="M966" s="53">
        <f>STOCK[[#This Row],[Precio Final]]*10%</f>
        <v>3</v>
      </c>
      <c r="N966" s="53">
        <v>0</v>
      </c>
      <c r="O966" s="53">
        <v>0</v>
      </c>
      <c r="P966" s="53">
        <v>17.97</v>
      </c>
      <c r="Q966" s="71">
        <v>0</v>
      </c>
      <c r="R966" s="53">
        <v>0</v>
      </c>
      <c r="S966" s="53">
        <v>0</v>
      </c>
      <c r="T966" s="53">
        <f>STOCK[[#This Row],[Costo Unitario (USD)]]+STOCK[[#This Row],[Costo Envío (USD)]]+STOCK[[#This Row],[Comisión 10%]]</f>
        <v>20.97</v>
      </c>
      <c r="U966" s="53">
        <f>STOCK[[#This Row],[Costo total]]*1.5</f>
        <v>31.455</v>
      </c>
      <c r="V966" s="53">
        <v>30</v>
      </c>
      <c r="W966" s="53">
        <f>STOCK[[#This Row],[Precio Final]]-STOCK[[#This Row],[Costo total]]</f>
        <v>9.03</v>
      </c>
      <c r="X966" s="53">
        <f>STOCK[[#This Row],[Ganancia Unitaria]]*STOCK[[#This Row],[Salidas]]</f>
        <v>18.06</v>
      </c>
      <c r="Y966" s="53" t="s">
        <v>1921</v>
      </c>
      <c r="AA966" s="53">
        <f>STOCK[[#This Row],[Costo total]]*STOCK[[#This Row],[Entradas]]</f>
        <v>41.94</v>
      </c>
      <c r="AB966" s="53">
        <f>STOCK[[#This Row],[Stock Actual]]*STOCK[[#This Row],[Costo total]]</f>
        <v>0</v>
      </c>
    </row>
    <row r="967" s="54" customFormat="1" ht="50" customHeight="1" spans="1:29">
      <c r="A967" s="54" t="s">
        <v>1946</v>
      </c>
      <c r="B967" s="66"/>
      <c r="C967" s="54" t="s">
        <v>32</v>
      </c>
      <c r="D967" s="54" t="s">
        <v>216</v>
      </c>
      <c r="E967" s="68" t="s">
        <v>1947</v>
      </c>
      <c r="F967" s="54" t="s">
        <v>46</v>
      </c>
      <c r="G967" s="54" t="s">
        <v>36</v>
      </c>
      <c r="H967" s="54">
        <f>STOCK[[#This Row],[Precio Final]]</f>
        <v>30</v>
      </c>
      <c r="I967" s="54">
        <f>STOCK[[#This Row],[Precio Venta Ideal (x1.5)]]</f>
        <v>26.73</v>
      </c>
      <c r="J967" s="72">
        <v>2</v>
      </c>
      <c r="K967" s="72">
        <f>SUMIFS(VENTAS[Cantidad],VENTAS[Código del producto Vendido],STOCK[[#This Row],[Code]])</f>
        <v>0</v>
      </c>
      <c r="L967" s="72">
        <f>STOCK[[#This Row],[Entradas]]-STOCK[[#This Row],[Salidas]]</f>
        <v>2</v>
      </c>
      <c r="M967" s="54">
        <f>STOCK[[#This Row],[Precio Final]]*10%</f>
        <v>3</v>
      </c>
      <c r="N967" s="54">
        <v>0</v>
      </c>
      <c r="O967" s="54">
        <v>0</v>
      </c>
      <c r="P967" s="54">
        <v>14.82</v>
      </c>
      <c r="Q967" s="72">
        <v>0</v>
      </c>
      <c r="R967" s="54">
        <v>0</v>
      </c>
      <c r="S967" s="54">
        <v>0</v>
      </c>
      <c r="T967" s="53">
        <f>STOCK[[#This Row],[Costo Unitario (USD)]]+STOCK[[#This Row],[Costo Envío (USD)]]+STOCK[[#This Row],[Comisión 10%]]</f>
        <v>17.82</v>
      </c>
      <c r="U967" s="54">
        <f>STOCK[[#This Row],[Costo total]]*1.5</f>
        <v>26.73</v>
      </c>
      <c r="V967" s="54">
        <v>30</v>
      </c>
      <c r="W967" s="54">
        <f>STOCK[[#This Row],[Precio Final]]-STOCK[[#This Row],[Costo total]]</f>
        <v>12.18</v>
      </c>
      <c r="X967" s="54">
        <f>STOCK[[#This Row],[Ganancia Unitaria]]*STOCK[[#This Row],[Salidas]]</f>
        <v>0</v>
      </c>
      <c r="AA967" s="54">
        <f>STOCK[[#This Row],[Costo total]]*STOCK[[#This Row],[Entradas]]</f>
        <v>35.64</v>
      </c>
      <c r="AB967" s="54">
        <f>STOCK[[#This Row],[Stock Actual]]*STOCK[[#This Row],[Costo total]]</f>
        <v>35.64</v>
      </c>
      <c r="AC967" s="54">
        <v>28</v>
      </c>
    </row>
    <row r="968" s="53" customFormat="1" ht="50" customHeight="1" spans="1:28">
      <c r="A968" s="53" t="s">
        <v>1948</v>
      </c>
      <c r="B968" s="66"/>
      <c r="C968" s="53" t="s">
        <v>32</v>
      </c>
      <c r="D968" s="53" t="s">
        <v>1949</v>
      </c>
      <c r="E968" s="67" t="s">
        <v>1950</v>
      </c>
      <c r="F968" s="53" t="s">
        <v>1951</v>
      </c>
      <c r="G968" s="53" t="s">
        <v>1952</v>
      </c>
      <c r="H968" s="53">
        <f>STOCK[[#This Row],[Precio Final]]</f>
        <v>9</v>
      </c>
      <c r="I968" s="53">
        <f>STOCK[[#This Row],[Precio Venta Ideal (x1.5)]]</f>
        <v>10.35</v>
      </c>
      <c r="J968" s="71">
        <v>0</v>
      </c>
      <c r="K968" s="71">
        <f>SUMIFS(VENTAS[Cantidad],VENTAS[Código del producto Vendido],STOCK[[#This Row],[Code]])</f>
        <v>0</v>
      </c>
      <c r="L968" s="71">
        <f>STOCK[[#This Row],[Entradas]]-STOCK[[#This Row],[Salidas]]</f>
        <v>0</v>
      </c>
      <c r="M968" s="53">
        <f>STOCK[[#This Row],[Precio Final]]*10%</f>
        <v>0.9</v>
      </c>
      <c r="N968" s="53">
        <v>0</v>
      </c>
      <c r="O968" s="53">
        <v>0</v>
      </c>
      <c r="P968" s="53">
        <v>6</v>
      </c>
      <c r="Q968" s="71">
        <v>0</v>
      </c>
      <c r="R968" s="53">
        <v>0</v>
      </c>
      <c r="S968" s="53">
        <v>0</v>
      </c>
      <c r="T968" s="53">
        <f>STOCK[[#This Row],[Costo Unitario (USD)]]+STOCK[[#This Row],[Costo Envío (USD)]]+STOCK[[#This Row],[Comisión 10%]]</f>
        <v>6.9</v>
      </c>
      <c r="U968" s="53">
        <f>STOCK[[#This Row],[Costo total]]*1.5</f>
        <v>10.35</v>
      </c>
      <c r="V968" s="53">
        <v>9</v>
      </c>
      <c r="W968" s="53">
        <f>STOCK[[#This Row],[Precio Final]]-STOCK[[#This Row],[Costo total]]</f>
        <v>2.1</v>
      </c>
      <c r="X968" s="53">
        <f>STOCK[[#This Row],[Ganancia Unitaria]]*STOCK[[#This Row],[Salidas]]</f>
        <v>0</v>
      </c>
      <c r="Y968" s="53" t="s">
        <v>1953</v>
      </c>
      <c r="AA968" s="53">
        <f>STOCK[[#This Row],[Costo total]]*STOCK[[#This Row],[Entradas]]</f>
        <v>0</v>
      </c>
      <c r="AB968" s="53">
        <f>STOCK[[#This Row],[Stock Actual]]*STOCK[[#This Row],[Costo total]]</f>
        <v>0</v>
      </c>
    </row>
    <row r="969" s="54" customFormat="1" ht="50" customHeight="1" spans="1:28">
      <c r="A969" s="54" t="s">
        <v>1954</v>
      </c>
      <c r="B969" s="66"/>
      <c r="C969" s="54" t="s">
        <v>32</v>
      </c>
      <c r="D969" s="54" t="s">
        <v>1949</v>
      </c>
      <c r="E969" s="68" t="s">
        <v>1955</v>
      </c>
      <c r="F969" s="54" t="s">
        <v>228</v>
      </c>
      <c r="G969" s="54" t="s">
        <v>1956</v>
      </c>
      <c r="H969" s="54">
        <f>STOCK[[#This Row],[Precio Final]]</f>
        <v>7.5</v>
      </c>
      <c r="I969" s="54">
        <f>STOCK[[#This Row],[Precio Venta Ideal (x1.5)]]</f>
        <v>8.625</v>
      </c>
      <c r="J969" s="72">
        <v>0</v>
      </c>
      <c r="K969" s="72">
        <f>SUMIFS(VENTAS[Cantidad],VENTAS[Código del producto Vendido],STOCK[[#This Row],[Code]])</f>
        <v>0</v>
      </c>
      <c r="L969" s="72">
        <f>STOCK[[#This Row],[Entradas]]-STOCK[[#This Row],[Salidas]]</f>
        <v>0</v>
      </c>
      <c r="M969" s="54">
        <f>STOCK[[#This Row],[Precio Final]]*10%</f>
        <v>0.75</v>
      </c>
      <c r="N969" s="54">
        <v>0</v>
      </c>
      <c r="O969" s="54">
        <v>0</v>
      </c>
      <c r="P969" s="54">
        <v>5</v>
      </c>
      <c r="Q969" s="72">
        <v>0</v>
      </c>
      <c r="R969" s="54">
        <v>0</v>
      </c>
      <c r="S969" s="54">
        <v>0</v>
      </c>
      <c r="T969" s="53">
        <f>STOCK[[#This Row],[Costo Unitario (USD)]]+STOCK[[#This Row],[Costo Envío (USD)]]+STOCK[[#This Row],[Comisión 10%]]</f>
        <v>5.75</v>
      </c>
      <c r="U969" s="54">
        <f>STOCK[[#This Row],[Costo total]]*1.5</f>
        <v>8.625</v>
      </c>
      <c r="V969" s="54">
        <v>7.5</v>
      </c>
      <c r="W969" s="54">
        <f>STOCK[[#This Row],[Precio Final]]-STOCK[[#This Row],[Costo total]]</f>
        <v>1.75</v>
      </c>
      <c r="X969" s="54">
        <f>STOCK[[#This Row],[Ganancia Unitaria]]*STOCK[[#This Row],[Salidas]]</f>
        <v>0</v>
      </c>
      <c r="Y969" s="54" t="s">
        <v>1953</v>
      </c>
      <c r="AA969" s="54">
        <f>STOCK[[#This Row],[Costo total]]*STOCK[[#This Row],[Entradas]]</f>
        <v>0</v>
      </c>
      <c r="AB969" s="54">
        <f>STOCK[[#This Row],[Stock Actual]]*STOCK[[#This Row],[Costo total]]</f>
        <v>0</v>
      </c>
    </row>
    <row r="970" s="53" customFormat="1" ht="50" customHeight="1" spans="1:28">
      <c r="A970" s="53" t="s">
        <v>1957</v>
      </c>
      <c r="B970" s="66"/>
      <c r="C970" s="53" t="s">
        <v>32</v>
      </c>
      <c r="D970" s="53" t="s">
        <v>1949</v>
      </c>
      <c r="E970" s="67" t="s">
        <v>1958</v>
      </c>
      <c r="F970" s="53" t="s">
        <v>1959</v>
      </c>
      <c r="G970" s="53" t="s">
        <v>1956</v>
      </c>
      <c r="H970" s="53">
        <f>STOCK[[#This Row],[Precio Final]]</f>
        <v>7.5</v>
      </c>
      <c r="I970" s="53">
        <f>STOCK[[#This Row],[Precio Venta Ideal (x1.5)]]</f>
        <v>8.625</v>
      </c>
      <c r="J970" s="72">
        <v>0</v>
      </c>
      <c r="K970" s="71">
        <f>SUMIFS(VENTAS[Cantidad],VENTAS[Código del producto Vendido],STOCK[[#This Row],[Code]])</f>
        <v>0</v>
      </c>
      <c r="L970" s="71">
        <f>STOCK[[#This Row],[Entradas]]-STOCK[[#This Row],[Salidas]]</f>
        <v>0</v>
      </c>
      <c r="M970" s="53">
        <f>STOCK[[#This Row],[Precio Final]]*10%</f>
        <v>0.75</v>
      </c>
      <c r="N970" s="53">
        <v>0</v>
      </c>
      <c r="O970" s="53">
        <v>0</v>
      </c>
      <c r="P970" s="53">
        <v>5</v>
      </c>
      <c r="Q970" s="71">
        <v>0</v>
      </c>
      <c r="R970" s="53">
        <v>0</v>
      </c>
      <c r="S970" s="53">
        <v>0</v>
      </c>
      <c r="T970" s="53">
        <f>STOCK[[#This Row],[Costo Unitario (USD)]]+STOCK[[#This Row],[Costo Envío (USD)]]+STOCK[[#This Row],[Comisión 10%]]</f>
        <v>5.75</v>
      </c>
      <c r="U970" s="53">
        <f>STOCK[[#This Row],[Costo total]]*1.5</f>
        <v>8.625</v>
      </c>
      <c r="V970" s="53">
        <v>7.5</v>
      </c>
      <c r="W970" s="53">
        <f>STOCK[[#This Row],[Precio Final]]-STOCK[[#This Row],[Costo total]]</f>
        <v>1.75</v>
      </c>
      <c r="X970" s="53">
        <f>STOCK[[#This Row],[Ganancia Unitaria]]*STOCK[[#This Row],[Salidas]]</f>
        <v>0</v>
      </c>
      <c r="Y970" s="53" t="s">
        <v>1953</v>
      </c>
      <c r="AA970" s="53">
        <f>STOCK[[#This Row],[Costo total]]*STOCK[[#This Row],[Entradas]]</f>
        <v>0</v>
      </c>
      <c r="AB970" s="53">
        <f>STOCK[[#This Row],[Stock Actual]]*STOCK[[#This Row],[Costo total]]</f>
        <v>0</v>
      </c>
    </row>
    <row r="971" s="54" customFormat="1" ht="50" customHeight="1" spans="1:28">
      <c r="A971" s="54" t="s">
        <v>1960</v>
      </c>
      <c r="B971" s="66"/>
      <c r="C971" s="54" t="s">
        <v>32</v>
      </c>
      <c r="D971" s="54" t="s">
        <v>1949</v>
      </c>
      <c r="E971" s="68" t="s">
        <v>1961</v>
      </c>
      <c r="F971" s="54" t="s">
        <v>1962</v>
      </c>
      <c r="G971" s="54" t="s">
        <v>1963</v>
      </c>
      <c r="H971" s="54">
        <f>STOCK[[#This Row],[Precio Final]]</f>
        <v>6</v>
      </c>
      <c r="I971" s="54">
        <f>STOCK[[#This Row],[Precio Venta Ideal (x1.5)]]</f>
        <v>6.9</v>
      </c>
      <c r="J971" s="72">
        <v>0</v>
      </c>
      <c r="K971" s="72">
        <f>SUMIFS(VENTAS[Cantidad],VENTAS[Código del producto Vendido],STOCK[[#This Row],[Code]])</f>
        <v>0</v>
      </c>
      <c r="L971" s="72">
        <f>STOCK[[#This Row],[Entradas]]-STOCK[[#This Row],[Salidas]]</f>
        <v>0</v>
      </c>
      <c r="M971" s="54">
        <f>STOCK[[#This Row],[Precio Final]]*10%</f>
        <v>0.6</v>
      </c>
      <c r="N971" s="54">
        <v>0</v>
      </c>
      <c r="O971" s="54">
        <v>0</v>
      </c>
      <c r="P971" s="54">
        <v>4</v>
      </c>
      <c r="Q971" s="72">
        <v>0</v>
      </c>
      <c r="R971" s="54">
        <v>0</v>
      </c>
      <c r="S971" s="54">
        <v>0</v>
      </c>
      <c r="T971" s="53">
        <f>STOCK[[#This Row],[Costo Unitario (USD)]]+STOCK[[#This Row],[Costo Envío (USD)]]+STOCK[[#This Row],[Comisión 10%]]</f>
        <v>4.6</v>
      </c>
      <c r="U971" s="54">
        <f>STOCK[[#This Row],[Costo total]]*1.5</f>
        <v>6.9</v>
      </c>
      <c r="V971" s="54">
        <v>6</v>
      </c>
      <c r="W971" s="54">
        <f>STOCK[[#This Row],[Precio Final]]-STOCK[[#This Row],[Costo total]]</f>
        <v>1.4</v>
      </c>
      <c r="X971" s="54">
        <f>STOCK[[#This Row],[Ganancia Unitaria]]*STOCK[[#This Row],[Salidas]]</f>
        <v>0</v>
      </c>
      <c r="Y971" s="54" t="s">
        <v>1953</v>
      </c>
      <c r="AA971" s="54">
        <f>STOCK[[#This Row],[Costo total]]*STOCK[[#This Row],[Entradas]]</f>
        <v>0</v>
      </c>
      <c r="AB971" s="54">
        <f>STOCK[[#This Row],[Stock Actual]]*STOCK[[#This Row],[Costo total]]</f>
        <v>0</v>
      </c>
    </row>
    <row r="972" s="53" customFormat="1" ht="50" customHeight="1" spans="1:28">
      <c r="A972" s="53" t="s">
        <v>1964</v>
      </c>
      <c r="B972" s="66"/>
      <c r="C972" s="53" t="s">
        <v>32</v>
      </c>
      <c r="D972" s="53" t="s">
        <v>1949</v>
      </c>
      <c r="E972" s="67" t="s">
        <v>1965</v>
      </c>
      <c r="F972" s="53" t="s">
        <v>1966</v>
      </c>
      <c r="G972" s="53" t="s">
        <v>1296</v>
      </c>
      <c r="H972" s="53">
        <f>STOCK[[#This Row],[Precio Final]]</f>
        <v>3</v>
      </c>
      <c r="I972" s="53">
        <f>STOCK[[#This Row],[Precio Venta Ideal (x1.5)]]</f>
        <v>3.45</v>
      </c>
      <c r="J972" s="72">
        <v>0</v>
      </c>
      <c r="K972" s="71">
        <f>SUMIFS(VENTAS[Cantidad],VENTAS[Código del producto Vendido],STOCK[[#This Row],[Code]])</f>
        <v>0</v>
      </c>
      <c r="L972" s="71">
        <f>STOCK[[#This Row],[Entradas]]-STOCK[[#This Row],[Salidas]]</f>
        <v>0</v>
      </c>
      <c r="M972" s="53">
        <f>STOCK[[#This Row],[Precio Final]]*10%</f>
        <v>0.3</v>
      </c>
      <c r="N972" s="53">
        <v>0</v>
      </c>
      <c r="O972" s="53">
        <v>0</v>
      </c>
      <c r="P972" s="53">
        <v>2</v>
      </c>
      <c r="Q972" s="71">
        <v>0</v>
      </c>
      <c r="R972" s="53">
        <v>0</v>
      </c>
      <c r="S972" s="53">
        <v>0</v>
      </c>
      <c r="T972" s="53">
        <f>STOCK[[#This Row],[Costo Unitario (USD)]]+STOCK[[#This Row],[Costo Envío (USD)]]+STOCK[[#This Row],[Comisión 10%]]</f>
        <v>2.3</v>
      </c>
      <c r="U972" s="53">
        <f>STOCK[[#This Row],[Costo total]]*1.5</f>
        <v>3.45</v>
      </c>
      <c r="V972" s="53">
        <v>3</v>
      </c>
      <c r="W972" s="53">
        <f>STOCK[[#This Row],[Precio Final]]-STOCK[[#This Row],[Costo total]]</f>
        <v>0.7</v>
      </c>
      <c r="X972" s="53">
        <f>STOCK[[#This Row],[Ganancia Unitaria]]*STOCK[[#This Row],[Salidas]]</f>
        <v>0</v>
      </c>
      <c r="Y972" s="53" t="s">
        <v>1953</v>
      </c>
      <c r="AA972" s="53">
        <f>STOCK[[#This Row],[Costo total]]*STOCK[[#This Row],[Entradas]]</f>
        <v>0</v>
      </c>
      <c r="AB972" s="53">
        <f>STOCK[[#This Row],[Stock Actual]]*STOCK[[#This Row],[Costo total]]</f>
        <v>0</v>
      </c>
    </row>
    <row r="973" s="54" customFormat="1" ht="50" customHeight="1" spans="1:28">
      <c r="A973" s="54" t="s">
        <v>1967</v>
      </c>
      <c r="B973" s="66"/>
      <c r="C973" s="54" t="s">
        <v>32</v>
      </c>
      <c r="D973" s="54" t="s">
        <v>1949</v>
      </c>
      <c r="E973" s="68" t="s">
        <v>1968</v>
      </c>
      <c r="F973" s="54" t="s">
        <v>1969</v>
      </c>
      <c r="G973" s="54" t="s">
        <v>1956</v>
      </c>
      <c r="H973" s="54">
        <f>STOCK[[#This Row],[Precio Final]]</f>
        <v>7.5</v>
      </c>
      <c r="I973" s="54">
        <f>STOCK[[#This Row],[Precio Venta Ideal (x1.5)]]</f>
        <v>8.625</v>
      </c>
      <c r="J973" s="72">
        <v>0</v>
      </c>
      <c r="K973" s="72">
        <f>SUMIFS(VENTAS[Cantidad],VENTAS[Código del producto Vendido],STOCK[[#This Row],[Code]])</f>
        <v>0</v>
      </c>
      <c r="L973" s="72">
        <f>STOCK[[#This Row],[Entradas]]-STOCK[[#This Row],[Salidas]]</f>
        <v>0</v>
      </c>
      <c r="M973" s="54">
        <f>STOCK[[#This Row],[Precio Final]]*10%</f>
        <v>0.75</v>
      </c>
      <c r="N973" s="54">
        <v>0</v>
      </c>
      <c r="O973" s="54">
        <v>0</v>
      </c>
      <c r="P973" s="54">
        <v>5</v>
      </c>
      <c r="Q973" s="72">
        <v>0</v>
      </c>
      <c r="R973" s="54">
        <v>0</v>
      </c>
      <c r="S973" s="54">
        <v>0</v>
      </c>
      <c r="T973" s="53">
        <f>STOCK[[#This Row],[Costo Unitario (USD)]]+STOCK[[#This Row],[Costo Envío (USD)]]+STOCK[[#This Row],[Comisión 10%]]</f>
        <v>5.75</v>
      </c>
      <c r="U973" s="54">
        <f>STOCK[[#This Row],[Costo total]]*1.5</f>
        <v>8.625</v>
      </c>
      <c r="V973" s="54">
        <v>7.5</v>
      </c>
      <c r="W973" s="54">
        <f>STOCK[[#This Row],[Precio Final]]-STOCK[[#This Row],[Costo total]]</f>
        <v>1.75</v>
      </c>
      <c r="X973" s="54">
        <f>STOCK[[#This Row],[Ganancia Unitaria]]*STOCK[[#This Row],[Salidas]]</f>
        <v>0</v>
      </c>
      <c r="Y973" s="54" t="s">
        <v>1953</v>
      </c>
      <c r="AA973" s="54">
        <f>STOCK[[#This Row],[Costo total]]*STOCK[[#This Row],[Entradas]]</f>
        <v>0</v>
      </c>
      <c r="AB973" s="54">
        <f>STOCK[[#This Row],[Stock Actual]]*STOCK[[#This Row],[Costo total]]</f>
        <v>0</v>
      </c>
    </row>
    <row r="974" s="53" customFormat="1" ht="50" customHeight="1" spans="1:28">
      <c r="A974" s="53" t="s">
        <v>1970</v>
      </c>
      <c r="B974" s="66"/>
      <c r="C974" s="53" t="s">
        <v>32</v>
      </c>
      <c r="D974" s="53" t="s">
        <v>1949</v>
      </c>
      <c r="E974" s="67" t="s">
        <v>1971</v>
      </c>
      <c r="F974" s="53" t="s">
        <v>1972</v>
      </c>
      <c r="G974" s="53" t="s">
        <v>1956</v>
      </c>
      <c r="H974" s="53">
        <f>STOCK[[#This Row],[Precio Final]]</f>
        <v>4.5</v>
      </c>
      <c r="I974" s="53">
        <f>STOCK[[#This Row],[Precio Venta Ideal (x1.5)]]</f>
        <v>5.175</v>
      </c>
      <c r="J974" s="72">
        <v>0</v>
      </c>
      <c r="K974" s="71">
        <f>SUMIFS(VENTAS[Cantidad],VENTAS[Código del producto Vendido],STOCK[[#This Row],[Code]])</f>
        <v>0</v>
      </c>
      <c r="L974" s="71">
        <f>STOCK[[#This Row],[Entradas]]-STOCK[[#This Row],[Salidas]]</f>
        <v>0</v>
      </c>
      <c r="M974" s="53">
        <f>STOCK[[#This Row],[Precio Final]]*10%</f>
        <v>0.45</v>
      </c>
      <c r="N974" s="53">
        <v>0</v>
      </c>
      <c r="O974" s="53">
        <v>0</v>
      </c>
      <c r="P974" s="53">
        <v>3</v>
      </c>
      <c r="Q974" s="71">
        <v>0</v>
      </c>
      <c r="R974" s="53">
        <v>0</v>
      </c>
      <c r="S974" s="53">
        <v>0</v>
      </c>
      <c r="T974" s="53">
        <f>STOCK[[#This Row],[Costo Unitario (USD)]]+STOCK[[#This Row],[Costo Envío (USD)]]+STOCK[[#This Row],[Comisión 10%]]</f>
        <v>3.45</v>
      </c>
      <c r="U974" s="53">
        <f>STOCK[[#This Row],[Costo total]]*1.5</f>
        <v>5.175</v>
      </c>
      <c r="V974" s="53">
        <v>4.5</v>
      </c>
      <c r="W974" s="53">
        <f>STOCK[[#This Row],[Precio Final]]-STOCK[[#This Row],[Costo total]]</f>
        <v>1.05</v>
      </c>
      <c r="X974" s="53">
        <f>STOCK[[#This Row],[Ganancia Unitaria]]*STOCK[[#This Row],[Salidas]]</f>
        <v>0</v>
      </c>
      <c r="Y974" s="53" t="s">
        <v>1953</v>
      </c>
      <c r="AA974" s="53">
        <f>STOCK[[#This Row],[Costo total]]*STOCK[[#This Row],[Entradas]]</f>
        <v>0</v>
      </c>
      <c r="AB974" s="53">
        <f>STOCK[[#This Row],[Stock Actual]]*STOCK[[#This Row],[Costo total]]</f>
        <v>0</v>
      </c>
    </row>
    <row r="975" s="54" customFormat="1" ht="50" customHeight="1" spans="1:28">
      <c r="A975" s="54" t="s">
        <v>1973</v>
      </c>
      <c r="B975" s="66"/>
      <c r="C975" s="54" t="s">
        <v>32</v>
      </c>
      <c r="D975" s="54" t="s">
        <v>1949</v>
      </c>
      <c r="E975" s="68" t="s">
        <v>1974</v>
      </c>
      <c r="F975" s="54" t="s">
        <v>1972</v>
      </c>
      <c r="G975" s="54" t="s">
        <v>1956</v>
      </c>
      <c r="H975" s="54">
        <f>STOCK[[#This Row],[Precio Final]]</f>
        <v>6</v>
      </c>
      <c r="I975" s="54">
        <f>STOCK[[#This Row],[Precio Venta Ideal (x1.5)]]</f>
        <v>6.9</v>
      </c>
      <c r="J975" s="72">
        <v>0</v>
      </c>
      <c r="K975" s="72">
        <f>SUMIFS(VENTAS[Cantidad],VENTAS[Código del producto Vendido],STOCK[[#This Row],[Code]])</f>
        <v>0</v>
      </c>
      <c r="L975" s="72">
        <f>STOCK[[#This Row],[Entradas]]-STOCK[[#This Row],[Salidas]]</f>
        <v>0</v>
      </c>
      <c r="M975" s="54">
        <f>STOCK[[#This Row],[Precio Final]]*10%</f>
        <v>0.6</v>
      </c>
      <c r="N975" s="54">
        <v>0</v>
      </c>
      <c r="O975" s="54">
        <v>0</v>
      </c>
      <c r="P975" s="54">
        <v>4</v>
      </c>
      <c r="Q975" s="72">
        <v>0</v>
      </c>
      <c r="R975" s="54">
        <v>0</v>
      </c>
      <c r="S975" s="54">
        <v>0</v>
      </c>
      <c r="T975" s="53">
        <f>STOCK[[#This Row],[Costo Unitario (USD)]]+STOCK[[#This Row],[Costo Envío (USD)]]+STOCK[[#This Row],[Comisión 10%]]</f>
        <v>4.6</v>
      </c>
      <c r="U975" s="54">
        <f>STOCK[[#This Row],[Costo total]]*1.5</f>
        <v>6.9</v>
      </c>
      <c r="V975" s="54">
        <v>6</v>
      </c>
      <c r="W975" s="54">
        <f>STOCK[[#This Row],[Precio Final]]-STOCK[[#This Row],[Costo total]]</f>
        <v>1.4</v>
      </c>
      <c r="X975" s="54">
        <f>STOCK[[#This Row],[Ganancia Unitaria]]*STOCK[[#This Row],[Salidas]]</f>
        <v>0</v>
      </c>
      <c r="Y975" s="54" t="s">
        <v>1953</v>
      </c>
      <c r="AA975" s="54">
        <f>STOCK[[#This Row],[Costo total]]*STOCK[[#This Row],[Entradas]]</f>
        <v>0</v>
      </c>
      <c r="AB975" s="54">
        <f>STOCK[[#This Row],[Stock Actual]]*STOCK[[#This Row],[Costo total]]</f>
        <v>0</v>
      </c>
    </row>
    <row r="976" s="53" customFormat="1" ht="50" customHeight="1" spans="1:28">
      <c r="A976" s="53" t="s">
        <v>1975</v>
      </c>
      <c r="B976" s="66"/>
      <c r="C976" s="53" t="s">
        <v>32</v>
      </c>
      <c r="D976" s="53" t="s">
        <v>1949</v>
      </c>
      <c r="E976" s="67" t="s">
        <v>1976</v>
      </c>
      <c r="F976" s="53" t="s">
        <v>1977</v>
      </c>
      <c r="G976" s="53" t="s">
        <v>1978</v>
      </c>
      <c r="H976" s="53">
        <f>STOCK[[#This Row],[Precio Final]]</f>
        <v>4.5</v>
      </c>
      <c r="I976" s="53">
        <f>STOCK[[#This Row],[Precio Venta Ideal (x1.5)]]</f>
        <v>5.175</v>
      </c>
      <c r="J976" s="72">
        <v>0</v>
      </c>
      <c r="K976" s="71">
        <f>SUMIFS(VENTAS[Cantidad],VENTAS[Código del producto Vendido],STOCK[[#This Row],[Code]])</f>
        <v>0</v>
      </c>
      <c r="L976" s="71">
        <f>STOCK[[#This Row],[Entradas]]-STOCK[[#This Row],[Salidas]]</f>
        <v>0</v>
      </c>
      <c r="M976" s="53">
        <f>STOCK[[#This Row],[Precio Final]]*10%</f>
        <v>0.45</v>
      </c>
      <c r="N976" s="53">
        <v>0</v>
      </c>
      <c r="O976" s="53">
        <v>0</v>
      </c>
      <c r="P976" s="53">
        <v>3</v>
      </c>
      <c r="Q976" s="71">
        <v>0</v>
      </c>
      <c r="R976" s="53">
        <v>0</v>
      </c>
      <c r="S976" s="53">
        <v>0</v>
      </c>
      <c r="T976" s="53">
        <f>STOCK[[#This Row],[Costo Unitario (USD)]]+STOCK[[#This Row],[Costo Envío (USD)]]+STOCK[[#This Row],[Comisión 10%]]</f>
        <v>3.45</v>
      </c>
      <c r="U976" s="53">
        <f>STOCK[[#This Row],[Costo total]]*1.5</f>
        <v>5.175</v>
      </c>
      <c r="V976" s="53">
        <v>4.5</v>
      </c>
      <c r="W976" s="53">
        <f>STOCK[[#This Row],[Precio Final]]-STOCK[[#This Row],[Costo total]]</f>
        <v>1.05</v>
      </c>
      <c r="X976" s="53">
        <f>STOCK[[#This Row],[Ganancia Unitaria]]*STOCK[[#This Row],[Salidas]]</f>
        <v>0</v>
      </c>
      <c r="Y976" s="53" t="s">
        <v>1953</v>
      </c>
      <c r="AA976" s="53">
        <f>STOCK[[#This Row],[Costo total]]*STOCK[[#This Row],[Entradas]]</f>
        <v>0</v>
      </c>
      <c r="AB976" s="53">
        <f>STOCK[[#This Row],[Stock Actual]]*STOCK[[#This Row],[Costo total]]</f>
        <v>0</v>
      </c>
    </row>
    <row r="977" s="54" customFormat="1" ht="50" customHeight="1" spans="1:28">
      <c r="A977" s="54" t="s">
        <v>1979</v>
      </c>
      <c r="B977" s="66"/>
      <c r="C977" s="54" t="s">
        <v>32</v>
      </c>
      <c r="D977" s="54" t="s">
        <v>1949</v>
      </c>
      <c r="E977" s="68" t="s">
        <v>1980</v>
      </c>
      <c r="F977" s="54" t="s">
        <v>1972</v>
      </c>
      <c r="G977" s="54" t="s">
        <v>1956</v>
      </c>
      <c r="H977" s="54">
        <f>STOCK[[#This Row],[Precio Final]]</f>
        <v>4.5</v>
      </c>
      <c r="I977" s="54">
        <f>STOCK[[#This Row],[Precio Venta Ideal (x1.5)]]</f>
        <v>5.175</v>
      </c>
      <c r="J977" s="72">
        <v>0</v>
      </c>
      <c r="K977" s="72">
        <f>SUMIFS(VENTAS[Cantidad],VENTAS[Código del producto Vendido],STOCK[[#This Row],[Code]])</f>
        <v>0</v>
      </c>
      <c r="L977" s="72">
        <f>STOCK[[#This Row],[Entradas]]-STOCK[[#This Row],[Salidas]]</f>
        <v>0</v>
      </c>
      <c r="M977" s="54">
        <f>STOCK[[#This Row],[Precio Final]]*10%</f>
        <v>0.45</v>
      </c>
      <c r="N977" s="54">
        <v>0</v>
      </c>
      <c r="O977" s="54">
        <v>0</v>
      </c>
      <c r="P977" s="54">
        <v>3</v>
      </c>
      <c r="Q977" s="72">
        <v>0</v>
      </c>
      <c r="R977" s="54">
        <v>0</v>
      </c>
      <c r="S977" s="54">
        <v>0</v>
      </c>
      <c r="T977" s="53">
        <f>STOCK[[#This Row],[Costo Unitario (USD)]]+STOCK[[#This Row],[Costo Envío (USD)]]+STOCK[[#This Row],[Comisión 10%]]</f>
        <v>3.45</v>
      </c>
      <c r="U977" s="54">
        <f>STOCK[[#This Row],[Costo total]]*1.5</f>
        <v>5.175</v>
      </c>
      <c r="V977" s="54">
        <v>4.5</v>
      </c>
      <c r="W977" s="54">
        <f>STOCK[[#This Row],[Precio Final]]-STOCK[[#This Row],[Costo total]]</f>
        <v>1.05</v>
      </c>
      <c r="X977" s="54">
        <f>STOCK[[#This Row],[Ganancia Unitaria]]*STOCK[[#This Row],[Salidas]]</f>
        <v>0</v>
      </c>
      <c r="Y977" s="54" t="s">
        <v>1953</v>
      </c>
      <c r="AA977" s="54">
        <f>STOCK[[#This Row],[Costo total]]*STOCK[[#This Row],[Entradas]]</f>
        <v>0</v>
      </c>
      <c r="AB977" s="54">
        <f>STOCK[[#This Row],[Stock Actual]]*STOCK[[#This Row],[Costo total]]</f>
        <v>0</v>
      </c>
    </row>
    <row r="978" s="53" customFormat="1" ht="50" customHeight="1" spans="1:28">
      <c r="A978" s="53" t="s">
        <v>1981</v>
      </c>
      <c r="B978" s="66"/>
      <c r="C978" s="53" t="s">
        <v>32</v>
      </c>
      <c r="D978" s="53" t="s">
        <v>1949</v>
      </c>
      <c r="E978" s="67" t="s">
        <v>1982</v>
      </c>
      <c r="F978" s="53" t="s">
        <v>1983</v>
      </c>
      <c r="G978" s="53" t="s">
        <v>704</v>
      </c>
      <c r="H978" s="53">
        <f>STOCK[[#This Row],[Precio Final]]</f>
        <v>7.5</v>
      </c>
      <c r="I978" s="53">
        <f>STOCK[[#This Row],[Precio Venta Ideal (x1.5)]]</f>
        <v>8.625</v>
      </c>
      <c r="J978" s="72">
        <v>1</v>
      </c>
      <c r="K978" s="71">
        <f>SUMIFS(VENTAS[Cantidad],VENTAS[Código del producto Vendido],STOCK[[#This Row],[Code]])</f>
        <v>1</v>
      </c>
      <c r="L978" s="71">
        <f>STOCK[[#This Row],[Entradas]]-STOCK[[#This Row],[Salidas]]</f>
        <v>0</v>
      </c>
      <c r="M978" s="53">
        <f>STOCK[[#This Row],[Precio Final]]*10%</f>
        <v>0.75</v>
      </c>
      <c r="N978" s="53">
        <v>0</v>
      </c>
      <c r="O978" s="53">
        <v>0</v>
      </c>
      <c r="P978" s="53">
        <v>5</v>
      </c>
      <c r="Q978" s="71">
        <v>0</v>
      </c>
      <c r="R978" s="53">
        <v>0</v>
      </c>
      <c r="S978" s="53">
        <v>0</v>
      </c>
      <c r="T978" s="53">
        <f>STOCK[[#This Row],[Costo Unitario (USD)]]+STOCK[[#This Row],[Costo Envío (USD)]]+STOCK[[#This Row],[Comisión 10%]]</f>
        <v>5.75</v>
      </c>
      <c r="U978" s="53">
        <f>STOCK[[#This Row],[Costo total]]*1.5</f>
        <v>8.625</v>
      </c>
      <c r="V978" s="53">
        <v>7.5</v>
      </c>
      <c r="W978" s="53">
        <f>STOCK[[#This Row],[Precio Final]]-STOCK[[#This Row],[Costo total]]</f>
        <v>1.75</v>
      </c>
      <c r="X978" s="53">
        <f>STOCK[[#This Row],[Ganancia Unitaria]]*STOCK[[#This Row],[Salidas]]</f>
        <v>1.75</v>
      </c>
      <c r="Y978" s="53" t="s">
        <v>1953</v>
      </c>
      <c r="AA978" s="53">
        <f>STOCK[[#This Row],[Costo total]]*STOCK[[#This Row],[Entradas]]</f>
        <v>5.75</v>
      </c>
      <c r="AB978" s="53">
        <f>STOCK[[#This Row],[Stock Actual]]*STOCK[[#This Row],[Costo total]]</f>
        <v>0</v>
      </c>
    </row>
    <row r="979" s="54" customFormat="1" ht="50" customHeight="1" spans="1:28">
      <c r="A979" s="54" t="s">
        <v>1984</v>
      </c>
      <c r="B979" s="66"/>
      <c r="C979" s="54" t="s">
        <v>32</v>
      </c>
      <c r="D979" s="54" t="s">
        <v>1949</v>
      </c>
      <c r="E979" s="68" t="s">
        <v>1985</v>
      </c>
      <c r="F979" s="54" t="s">
        <v>1986</v>
      </c>
      <c r="G979" s="54" t="s">
        <v>1956</v>
      </c>
      <c r="H979" s="54">
        <f>STOCK[[#This Row],[Precio Final]]</f>
        <v>3</v>
      </c>
      <c r="I979" s="54">
        <f>STOCK[[#This Row],[Precio Venta Ideal (x1.5)]]</f>
        <v>3.45</v>
      </c>
      <c r="J979" s="72">
        <v>0</v>
      </c>
      <c r="K979" s="72">
        <f>SUMIFS(VENTAS[Cantidad],VENTAS[Código del producto Vendido],STOCK[[#This Row],[Code]])</f>
        <v>0</v>
      </c>
      <c r="L979" s="72">
        <f>STOCK[[#This Row],[Entradas]]-STOCK[[#This Row],[Salidas]]</f>
        <v>0</v>
      </c>
      <c r="M979" s="54">
        <f>STOCK[[#This Row],[Precio Final]]*10%</f>
        <v>0.3</v>
      </c>
      <c r="N979" s="54">
        <v>0</v>
      </c>
      <c r="O979" s="54">
        <v>0</v>
      </c>
      <c r="P979" s="54">
        <v>2</v>
      </c>
      <c r="Q979" s="72">
        <v>0</v>
      </c>
      <c r="R979" s="54">
        <v>0</v>
      </c>
      <c r="S979" s="54">
        <v>0</v>
      </c>
      <c r="T979" s="53">
        <f>STOCK[[#This Row],[Costo Unitario (USD)]]+STOCK[[#This Row],[Costo Envío (USD)]]+STOCK[[#This Row],[Comisión 10%]]</f>
        <v>2.3</v>
      </c>
      <c r="U979" s="54">
        <f>STOCK[[#This Row],[Costo total]]*1.5</f>
        <v>3.45</v>
      </c>
      <c r="V979" s="54">
        <v>3</v>
      </c>
      <c r="W979" s="54">
        <f>STOCK[[#This Row],[Precio Final]]-STOCK[[#This Row],[Costo total]]</f>
        <v>0.7</v>
      </c>
      <c r="X979" s="54">
        <f>STOCK[[#This Row],[Ganancia Unitaria]]*STOCK[[#This Row],[Salidas]]</f>
        <v>0</v>
      </c>
      <c r="Y979" s="54" t="s">
        <v>1953</v>
      </c>
      <c r="AA979" s="54">
        <f>STOCK[[#This Row],[Costo total]]*STOCK[[#This Row],[Entradas]]</f>
        <v>0</v>
      </c>
      <c r="AB979" s="54">
        <f>STOCK[[#This Row],[Stock Actual]]*STOCK[[#This Row],[Costo total]]</f>
        <v>0</v>
      </c>
    </row>
    <row r="980" s="53" customFormat="1" ht="50" customHeight="1" spans="1:28">
      <c r="A980" s="53" t="s">
        <v>1987</v>
      </c>
      <c r="B980" s="66"/>
      <c r="C980" s="53" t="s">
        <v>32</v>
      </c>
      <c r="D980" s="53" t="s">
        <v>1949</v>
      </c>
      <c r="E980" s="67" t="s">
        <v>1988</v>
      </c>
      <c r="F980" s="53" t="s">
        <v>1972</v>
      </c>
      <c r="G980" s="53" t="s">
        <v>1296</v>
      </c>
      <c r="H980" s="53">
        <f>STOCK[[#This Row],[Precio Final]]</f>
        <v>7.5</v>
      </c>
      <c r="I980" s="53">
        <f>STOCK[[#This Row],[Precio Venta Ideal (x1.5)]]</f>
        <v>8.625</v>
      </c>
      <c r="J980" s="72">
        <v>0</v>
      </c>
      <c r="K980" s="71">
        <f>SUMIFS(VENTAS[Cantidad],VENTAS[Código del producto Vendido],STOCK[[#This Row],[Code]])</f>
        <v>0</v>
      </c>
      <c r="L980" s="71">
        <f>STOCK[[#This Row],[Entradas]]-STOCK[[#This Row],[Salidas]]</f>
        <v>0</v>
      </c>
      <c r="M980" s="53">
        <f>STOCK[[#This Row],[Precio Final]]*10%</f>
        <v>0.75</v>
      </c>
      <c r="N980" s="53">
        <v>0</v>
      </c>
      <c r="O980" s="53">
        <v>0</v>
      </c>
      <c r="P980" s="53">
        <v>5</v>
      </c>
      <c r="Q980" s="71">
        <v>0</v>
      </c>
      <c r="R980" s="53">
        <v>0</v>
      </c>
      <c r="S980" s="53">
        <v>0</v>
      </c>
      <c r="T980" s="53">
        <f>STOCK[[#This Row],[Costo Unitario (USD)]]+STOCK[[#This Row],[Costo Envío (USD)]]+STOCK[[#This Row],[Comisión 10%]]</f>
        <v>5.75</v>
      </c>
      <c r="U980" s="53">
        <f>STOCK[[#This Row],[Costo total]]*1.5</f>
        <v>8.625</v>
      </c>
      <c r="V980" s="53">
        <v>7.5</v>
      </c>
      <c r="W980" s="53">
        <f>STOCK[[#This Row],[Precio Final]]-STOCK[[#This Row],[Costo total]]</f>
        <v>1.75</v>
      </c>
      <c r="X980" s="53">
        <f>STOCK[[#This Row],[Ganancia Unitaria]]*STOCK[[#This Row],[Salidas]]</f>
        <v>0</v>
      </c>
      <c r="Y980" s="53" t="s">
        <v>1953</v>
      </c>
      <c r="AA980" s="53">
        <f>STOCK[[#This Row],[Costo total]]*STOCK[[#This Row],[Entradas]]</f>
        <v>0</v>
      </c>
      <c r="AB980" s="53">
        <f>STOCK[[#This Row],[Stock Actual]]*STOCK[[#This Row],[Costo total]]</f>
        <v>0</v>
      </c>
    </row>
    <row r="981" s="54" customFormat="1" ht="50" customHeight="1" spans="1:28">
      <c r="A981" s="54" t="s">
        <v>1989</v>
      </c>
      <c r="B981" s="66"/>
      <c r="C981" s="54" t="s">
        <v>32</v>
      </c>
      <c r="D981" s="54" t="s">
        <v>1949</v>
      </c>
      <c r="E981" s="68" t="s">
        <v>1990</v>
      </c>
      <c r="F981" s="54" t="s">
        <v>1951</v>
      </c>
      <c r="G981" s="54" t="s">
        <v>1601</v>
      </c>
      <c r="H981" s="54">
        <f>STOCK[[#This Row],[Precio Final]]</f>
        <v>12</v>
      </c>
      <c r="I981" s="54">
        <f>STOCK[[#This Row],[Precio Venta Ideal (x1.5)]]</f>
        <v>13.8</v>
      </c>
      <c r="J981" s="72">
        <v>0</v>
      </c>
      <c r="K981" s="72">
        <f>SUMIFS(VENTAS[Cantidad],VENTAS[Código del producto Vendido],STOCK[[#This Row],[Code]])</f>
        <v>0</v>
      </c>
      <c r="L981" s="72">
        <f>STOCK[[#This Row],[Entradas]]-STOCK[[#This Row],[Salidas]]</f>
        <v>0</v>
      </c>
      <c r="M981" s="54">
        <f>STOCK[[#This Row],[Precio Final]]*10%</f>
        <v>1.2</v>
      </c>
      <c r="N981" s="54">
        <v>0</v>
      </c>
      <c r="O981" s="54">
        <v>0</v>
      </c>
      <c r="P981" s="54">
        <v>8</v>
      </c>
      <c r="Q981" s="72">
        <v>0</v>
      </c>
      <c r="R981" s="54">
        <v>0</v>
      </c>
      <c r="S981" s="54">
        <v>0</v>
      </c>
      <c r="T981" s="53">
        <f>STOCK[[#This Row],[Costo Unitario (USD)]]+STOCK[[#This Row],[Costo Envío (USD)]]+STOCK[[#This Row],[Comisión 10%]]</f>
        <v>9.2</v>
      </c>
      <c r="U981" s="54">
        <f>STOCK[[#This Row],[Costo total]]*1.5</f>
        <v>13.8</v>
      </c>
      <c r="V981" s="54">
        <v>12</v>
      </c>
      <c r="W981" s="54">
        <f>STOCK[[#This Row],[Precio Final]]-STOCK[[#This Row],[Costo total]]</f>
        <v>2.8</v>
      </c>
      <c r="X981" s="54">
        <f>STOCK[[#This Row],[Ganancia Unitaria]]*STOCK[[#This Row],[Salidas]]</f>
        <v>0</v>
      </c>
      <c r="Y981" s="54" t="s">
        <v>1953</v>
      </c>
      <c r="AA981" s="54">
        <f>STOCK[[#This Row],[Costo total]]*STOCK[[#This Row],[Entradas]]</f>
        <v>0</v>
      </c>
      <c r="AB981" s="54">
        <f>STOCK[[#This Row],[Stock Actual]]*STOCK[[#This Row],[Costo total]]</f>
        <v>0</v>
      </c>
    </row>
    <row r="982" s="53" customFormat="1" ht="50" customHeight="1" spans="1:28">
      <c r="A982" s="53" t="s">
        <v>1991</v>
      </c>
      <c r="B982" s="66"/>
      <c r="C982" s="53" t="s">
        <v>32</v>
      </c>
      <c r="D982" s="53" t="s">
        <v>1949</v>
      </c>
      <c r="E982" s="67" t="s">
        <v>1992</v>
      </c>
      <c r="F982" s="53" t="s">
        <v>1993</v>
      </c>
      <c r="G982" s="53" t="s">
        <v>1956</v>
      </c>
      <c r="H982" s="53">
        <f>STOCK[[#This Row],[Precio Final]]</f>
        <v>6</v>
      </c>
      <c r="I982" s="53">
        <f>STOCK[[#This Row],[Precio Venta Ideal (x1.5)]]</f>
        <v>6.9</v>
      </c>
      <c r="J982" s="72">
        <v>0</v>
      </c>
      <c r="K982" s="71">
        <f>SUMIFS(VENTAS[Cantidad],VENTAS[Código del producto Vendido],STOCK[[#This Row],[Code]])</f>
        <v>0</v>
      </c>
      <c r="L982" s="71">
        <f>STOCK[[#This Row],[Entradas]]-STOCK[[#This Row],[Salidas]]</f>
        <v>0</v>
      </c>
      <c r="M982" s="53">
        <f>STOCK[[#This Row],[Precio Final]]*10%</f>
        <v>0.6</v>
      </c>
      <c r="N982" s="53">
        <v>0</v>
      </c>
      <c r="O982" s="53">
        <v>0</v>
      </c>
      <c r="P982" s="53">
        <v>4</v>
      </c>
      <c r="Q982" s="71">
        <v>0</v>
      </c>
      <c r="R982" s="53">
        <v>0</v>
      </c>
      <c r="S982" s="53">
        <v>0</v>
      </c>
      <c r="T982" s="53">
        <f>STOCK[[#This Row],[Costo Unitario (USD)]]+STOCK[[#This Row],[Costo Envío (USD)]]+STOCK[[#This Row],[Comisión 10%]]</f>
        <v>4.6</v>
      </c>
      <c r="U982" s="53">
        <f>STOCK[[#This Row],[Costo total]]*1.5</f>
        <v>6.9</v>
      </c>
      <c r="V982" s="53">
        <v>6</v>
      </c>
      <c r="W982" s="53">
        <f>STOCK[[#This Row],[Precio Final]]-STOCK[[#This Row],[Costo total]]</f>
        <v>1.4</v>
      </c>
      <c r="X982" s="53">
        <f>STOCK[[#This Row],[Ganancia Unitaria]]*STOCK[[#This Row],[Salidas]]</f>
        <v>0</v>
      </c>
      <c r="Y982" s="53" t="s">
        <v>1953</v>
      </c>
      <c r="AA982" s="53">
        <f>STOCK[[#This Row],[Costo total]]*STOCK[[#This Row],[Entradas]]</f>
        <v>0</v>
      </c>
      <c r="AB982" s="53">
        <f>STOCK[[#This Row],[Stock Actual]]*STOCK[[#This Row],[Costo total]]</f>
        <v>0</v>
      </c>
    </row>
    <row r="983" s="54" customFormat="1" ht="50" customHeight="1" spans="1:28">
      <c r="A983" s="54" t="s">
        <v>1994</v>
      </c>
      <c r="B983" s="66"/>
      <c r="C983" s="54" t="s">
        <v>32</v>
      </c>
      <c r="D983" s="54" t="s">
        <v>1949</v>
      </c>
      <c r="E983" s="68" t="s">
        <v>1995</v>
      </c>
      <c r="F983" s="54" t="s">
        <v>1996</v>
      </c>
      <c r="G983" s="54" t="s">
        <v>1601</v>
      </c>
      <c r="H983" s="54">
        <f>STOCK[[#This Row],[Precio Final]]</f>
        <v>7.5</v>
      </c>
      <c r="I983" s="54">
        <f>STOCK[[#This Row],[Precio Venta Ideal (x1.5)]]</f>
        <v>8.625</v>
      </c>
      <c r="J983" s="72">
        <v>0</v>
      </c>
      <c r="K983" s="72">
        <f>SUMIFS(VENTAS[Cantidad],VENTAS[Código del producto Vendido],STOCK[[#This Row],[Code]])</f>
        <v>0</v>
      </c>
      <c r="L983" s="72">
        <f>STOCK[[#This Row],[Entradas]]-STOCK[[#This Row],[Salidas]]</f>
        <v>0</v>
      </c>
      <c r="M983" s="54">
        <f>STOCK[[#This Row],[Precio Final]]*10%</f>
        <v>0.75</v>
      </c>
      <c r="N983" s="54">
        <v>0</v>
      </c>
      <c r="O983" s="54">
        <v>0</v>
      </c>
      <c r="P983" s="54">
        <v>5</v>
      </c>
      <c r="Q983" s="72">
        <v>0</v>
      </c>
      <c r="R983" s="54">
        <v>0</v>
      </c>
      <c r="S983" s="54">
        <v>0</v>
      </c>
      <c r="T983" s="53">
        <f>STOCK[[#This Row],[Costo Unitario (USD)]]+STOCK[[#This Row],[Costo Envío (USD)]]+STOCK[[#This Row],[Comisión 10%]]</f>
        <v>5.75</v>
      </c>
      <c r="U983" s="54">
        <f>STOCK[[#This Row],[Costo total]]*1.5</f>
        <v>8.625</v>
      </c>
      <c r="V983" s="54">
        <v>7.5</v>
      </c>
      <c r="W983" s="54">
        <f>STOCK[[#This Row],[Precio Final]]-STOCK[[#This Row],[Costo total]]</f>
        <v>1.75</v>
      </c>
      <c r="X983" s="54">
        <f>STOCK[[#This Row],[Ganancia Unitaria]]*STOCK[[#This Row],[Salidas]]</f>
        <v>0</v>
      </c>
      <c r="Y983" s="54" t="s">
        <v>1953</v>
      </c>
      <c r="AA983" s="54">
        <f>STOCK[[#This Row],[Costo total]]*STOCK[[#This Row],[Entradas]]</f>
        <v>0</v>
      </c>
      <c r="AB983" s="54">
        <f>STOCK[[#This Row],[Stock Actual]]*STOCK[[#This Row],[Costo total]]</f>
        <v>0</v>
      </c>
    </row>
    <row r="984" s="53" customFormat="1" ht="50" customHeight="1" spans="1:28">
      <c r="A984" s="53" t="s">
        <v>1997</v>
      </c>
      <c r="B984" s="66"/>
      <c r="C984" s="53" t="s">
        <v>32</v>
      </c>
      <c r="D984" s="53" t="s">
        <v>1949</v>
      </c>
      <c r="E984" s="67" t="s">
        <v>1998</v>
      </c>
      <c r="F984" s="53" t="s">
        <v>1999</v>
      </c>
      <c r="G984" s="53" t="s">
        <v>704</v>
      </c>
      <c r="H984" s="53">
        <f>STOCK[[#This Row],[Precio Final]]</f>
        <v>8</v>
      </c>
      <c r="I984" s="53">
        <f>STOCK[[#This Row],[Precio Venta Ideal (x1.5)]]</f>
        <v>13.2</v>
      </c>
      <c r="J984" s="72">
        <v>0</v>
      </c>
      <c r="K984" s="71">
        <f>SUMIFS(VENTAS[Cantidad],VENTAS[Código del producto Vendido],STOCK[[#This Row],[Code]])</f>
        <v>0</v>
      </c>
      <c r="L984" s="71">
        <f>STOCK[[#This Row],[Entradas]]-STOCK[[#This Row],[Salidas]]</f>
        <v>0</v>
      </c>
      <c r="M984" s="53">
        <f>STOCK[[#This Row],[Precio Final]]*10%</f>
        <v>0.8</v>
      </c>
      <c r="N984" s="53">
        <v>0</v>
      </c>
      <c r="O984" s="53">
        <v>0</v>
      </c>
      <c r="P984" s="53">
        <v>8</v>
      </c>
      <c r="Q984" s="71">
        <v>0</v>
      </c>
      <c r="R984" s="53">
        <v>0</v>
      </c>
      <c r="S984" s="53">
        <v>0</v>
      </c>
      <c r="T984" s="53">
        <f>STOCK[[#This Row],[Costo Unitario (USD)]]+STOCK[[#This Row],[Costo Envío (USD)]]+STOCK[[#This Row],[Comisión 10%]]</f>
        <v>8.8</v>
      </c>
      <c r="U984" s="53">
        <f>STOCK[[#This Row],[Costo total]]*1.5</f>
        <v>13.2</v>
      </c>
      <c r="V984" s="53">
        <v>8</v>
      </c>
      <c r="W984" s="53">
        <f>STOCK[[#This Row],[Precio Final]]-STOCK[[#This Row],[Costo total]]</f>
        <v>-0.800000000000001</v>
      </c>
      <c r="X984" s="53">
        <f>STOCK[[#This Row],[Ganancia Unitaria]]*STOCK[[#This Row],[Salidas]]</f>
        <v>0</v>
      </c>
      <c r="Y984" s="53" t="s">
        <v>1953</v>
      </c>
      <c r="AA984" s="53">
        <f>STOCK[[#This Row],[Costo total]]*STOCK[[#This Row],[Entradas]]</f>
        <v>0</v>
      </c>
      <c r="AB984" s="53">
        <f>STOCK[[#This Row],[Stock Actual]]*STOCK[[#This Row],[Costo total]]</f>
        <v>0</v>
      </c>
    </row>
    <row r="985" s="54" customFormat="1" ht="50" customHeight="1" spans="1:28">
      <c r="A985" s="54" t="s">
        <v>2000</v>
      </c>
      <c r="B985" s="66"/>
      <c r="C985" s="54" t="s">
        <v>32</v>
      </c>
      <c r="D985" s="54" t="s">
        <v>1949</v>
      </c>
      <c r="E985" s="68" t="s">
        <v>2001</v>
      </c>
      <c r="F985" s="54" t="s">
        <v>2002</v>
      </c>
      <c r="G985" s="54" t="s">
        <v>2003</v>
      </c>
      <c r="H985" s="54">
        <f>STOCK[[#This Row],[Precio Final]]</f>
        <v>3</v>
      </c>
      <c r="I985" s="54">
        <f>STOCK[[#This Row],[Precio Venta Ideal (x1.5)]]</f>
        <v>3.45</v>
      </c>
      <c r="J985" s="72">
        <v>0</v>
      </c>
      <c r="K985" s="72">
        <f>SUMIFS(VENTAS[Cantidad],VENTAS[Código del producto Vendido],STOCK[[#This Row],[Code]])</f>
        <v>0</v>
      </c>
      <c r="L985" s="72">
        <f>STOCK[[#This Row],[Entradas]]-STOCK[[#This Row],[Salidas]]</f>
        <v>0</v>
      </c>
      <c r="M985" s="54">
        <f>STOCK[[#This Row],[Precio Final]]*10%</f>
        <v>0.3</v>
      </c>
      <c r="N985" s="54">
        <v>0</v>
      </c>
      <c r="O985" s="54">
        <v>0</v>
      </c>
      <c r="P985" s="54">
        <v>2</v>
      </c>
      <c r="Q985" s="72">
        <v>0</v>
      </c>
      <c r="R985" s="54">
        <v>0</v>
      </c>
      <c r="S985" s="54">
        <v>0</v>
      </c>
      <c r="T985" s="53">
        <f>STOCK[[#This Row],[Costo Unitario (USD)]]+STOCK[[#This Row],[Costo Envío (USD)]]+STOCK[[#This Row],[Comisión 10%]]</f>
        <v>2.3</v>
      </c>
      <c r="U985" s="54">
        <f>STOCK[[#This Row],[Costo total]]*1.5</f>
        <v>3.45</v>
      </c>
      <c r="V985" s="54">
        <v>3</v>
      </c>
      <c r="W985" s="54">
        <f>STOCK[[#This Row],[Precio Final]]-STOCK[[#This Row],[Costo total]]</f>
        <v>0.7</v>
      </c>
      <c r="X985" s="54">
        <f>STOCK[[#This Row],[Ganancia Unitaria]]*STOCK[[#This Row],[Salidas]]</f>
        <v>0</v>
      </c>
      <c r="Y985" s="54" t="s">
        <v>1953</v>
      </c>
      <c r="AA985" s="54">
        <f>STOCK[[#This Row],[Costo total]]*STOCK[[#This Row],[Entradas]]</f>
        <v>0</v>
      </c>
      <c r="AB985" s="54">
        <f>STOCK[[#This Row],[Stock Actual]]*STOCK[[#This Row],[Costo total]]</f>
        <v>0</v>
      </c>
    </row>
    <row r="986" s="53" customFormat="1" ht="50" customHeight="1" spans="1:28">
      <c r="A986" s="53" t="s">
        <v>2004</v>
      </c>
      <c r="B986" s="66"/>
      <c r="C986" s="53" t="s">
        <v>32</v>
      </c>
      <c r="D986" s="53" t="s">
        <v>1949</v>
      </c>
      <c r="E986" s="67" t="s">
        <v>2005</v>
      </c>
      <c r="F986" s="53" t="s">
        <v>228</v>
      </c>
      <c r="G986" s="53" t="s">
        <v>1956</v>
      </c>
      <c r="H986" s="53">
        <f>STOCK[[#This Row],[Precio Final]]</f>
        <v>4.5</v>
      </c>
      <c r="I986" s="53">
        <f>STOCK[[#This Row],[Precio Venta Ideal (x1.5)]]</f>
        <v>5.175</v>
      </c>
      <c r="J986" s="72">
        <v>0</v>
      </c>
      <c r="K986" s="71">
        <f>SUMIFS(VENTAS[Cantidad],VENTAS[Código del producto Vendido],STOCK[[#This Row],[Code]])</f>
        <v>0</v>
      </c>
      <c r="L986" s="71">
        <f>STOCK[[#This Row],[Entradas]]-STOCK[[#This Row],[Salidas]]</f>
        <v>0</v>
      </c>
      <c r="M986" s="53">
        <f>STOCK[[#This Row],[Precio Final]]*10%</f>
        <v>0.45</v>
      </c>
      <c r="N986" s="53">
        <v>0</v>
      </c>
      <c r="O986" s="53">
        <v>0</v>
      </c>
      <c r="P986" s="53">
        <v>3</v>
      </c>
      <c r="Q986" s="71">
        <v>0</v>
      </c>
      <c r="R986" s="53">
        <v>0</v>
      </c>
      <c r="S986" s="53">
        <v>0</v>
      </c>
      <c r="T986" s="53">
        <f>STOCK[[#This Row],[Costo Unitario (USD)]]+STOCK[[#This Row],[Costo Envío (USD)]]+STOCK[[#This Row],[Comisión 10%]]</f>
        <v>3.45</v>
      </c>
      <c r="U986" s="53">
        <f>STOCK[[#This Row],[Costo total]]*1.5</f>
        <v>5.175</v>
      </c>
      <c r="V986" s="53">
        <v>4.5</v>
      </c>
      <c r="W986" s="53">
        <f>STOCK[[#This Row],[Precio Final]]-STOCK[[#This Row],[Costo total]]</f>
        <v>1.05</v>
      </c>
      <c r="X986" s="53">
        <f>STOCK[[#This Row],[Ganancia Unitaria]]*STOCK[[#This Row],[Salidas]]</f>
        <v>0</v>
      </c>
      <c r="Y986" s="53" t="s">
        <v>1953</v>
      </c>
      <c r="AA986" s="53">
        <f>STOCK[[#This Row],[Costo total]]*STOCK[[#This Row],[Entradas]]</f>
        <v>0</v>
      </c>
      <c r="AB986" s="53">
        <f>STOCK[[#This Row],[Stock Actual]]*STOCK[[#This Row],[Costo total]]</f>
        <v>0</v>
      </c>
    </row>
    <row r="987" s="54" customFormat="1" ht="50" customHeight="1" spans="1:28">
      <c r="A987" s="54" t="s">
        <v>2006</v>
      </c>
      <c r="B987" s="66"/>
      <c r="C987" s="54" t="s">
        <v>32</v>
      </c>
      <c r="D987" s="54" t="s">
        <v>1949</v>
      </c>
      <c r="E987" s="68" t="s">
        <v>2007</v>
      </c>
      <c r="F987" s="54" t="s">
        <v>2008</v>
      </c>
      <c r="G987" s="54" t="s">
        <v>1956</v>
      </c>
      <c r="H987" s="54">
        <f>STOCK[[#This Row],[Precio Final]]</f>
        <v>3</v>
      </c>
      <c r="I987" s="54">
        <f>STOCK[[#This Row],[Precio Venta Ideal (x1.5)]]</f>
        <v>3.45</v>
      </c>
      <c r="J987" s="72">
        <v>0</v>
      </c>
      <c r="K987" s="72">
        <f>SUMIFS(VENTAS[Cantidad],VENTAS[Código del producto Vendido],STOCK[[#This Row],[Code]])</f>
        <v>0</v>
      </c>
      <c r="L987" s="72">
        <f>STOCK[[#This Row],[Entradas]]-STOCK[[#This Row],[Salidas]]</f>
        <v>0</v>
      </c>
      <c r="M987" s="54">
        <f>STOCK[[#This Row],[Precio Final]]*10%</f>
        <v>0.3</v>
      </c>
      <c r="N987" s="54">
        <v>0</v>
      </c>
      <c r="O987" s="54">
        <v>0</v>
      </c>
      <c r="P987" s="54">
        <v>2</v>
      </c>
      <c r="Q987" s="72">
        <v>0</v>
      </c>
      <c r="R987" s="54">
        <v>0</v>
      </c>
      <c r="S987" s="54">
        <v>0</v>
      </c>
      <c r="T987" s="53">
        <f>STOCK[[#This Row],[Costo Unitario (USD)]]+STOCK[[#This Row],[Costo Envío (USD)]]+STOCK[[#This Row],[Comisión 10%]]</f>
        <v>2.3</v>
      </c>
      <c r="U987" s="54">
        <f>STOCK[[#This Row],[Costo total]]*1.5</f>
        <v>3.45</v>
      </c>
      <c r="V987" s="54">
        <v>3</v>
      </c>
      <c r="W987" s="54">
        <f>STOCK[[#This Row],[Precio Final]]-STOCK[[#This Row],[Costo total]]</f>
        <v>0.7</v>
      </c>
      <c r="X987" s="54">
        <f>STOCK[[#This Row],[Ganancia Unitaria]]*STOCK[[#This Row],[Salidas]]</f>
        <v>0</v>
      </c>
      <c r="Y987" s="54" t="s">
        <v>1953</v>
      </c>
      <c r="AA987" s="54">
        <f>STOCK[[#This Row],[Costo total]]*STOCK[[#This Row],[Entradas]]</f>
        <v>0</v>
      </c>
      <c r="AB987" s="54">
        <f>STOCK[[#This Row],[Stock Actual]]*STOCK[[#This Row],[Costo total]]</f>
        <v>0</v>
      </c>
    </row>
    <row r="988" s="53" customFormat="1" ht="50" customHeight="1" spans="1:28">
      <c r="A988" s="53" t="s">
        <v>2009</v>
      </c>
      <c r="B988" s="66"/>
      <c r="C988" s="53" t="s">
        <v>32</v>
      </c>
      <c r="D988" s="53" t="s">
        <v>1949</v>
      </c>
      <c r="E988" s="67" t="s">
        <v>2010</v>
      </c>
      <c r="F988" s="53" t="s">
        <v>2011</v>
      </c>
      <c r="G988" s="53" t="s">
        <v>1956</v>
      </c>
      <c r="H988" s="53">
        <f>STOCK[[#This Row],[Precio Final]]</f>
        <v>15</v>
      </c>
      <c r="I988" s="53">
        <f>STOCK[[#This Row],[Precio Venta Ideal (x1.5)]]</f>
        <v>17.25</v>
      </c>
      <c r="J988" s="72">
        <v>0</v>
      </c>
      <c r="K988" s="71">
        <f>SUMIFS(VENTAS[Cantidad],VENTAS[Código del producto Vendido],STOCK[[#This Row],[Code]])</f>
        <v>0</v>
      </c>
      <c r="L988" s="71">
        <f>STOCK[[#This Row],[Entradas]]-STOCK[[#This Row],[Salidas]]</f>
        <v>0</v>
      </c>
      <c r="M988" s="53">
        <f>STOCK[[#This Row],[Precio Final]]*10%</f>
        <v>1.5</v>
      </c>
      <c r="N988" s="53">
        <v>0</v>
      </c>
      <c r="O988" s="53">
        <v>0</v>
      </c>
      <c r="P988" s="53">
        <v>10</v>
      </c>
      <c r="Q988" s="71">
        <v>0</v>
      </c>
      <c r="R988" s="53">
        <v>0</v>
      </c>
      <c r="S988" s="53">
        <v>0</v>
      </c>
      <c r="T988" s="53">
        <f>STOCK[[#This Row],[Costo Unitario (USD)]]+STOCK[[#This Row],[Costo Envío (USD)]]+STOCK[[#This Row],[Comisión 10%]]</f>
        <v>11.5</v>
      </c>
      <c r="U988" s="53">
        <f>STOCK[[#This Row],[Costo total]]*1.5</f>
        <v>17.25</v>
      </c>
      <c r="V988" s="53">
        <v>15</v>
      </c>
      <c r="W988" s="53">
        <f>STOCK[[#This Row],[Precio Final]]-STOCK[[#This Row],[Costo total]]</f>
        <v>3.5</v>
      </c>
      <c r="X988" s="53">
        <f>STOCK[[#This Row],[Ganancia Unitaria]]*STOCK[[#This Row],[Salidas]]</f>
        <v>0</v>
      </c>
      <c r="Y988" s="53" t="s">
        <v>1953</v>
      </c>
      <c r="AA988" s="53">
        <f>STOCK[[#This Row],[Costo total]]*STOCK[[#This Row],[Entradas]]</f>
        <v>0</v>
      </c>
      <c r="AB988" s="53">
        <f>STOCK[[#This Row],[Stock Actual]]*STOCK[[#This Row],[Costo total]]</f>
        <v>0</v>
      </c>
    </row>
    <row r="989" s="54" customFormat="1" ht="50" customHeight="1" spans="1:28">
      <c r="A989" s="54" t="s">
        <v>2012</v>
      </c>
      <c r="B989" s="66"/>
      <c r="C989" s="54" t="s">
        <v>32</v>
      </c>
      <c r="D989" s="54" t="s">
        <v>1949</v>
      </c>
      <c r="E989" s="68" t="s">
        <v>2013</v>
      </c>
      <c r="F989" s="54" t="s">
        <v>2014</v>
      </c>
      <c r="G989" s="54" t="s">
        <v>1956</v>
      </c>
      <c r="H989" s="54">
        <f>STOCK[[#This Row],[Precio Final]]</f>
        <v>4.5</v>
      </c>
      <c r="I989" s="54">
        <f>STOCK[[#This Row],[Precio Venta Ideal (x1.5)]]</f>
        <v>3.675</v>
      </c>
      <c r="J989" s="72">
        <v>0</v>
      </c>
      <c r="K989" s="72">
        <f>SUMIFS(VENTAS[Cantidad],VENTAS[Código del producto Vendido],STOCK[[#This Row],[Code]])</f>
        <v>0</v>
      </c>
      <c r="L989" s="72">
        <f>STOCK[[#This Row],[Entradas]]-STOCK[[#This Row],[Salidas]]</f>
        <v>0</v>
      </c>
      <c r="M989" s="54">
        <f>STOCK[[#This Row],[Precio Final]]*10%</f>
        <v>0.45</v>
      </c>
      <c r="N989" s="54">
        <v>0</v>
      </c>
      <c r="O989" s="54">
        <v>0</v>
      </c>
      <c r="P989" s="54">
        <v>2</v>
      </c>
      <c r="Q989" s="72">
        <v>0</v>
      </c>
      <c r="R989" s="54">
        <v>0</v>
      </c>
      <c r="S989" s="54">
        <v>0</v>
      </c>
      <c r="T989" s="53">
        <f>STOCK[[#This Row],[Costo Unitario (USD)]]+STOCK[[#This Row],[Costo Envío (USD)]]+STOCK[[#This Row],[Comisión 10%]]</f>
        <v>2.45</v>
      </c>
      <c r="U989" s="54">
        <f>STOCK[[#This Row],[Costo total]]*1.5</f>
        <v>3.675</v>
      </c>
      <c r="V989" s="54">
        <v>4.5</v>
      </c>
      <c r="W989" s="54">
        <f>STOCK[[#This Row],[Precio Final]]-STOCK[[#This Row],[Costo total]]</f>
        <v>2.05</v>
      </c>
      <c r="X989" s="54">
        <f>STOCK[[#This Row],[Ganancia Unitaria]]*STOCK[[#This Row],[Salidas]]</f>
        <v>0</v>
      </c>
      <c r="Y989" s="54" t="s">
        <v>1953</v>
      </c>
      <c r="AA989" s="54">
        <f>STOCK[[#This Row],[Costo total]]*STOCK[[#This Row],[Entradas]]</f>
        <v>0</v>
      </c>
      <c r="AB989" s="54">
        <f>STOCK[[#This Row],[Stock Actual]]*STOCK[[#This Row],[Costo total]]</f>
        <v>0</v>
      </c>
    </row>
    <row r="990" s="53" customFormat="1" ht="50" customHeight="1" spans="1:28">
      <c r="A990" s="53" t="s">
        <v>2015</v>
      </c>
      <c r="B990" s="66"/>
      <c r="C990" s="53" t="s">
        <v>32</v>
      </c>
      <c r="D990" s="53" t="s">
        <v>1949</v>
      </c>
      <c r="E990" s="67" t="s">
        <v>2016</v>
      </c>
      <c r="F990" s="53" t="s">
        <v>2017</v>
      </c>
      <c r="G990" s="53" t="s">
        <v>1952</v>
      </c>
      <c r="H990" s="53">
        <f>STOCK[[#This Row],[Precio Final]]</f>
        <v>4.5</v>
      </c>
      <c r="I990" s="53">
        <f>STOCK[[#This Row],[Precio Venta Ideal (x1.5)]]</f>
        <v>3.675</v>
      </c>
      <c r="J990" s="72">
        <v>0</v>
      </c>
      <c r="K990" s="71">
        <f>SUMIFS(VENTAS[Cantidad],VENTAS[Código del producto Vendido],STOCK[[#This Row],[Code]])</f>
        <v>0</v>
      </c>
      <c r="L990" s="71">
        <f>STOCK[[#This Row],[Entradas]]-STOCK[[#This Row],[Salidas]]</f>
        <v>0</v>
      </c>
      <c r="M990" s="53">
        <f>STOCK[[#This Row],[Precio Final]]*10%</f>
        <v>0.45</v>
      </c>
      <c r="N990" s="53">
        <v>0</v>
      </c>
      <c r="O990" s="53">
        <v>0</v>
      </c>
      <c r="P990" s="53">
        <v>2</v>
      </c>
      <c r="Q990" s="71">
        <v>0</v>
      </c>
      <c r="R990" s="53">
        <v>0</v>
      </c>
      <c r="S990" s="53">
        <v>0</v>
      </c>
      <c r="T990" s="53">
        <f>STOCK[[#This Row],[Costo Unitario (USD)]]+STOCK[[#This Row],[Costo Envío (USD)]]+STOCK[[#This Row],[Comisión 10%]]</f>
        <v>2.45</v>
      </c>
      <c r="U990" s="53">
        <f>STOCK[[#This Row],[Costo total]]*1.5</f>
        <v>3.675</v>
      </c>
      <c r="V990" s="53">
        <v>4.5</v>
      </c>
      <c r="W990" s="53">
        <f>STOCK[[#This Row],[Precio Final]]-STOCK[[#This Row],[Costo total]]</f>
        <v>2.05</v>
      </c>
      <c r="X990" s="53">
        <f>STOCK[[#This Row],[Ganancia Unitaria]]*STOCK[[#This Row],[Salidas]]</f>
        <v>0</v>
      </c>
      <c r="Y990" s="53" t="s">
        <v>1953</v>
      </c>
      <c r="AA990" s="53">
        <f>STOCK[[#This Row],[Costo total]]*STOCK[[#This Row],[Entradas]]</f>
        <v>0</v>
      </c>
      <c r="AB990" s="53">
        <f>STOCK[[#This Row],[Stock Actual]]*STOCK[[#This Row],[Costo total]]</f>
        <v>0</v>
      </c>
    </row>
    <row r="991" s="54" customFormat="1" ht="50" customHeight="1" spans="1:28">
      <c r="A991" s="54" t="s">
        <v>2018</v>
      </c>
      <c r="B991" s="66"/>
      <c r="C991" s="54" t="s">
        <v>32</v>
      </c>
      <c r="D991" s="54" t="s">
        <v>1953</v>
      </c>
      <c r="E991" s="68" t="s">
        <v>2019</v>
      </c>
      <c r="F991" s="54" t="s">
        <v>2020</v>
      </c>
      <c r="G991" s="54" t="s">
        <v>36</v>
      </c>
      <c r="H991" s="54">
        <f>STOCK[[#This Row],[Precio Final]]</f>
        <v>22</v>
      </c>
      <c r="I991" s="54">
        <f>STOCK[[#This Row],[Precio Venta Ideal (x1.5)]]</f>
        <v>3.3</v>
      </c>
      <c r="J991" s="72">
        <v>1</v>
      </c>
      <c r="K991" s="72">
        <f>SUMIFS(VENTAS[Cantidad],VENTAS[Código del producto Vendido],STOCK[[#This Row],[Code]])</f>
        <v>1</v>
      </c>
      <c r="L991" s="72">
        <f>STOCK[[#This Row],[Entradas]]-STOCK[[#This Row],[Salidas]]</f>
        <v>0</v>
      </c>
      <c r="M991" s="54">
        <f>STOCK[[#This Row],[Precio Final]]*10%</f>
        <v>2.2</v>
      </c>
      <c r="N991" s="54">
        <v>0</v>
      </c>
      <c r="O991" s="54">
        <v>0</v>
      </c>
      <c r="P991" s="54">
        <v>0</v>
      </c>
      <c r="Q991" s="72">
        <v>0</v>
      </c>
      <c r="R991" s="54">
        <v>0</v>
      </c>
      <c r="S991" s="54">
        <v>0</v>
      </c>
      <c r="T991" s="53">
        <f>STOCK[[#This Row],[Costo Unitario (USD)]]+STOCK[[#This Row],[Costo Envío (USD)]]+STOCK[[#This Row],[Comisión 10%]]</f>
        <v>2.2</v>
      </c>
      <c r="U991" s="54">
        <f>STOCK[[#This Row],[Costo total]]*1.5</f>
        <v>3.3</v>
      </c>
      <c r="V991" s="54">
        <v>22</v>
      </c>
      <c r="W991" s="54">
        <f>STOCK[[#This Row],[Precio Final]]-STOCK[[#This Row],[Costo total]]</f>
        <v>19.8</v>
      </c>
      <c r="X991" s="54">
        <f>STOCK[[#This Row],[Ganancia Unitaria]]*STOCK[[#This Row],[Salidas]]</f>
        <v>19.8</v>
      </c>
      <c r="Y991" s="54" t="s">
        <v>1953</v>
      </c>
      <c r="AA991" s="54">
        <f>STOCK[[#This Row],[Costo total]]*STOCK[[#This Row],[Entradas]]</f>
        <v>2.2</v>
      </c>
      <c r="AB991" s="54">
        <f>STOCK[[#This Row],[Stock Actual]]*STOCK[[#This Row],[Costo total]]</f>
        <v>0</v>
      </c>
    </row>
    <row r="992" s="53" customFormat="1" ht="50" customHeight="1" spans="1:28">
      <c r="A992" s="53" t="s">
        <v>2021</v>
      </c>
      <c r="B992" s="66"/>
      <c r="C992" s="53" t="s">
        <v>32</v>
      </c>
      <c r="D992" s="53" t="s">
        <v>2022</v>
      </c>
      <c r="E992" s="67" t="s">
        <v>2023</v>
      </c>
      <c r="F992" s="53" t="s">
        <v>46</v>
      </c>
      <c r="G992" s="53" t="s">
        <v>36</v>
      </c>
      <c r="H992" s="53">
        <f>STOCK[[#This Row],[Precio Final]]</f>
        <v>22</v>
      </c>
      <c r="I992" s="53">
        <f>STOCK[[#This Row],[Precio Venta Ideal (x1.5)]]</f>
        <v>3.3</v>
      </c>
      <c r="J992" s="71">
        <v>1</v>
      </c>
      <c r="K992" s="71">
        <f>SUMIFS(VENTAS[Cantidad],VENTAS[Código del producto Vendido],STOCK[[#This Row],[Code]])</f>
        <v>1</v>
      </c>
      <c r="L992" s="71">
        <f>STOCK[[#This Row],[Entradas]]-STOCK[[#This Row],[Salidas]]</f>
        <v>0</v>
      </c>
      <c r="M992" s="53">
        <f>STOCK[[#This Row],[Precio Final]]*10%</f>
        <v>2.2</v>
      </c>
      <c r="N992" s="53">
        <v>0</v>
      </c>
      <c r="O992" s="53">
        <v>0</v>
      </c>
      <c r="P992" s="53">
        <v>0</v>
      </c>
      <c r="Q992" s="71">
        <v>0</v>
      </c>
      <c r="R992" s="53">
        <v>0</v>
      </c>
      <c r="S992" s="53">
        <v>0</v>
      </c>
      <c r="T992" s="53">
        <f>STOCK[[#This Row],[Costo Unitario (USD)]]+STOCK[[#This Row],[Costo Envío (USD)]]+STOCK[[#This Row],[Comisión 10%]]</f>
        <v>2.2</v>
      </c>
      <c r="U992" s="53">
        <f>STOCK[[#This Row],[Costo total]]*1.5</f>
        <v>3.3</v>
      </c>
      <c r="V992" s="53">
        <v>22</v>
      </c>
      <c r="W992" s="53">
        <f>STOCK[[#This Row],[Precio Final]]-STOCK[[#This Row],[Costo total]]</f>
        <v>19.8</v>
      </c>
      <c r="X992" s="53">
        <f>STOCK[[#This Row],[Ganancia Unitaria]]*STOCK[[#This Row],[Salidas]]</f>
        <v>19.8</v>
      </c>
      <c r="Y992" s="53" t="s">
        <v>1953</v>
      </c>
      <c r="AA992" s="53">
        <f>STOCK[[#This Row],[Costo total]]*STOCK[[#This Row],[Entradas]]</f>
        <v>2.2</v>
      </c>
      <c r="AB992" s="53">
        <f>STOCK[[#This Row],[Stock Actual]]*STOCK[[#This Row],[Costo total]]</f>
        <v>0</v>
      </c>
    </row>
    <row r="993" s="54" customFormat="1" ht="50" customHeight="1" spans="1:28">
      <c r="A993" s="54" t="s">
        <v>2024</v>
      </c>
      <c r="B993" s="66"/>
      <c r="C993" s="54" t="s">
        <v>32</v>
      </c>
      <c r="D993" s="54" t="s">
        <v>1949</v>
      </c>
      <c r="E993" s="68" t="s">
        <v>2019</v>
      </c>
      <c r="F993" s="54" t="s">
        <v>2025</v>
      </c>
      <c r="G993" s="54" t="s">
        <v>36</v>
      </c>
      <c r="H993" s="54">
        <f>STOCK[[#This Row],[Precio Final]]</f>
        <v>22</v>
      </c>
      <c r="I993" s="54">
        <f>STOCK[[#This Row],[Precio Venta Ideal (x1.5)]]</f>
        <v>3.3</v>
      </c>
      <c r="J993" s="72">
        <v>1</v>
      </c>
      <c r="K993" s="72">
        <f>SUMIFS(VENTAS[Cantidad],VENTAS[Código del producto Vendido],STOCK[[#This Row],[Code]])</f>
        <v>1</v>
      </c>
      <c r="L993" s="72">
        <f>STOCK[[#This Row],[Entradas]]-STOCK[[#This Row],[Salidas]]</f>
        <v>0</v>
      </c>
      <c r="M993" s="54">
        <f>STOCK[[#This Row],[Precio Final]]*10%</f>
        <v>2.2</v>
      </c>
      <c r="N993" s="54">
        <v>0</v>
      </c>
      <c r="O993" s="54">
        <v>0</v>
      </c>
      <c r="P993" s="54">
        <v>0</v>
      </c>
      <c r="Q993" s="72">
        <v>0</v>
      </c>
      <c r="R993" s="54">
        <v>0</v>
      </c>
      <c r="S993" s="54">
        <v>0</v>
      </c>
      <c r="T993" s="53">
        <f>STOCK[[#This Row],[Costo Unitario (USD)]]+STOCK[[#This Row],[Costo Envío (USD)]]+STOCK[[#This Row],[Comisión 10%]]</f>
        <v>2.2</v>
      </c>
      <c r="U993" s="54">
        <f>STOCK[[#This Row],[Costo total]]*1.5</f>
        <v>3.3</v>
      </c>
      <c r="V993" s="54">
        <v>22</v>
      </c>
      <c r="W993" s="54">
        <f>STOCK[[#This Row],[Precio Final]]-STOCK[[#This Row],[Costo total]]</f>
        <v>19.8</v>
      </c>
      <c r="X993" s="54">
        <f>STOCK[[#This Row],[Ganancia Unitaria]]*STOCK[[#This Row],[Salidas]]</f>
        <v>19.8</v>
      </c>
      <c r="Y993" s="54" t="s">
        <v>1953</v>
      </c>
      <c r="AA993" s="54">
        <f>STOCK[[#This Row],[Costo total]]*STOCK[[#This Row],[Entradas]]</f>
        <v>2.2</v>
      </c>
      <c r="AB993" s="54">
        <f>STOCK[[#This Row],[Stock Actual]]*STOCK[[#This Row],[Costo total]]</f>
        <v>0</v>
      </c>
    </row>
    <row r="994" s="53" customFormat="1" ht="50" customHeight="1" spans="1:28">
      <c r="A994" s="53" t="s">
        <v>2026</v>
      </c>
      <c r="B994" s="66"/>
      <c r="C994" s="53" t="s">
        <v>32</v>
      </c>
      <c r="D994" s="53" t="s">
        <v>1949</v>
      </c>
      <c r="E994" s="67" t="s">
        <v>2027</v>
      </c>
      <c r="F994" s="53" t="s">
        <v>2028</v>
      </c>
      <c r="H994" s="53">
        <f>STOCK[[#This Row],[Precio Final]]</f>
        <v>3</v>
      </c>
      <c r="I994" s="53">
        <f>STOCK[[#This Row],[Precio Venta Ideal (x1.5)]]</f>
        <v>0.45</v>
      </c>
      <c r="J994" s="71">
        <v>0</v>
      </c>
      <c r="K994" s="71">
        <f>SUMIFS(VENTAS[Cantidad],VENTAS[Código del producto Vendido],STOCK[[#This Row],[Code]])</f>
        <v>0</v>
      </c>
      <c r="L994" s="71">
        <f>STOCK[[#This Row],[Entradas]]-STOCK[[#This Row],[Salidas]]</f>
        <v>0</v>
      </c>
      <c r="M994" s="53">
        <f>STOCK[[#This Row],[Precio Final]]*10%</f>
        <v>0.3</v>
      </c>
      <c r="N994" s="53">
        <v>0</v>
      </c>
      <c r="O994" s="53">
        <v>0</v>
      </c>
      <c r="P994" s="53">
        <v>0</v>
      </c>
      <c r="Q994" s="71">
        <v>0</v>
      </c>
      <c r="R994" s="53">
        <v>0</v>
      </c>
      <c r="S994" s="53">
        <v>0</v>
      </c>
      <c r="T994" s="53">
        <f>STOCK[[#This Row],[Costo Unitario (USD)]]+STOCK[[#This Row],[Costo Envío (USD)]]+STOCK[[#This Row],[Comisión 10%]]</f>
        <v>0.3</v>
      </c>
      <c r="U994" s="53">
        <f>STOCK[[#This Row],[Costo total]]*1.5</f>
        <v>0.45</v>
      </c>
      <c r="V994" s="53">
        <v>3</v>
      </c>
      <c r="W994" s="53">
        <f>STOCK[[#This Row],[Precio Final]]-STOCK[[#This Row],[Costo total]]</f>
        <v>2.7</v>
      </c>
      <c r="X994" s="53">
        <f>STOCK[[#This Row],[Ganancia Unitaria]]*STOCK[[#This Row],[Salidas]]</f>
        <v>0</v>
      </c>
      <c r="Y994" s="53" t="s">
        <v>1953</v>
      </c>
      <c r="Z994" s="53">
        <f>STOCK[[#This Row],[Precio Final]]*25%</f>
        <v>0.75</v>
      </c>
      <c r="AA994" s="53">
        <f>STOCK[[#This Row],[Costo total]]*STOCK[[#This Row],[Entradas]]</f>
        <v>0</v>
      </c>
      <c r="AB994" s="53">
        <f>STOCK[[#This Row],[Stock Actual]]*STOCK[[#This Row],[Costo total]]</f>
        <v>0</v>
      </c>
    </row>
    <row r="995" s="54" customFormat="1" ht="50" customHeight="1" spans="1:28">
      <c r="A995" s="54" t="s">
        <v>2029</v>
      </c>
      <c r="B995" s="66"/>
      <c r="C995" s="54" t="s">
        <v>32</v>
      </c>
      <c r="D995" s="54" t="s">
        <v>1949</v>
      </c>
      <c r="E995" s="68" t="s">
        <v>2030</v>
      </c>
      <c r="F995" s="54" t="s">
        <v>2031</v>
      </c>
      <c r="G995" s="54" t="s">
        <v>2032</v>
      </c>
      <c r="H995" s="54">
        <f>STOCK[[#This Row],[Precio Final]]</f>
        <v>3</v>
      </c>
      <c r="I995" s="54">
        <f>STOCK[[#This Row],[Precio Venta Ideal (x1.5)]]</f>
        <v>0.45</v>
      </c>
      <c r="J995" s="72">
        <v>1</v>
      </c>
      <c r="K995" s="72">
        <f>SUMIFS(VENTAS[Cantidad],VENTAS[Código del producto Vendido],STOCK[[#This Row],[Code]])</f>
        <v>1</v>
      </c>
      <c r="L995" s="72">
        <f>STOCK[[#This Row],[Entradas]]-STOCK[[#This Row],[Salidas]]</f>
        <v>0</v>
      </c>
      <c r="M995" s="54">
        <f>STOCK[[#This Row],[Precio Final]]*10%</f>
        <v>0.3</v>
      </c>
      <c r="N995" s="54">
        <v>0</v>
      </c>
      <c r="O995" s="54">
        <v>0</v>
      </c>
      <c r="P995" s="54">
        <v>0</v>
      </c>
      <c r="Q995" s="72">
        <v>0</v>
      </c>
      <c r="R995" s="54">
        <v>0</v>
      </c>
      <c r="S995" s="54">
        <v>0</v>
      </c>
      <c r="T995" s="53">
        <f>STOCK[[#This Row],[Costo Unitario (USD)]]+STOCK[[#This Row],[Costo Envío (USD)]]+STOCK[[#This Row],[Comisión 10%]]</f>
        <v>0.3</v>
      </c>
      <c r="U995" s="54">
        <f>STOCK[[#This Row],[Costo total]]*1.5</f>
        <v>0.45</v>
      </c>
      <c r="V995" s="54">
        <v>3</v>
      </c>
      <c r="W995" s="54">
        <f>STOCK[[#This Row],[Precio Final]]-STOCK[[#This Row],[Costo total]]</f>
        <v>2.7</v>
      </c>
      <c r="X995" s="54">
        <f>STOCK[[#This Row],[Ganancia Unitaria]]*STOCK[[#This Row],[Salidas]]</f>
        <v>2.7</v>
      </c>
      <c r="Y995" s="54" t="s">
        <v>1953</v>
      </c>
      <c r="Z995" s="54">
        <f>STOCK[[#This Row],[Precio Final]]*25%</f>
        <v>0.75</v>
      </c>
      <c r="AA995" s="54">
        <f>STOCK[[#This Row],[Costo total]]*STOCK[[#This Row],[Entradas]]</f>
        <v>0.3</v>
      </c>
      <c r="AB995" s="54">
        <f>STOCK[[#This Row],[Stock Actual]]*STOCK[[#This Row],[Costo total]]</f>
        <v>0</v>
      </c>
    </row>
    <row r="996" s="53" customFormat="1" ht="50" customHeight="1" spans="1:28">
      <c r="A996" s="53" t="s">
        <v>2033</v>
      </c>
      <c r="B996" s="66"/>
      <c r="C996" s="53" t="s">
        <v>32</v>
      </c>
      <c r="D996" s="53" t="s">
        <v>1949</v>
      </c>
      <c r="E996" s="67" t="s">
        <v>2034</v>
      </c>
      <c r="F996" s="53" t="s">
        <v>1983</v>
      </c>
      <c r="H996" s="53">
        <f>STOCK[[#This Row],[Precio Final]]</f>
        <v>3</v>
      </c>
      <c r="I996" s="53">
        <f>STOCK[[#This Row],[Precio Venta Ideal (x1.5)]]</f>
        <v>0.45</v>
      </c>
      <c r="J996" s="71">
        <v>0</v>
      </c>
      <c r="K996" s="71">
        <f>SUMIFS(VENTAS[Cantidad],VENTAS[Código del producto Vendido],STOCK[[#This Row],[Code]])</f>
        <v>0</v>
      </c>
      <c r="L996" s="71">
        <f>STOCK[[#This Row],[Entradas]]-STOCK[[#This Row],[Salidas]]</f>
        <v>0</v>
      </c>
      <c r="M996" s="53">
        <f>STOCK[[#This Row],[Precio Final]]*10%</f>
        <v>0.3</v>
      </c>
      <c r="N996" s="53">
        <v>0</v>
      </c>
      <c r="O996" s="53">
        <v>0</v>
      </c>
      <c r="P996" s="53">
        <v>0</v>
      </c>
      <c r="Q996" s="71">
        <v>0</v>
      </c>
      <c r="R996" s="53">
        <v>0</v>
      </c>
      <c r="S996" s="53">
        <v>0</v>
      </c>
      <c r="T996" s="53">
        <f>STOCK[[#This Row],[Costo Unitario (USD)]]+STOCK[[#This Row],[Costo Envío (USD)]]+STOCK[[#This Row],[Comisión 10%]]</f>
        <v>0.3</v>
      </c>
      <c r="U996" s="53">
        <f>STOCK[[#This Row],[Costo total]]*1.5</f>
        <v>0.45</v>
      </c>
      <c r="V996" s="53">
        <v>3</v>
      </c>
      <c r="W996" s="53">
        <f>STOCK[[#This Row],[Precio Final]]-STOCK[[#This Row],[Costo total]]</f>
        <v>2.7</v>
      </c>
      <c r="X996" s="53">
        <f>STOCK[[#This Row],[Ganancia Unitaria]]*STOCK[[#This Row],[Salidas]]</f>
        <v>0</v>
      </c>
      <c r="Y996" s="53" t="s">
        <v>1953</v>
      </c>
      <c r="Z996" s="53">
        <f>STOCK[[#This Row],[Precio Final]]*25%</f>
        <v>0.75</v>
      </c>
      <c r="AA996" s="53">
        <f>STOCK[[#This Row],[Costo total]]*STOCK[[#This Row],[Entradas]]</f>
        <v>0</v>
      </c>
      <c r="AB996" s="53">
        <f>STOCK[[#This Row],[Stock Actual]]*STOCK[[#This Row],[Costo total]]</f>
        <v>0</v>
      </c>
    </row>
    <row r="997" s="54" customFormat="1" ht="50" customHeight="1" spans="1:28">
      <c r="A997" s="54" t="s">
        <v>2035</v>
      </c>
      <c r="B997" s="66"/>
      <c r="C997" s="54" t="s">
        <v>32</v>
      </c>
      <c r="D997" s="54" t="s">
        <v>1949</v>
      </c>
      <c r="E997" s="68" t="s">
        <v>2036</v>
      </c>
      <c r="F997" s="54" t="s">
        <v>2037</v>
      </c>
      <c r="G997" s="54" t="s">
        <v>2038</v>
      </c>
      <c r="H997" s="54">
        <f>STOCK[[#This Row],[Precio Final]]</f>
        <v>3</v>
      </c>
      <c r="I997" s="54">
        <f>STOCK[[#This Row],[Precio Venta Ideal (x1.5)]]</f>
        <v>0.45</v>
      </c>
      <c r="J997" s="72">
        <v>0</v>
      </c>
      <c r="K997" s="72">
        <f>SUMIFS(VENTAS[Cantidad],VENTAS[Código del producto Vendido],STOCK[[#This Row],[Code]])</f>
        <v>0</v>
      </c>
      <c r="L997" s="72">
        <f>STOCK[[#This Row],[Entradas]]-STOCK[[#This Row],[Salidas]]</f>
        <v>0</v>
      </c>
      <c r="M997" s="54">
        <f>STOCK[[#This Row],[Precio Final]]*10%</f>
        <v>0.3</v>
      </c>
      <c r="N997" s="54">
        <v>0</v>
      </c>
      <c r="O997" s="54">
        <v>0</v>
      </c>
      <c r="P997" s="54">
        <v>0</v>
      </c>
      <c r="Q997" s="72">
        <v>0</v>
      </c>
      <c r="R997" s="54">
        <v>0</v>
      </c>
      <c r="S997" s="54">
        <v>0</v>
      </c>
      <c r="T997" s="53">
        <f>STOCK[[#This Row],[Costo Unitario (USD)]]+STOCK[[#This Row],[Costo Envío (USD)]]+STOCK[[#This Row],[Comisión 10%]]</f>
        <v>0.3</v>
      </c>
      <c r="U997" s="54">
        <f>STOCK[[#This Row],[Costo total]]*1.5</f>
        <v>0.45</v>
      </c>
      <c r="V997" s="54">
        <v>3</v>
      </c>
      <c r="W997" s="54">
        <f>STOCK[[#This Row],[Precio Final]]-STOCK[[#This Row],[Costo total]]</f>
        <v>2.7</v>
      </c>
      <c r="X997" s="54">
        <f>STOCK[[#This Row],[Ganancia Unitaria]]*STOCK[[#This Row],[Salidas]]</f>
        <v>0</v>
      </c>
      <c r="Y997" s="54" t="s">
        <v>1953</v>
      </c>
      <c r="Z997" s="54">
        <f>STOCK[[#This Row],[Precio Final]]*25%</f>
        <v>0.75</v>
      </c>
      <c r="AA997" s="54">
        <f>STOCK[[#This Row],[Costo total]]*STOCK[[#This Row],[Entradas]]</f>
        <v>0</v>
      </c>
      <c r="AB997" s="54">
        <f>STOCK[[#This Row],[Stock Actual]]*STOCK[[#This Row],[Costo total]]</f>
        <v>0</v>
      </c>
    </row>
    <row r="998" s="53" customFormat="1" ht="50" customHeight="1" spans="1:28">
      <c r="A998" s="53" t="s">
        <v>2039</v>
      </c>
      <c r="B998" s="66"/>
      <c r="C998" s="53" t="s">
        <v>32</v>
      </c>
      <c r="D998" s="53" t="s">
        <v>1949</v>
      </c>
      <c r="E998" s="67" t="s">
        <v>2040</v>
      </c>
      <c r="F998" s="53" t="s">
        <v>2041</v>
      </c>
      <c r="H998" s="53">
        <f>STOCK[[#This Row],[Precio Final]]</f>
        <v>2</v>
      </c>
      <c r="I998" s="53">
        <f>STOCK[[#This Row],[Precio Venta Ideal (x1.5)]]</f>
        <v>0.3</v>
      </c>
      <c r="J998" s="71">
        <v>0</v>
      </c>
      <c r="K998" s="71">
        <f>SUMIFS(VENTAS[Cantidad],VENTAS[Código del producto Vendido],STOCK[[#This Row],[Code]])</f>
        <v>0</v>
      </c>
      <c r="L998" s="71">
        <f>STOCK[[#This Row],[Entradas]]-STOCK[[#This Row],[Salidas]]</f>
        <v>0</v>
      </c>
      <c r="M998" s="53">
        <f>STOCK[[#This Row],[Precio Final]]*10%</f>
        <v>0.2</v>
      </c>
      <c r="N998" s="53">
        <v>0</v>
      </c>
      <c r="O998" s="53">
        <v>0</v>
      </c>
      <c r="P998" s="53">
        <v>0</v>
      </c>
      <c r="Q998" s="71">
        <v>0</v>
      </c>
      <c r="R998" s="53">
        <v>0</v>
      </c>
      <c r="S998" s="53">
        <v>0</v>
      </c>
      <c r="T998" s="53">
        <f>STOCK[[#This Row],[Costo Unitario (USD)]]+STOCK[[#This Row],[Costo Envío (USD)]]+STOCK[[#This Row],[Comisión 10%]]</f>
        <v>0.2</v>
      </c>
      <c r="U998" s="53">
        <f>STOCK[[#This Row],[Costo total]]*1.5</f>
        <v>0.3</v>
      </c>
      <c r="V998" s="53">
        <v>2</v>
      </c>
      <c r="W998" s="53">
        <f>STOCK[[#This Row],[Precio Final]]-STOCK[[#This Row],[Costo total]]</f>
        <v>1.8</v>
      </c>
      <c r="X998" s="53">
        <f>STOCK[[#This Row],[Ganancia Unitaria]]*STOCK[[#This Row],[Salidas]]</f>
        <v>0</v>
      </c>
      <c r="Y998" s="53" t="s">
        <v>1953</v>
      </c>
      <c r="Z998" s="53">
        <f>STOCK[[#This Row],[Precio Final]]*25%</f>
        <v>0.5</v>
      </c>
      <c r="AA998" s="53">
        <f>STOCK[[#This Row],[Costo total]]*STOCK[[#This Row],[Entradas]]</f>
        <v>0</v>
      </c>
      <c r="AB998" s="53">
        <f>STOCK[[#This Row],[Stock Actual]]*STOCK[[#This Row],[Costo total]]</f>
        <v>0</v>
      </c>
    </row>
    <row r="999" s="54" customFormat="1" ht="50" customHeight="1" spans="1:28">
      <c r="A999" s="54" t="s">
        <v>2042</v>
      </c>
      <c r="B999" s="66"/>
      <c r="C999" s="54" t="s">
        <v>32</v>
      </c>
      <c r="D999" s="54" t="s">
        <v>1953</v>
      </c>
      <c r="E999" s="68" t="s">
        <v>2043</v>
      </c>
      <c r="F999" s="54" t="s">
        <v>1962</v>
      </c>
      <c r="H999" s="54">
        <f>STOCK[[#This Row],[Precio Final]]</f>
        <v>3</v>
      </c>
      <c r="I999" s="54">
        <f>STOCK[[#This Row],[Precio Venta Ideal (x1.5)]]</f>
        <v>0.45</v>
      </c>
      <c r="J999" s="72">
        <v>1</v>
      </c>
      <c r="K999" s="72">
        <f>SUMIFS(VENTAS[Cantidad],VENTAS[Código del producto Vendido],STOCK[[#This Row],[Code]])</f>
        <v>1</v>
      </c>
      <c r="L999" s="72">
        <f>STOCK[[#This Row],[Entradas]]-STOCK[[#This Row],[Salidas]]</f>
        <v>0</v>
      </c>
      <c r="M999" s="54">
        <f>STOCK[[#This Row],[Precio Final]]*10%</f>
        <v>0.3</v>
      </c>
      <c r="N999" s="54">
        <v>0</v>
      </c>
      <c r="O999" s="54">
        <v>0</v>
      </c>
      <c r="P999" s="54">
        <v>0</v>
      </c>
      <c r="Q999" s="72">
        <v>0</v>
      </c>
      <c r="R999" s="54">
        <v>0</v>
      </c>
      <c r="S999" s="54">
        <v>0</v>
      </c>
      <c r="T999" s="53">
        <f>STOCK[[#This Row],[Costo Unitario (USD)]]+STOCK[[#This Row],[Costo Envío (USD)]]+STOCK[[#This Row],[Comisión 10%]]</f>
        <v>0.3</v>
      </c>
      <c r="U999" s="54">
        <f>STOCK[[#This Row],[Costo total]]*1.5</f>
        <v>0.45</v>
      </c>
      <c r="V999" s="54">
        <v>3</v>
      </c>
      <c r="W999" s="54">
        <f>STOCK[[#This Row],[Precio Final]]-STOCK[[#This Row],[Costo total]]</f>
        <v>2.7</v>
      </c>
      <c r="X999" s="54">
        <f>STOCK[[#This Row],[Ganancia Unitaria]]*STOCK[[#This Row],[Salidas]]</f>
        <v>2.7</v>
      </c>
      <c r="Y999" s="54" t="s">
        <v>1953</v>
      </c>
      <c r="Z999" s="54">
        <f>STOCK[[#This Row],[Precio Final]]*25%</f>
        <v>0.75</v>
      </c>
      <c r="AA999" s="54">
        <f>STOCK[[#This Row],[Costo total]]*STOCK[[#This Row],[Entradas]]</f>
        <v>0.3</v>
      </c>
      <c r="AB999" s="54">
        <f>STOCK[[#This Row],[Stock Actual]]*STOCK[[#This Row],[Costo total]]</f>
        <v>0</v>
      </c>
    </row>
    <row r="1000" s="53" customFormat="1" ht="50" customHeight="1" spans="1:28">
      <c r="A1000" s="53" t="s">
        <v>2044</v>
      </c>
      <c r="B1000" s="66"/>
      <c r="C1000" s="53" t="s">
        <v>32</v>
      </c>
      <c r="D1000" s="53" t="s">
        <v>1949</v>
      </c>
      <c r="E1000" s="67" t="s">
        <v>2045</v>
      </c>
      <c r="F1000" s="53" t="s">
        <v>1962</v>
      </c>
      <c r="H1000" s="53">
        <f>STOCK[[#This Row],[Precio Final]]</f>
        <v>3</v>
      </c>
      <c r="I1000" s="53">
        <f>STOCK[[#This Row],[Precio Venta Ideal (x1.5)]]</f>
        <v>0.45</v>
      </c>
      <c r="J1000" s="71">
        <v>0</v>
      </c>
      <c r="K1000" s="71">
        <f>SUMIFS(VENTAS[Cantidad],VENTAS[Código del producto Vendido],STOCK[[#This Row],[Code]])</f>
        <v>0</v>
      </c>
      <c r="L1000" s="71">
        <f>STOCK[[#This Row],[Entradas]]-STOCK[[#This Row],[Salidas]]</f>
        <v>0</v>
      </c>
      <c r="M1000" s="53">
        <f>STOCK[[#This Row],[Precio Final]]*10%</f>
        <v>0.3</v>
      </c>
      <c r="N1000" s="53">
        <v>0</v>
      </c>
      <c r="O1000" s="53">
        <v>0</v>
      </c>
      <c r="P1000" s="53">
        <v>0</v>
      </c>
      <c r="Q1000" s="71">
        <v>0</v>
      </c>
      <c r="R1000" s="53">
        <v>0</v>
      </c>
      <c r="S1000" s="53">
        <v>0</v>
      </c>
      <c r="T1000" s="53">
        <f>STOCK[[#This Row],[Costo Unitario (USD)]]+STOCK[[#This Row],[Costo Envío (USD)]]+STOCK[[#This Row],[Comisión 10%]]</f>
        <v>0.3</v>
      </c>
      <c r="U1000" s="53">
        <f>STOCK[[#This Row],[Costo total]]*1.5</f>
        <v>0.45</v>
      </c>
      <c r="V1000" s="53">
        <v>3</v>
      </c>
      <c r="W1000" s="53">
        <f>STOCK[[#This Row],[Precio Final]]-STOCK[[#This Row],[Costo total]]</f>
        <v>2.7</v>
      </c>
      <c r="X1000" s="53">
        <f>STOCK[[#This Row],[Ganancia Unitaria]]*STOCK[[#This Row],[Salidas]]</f>
        <v>0</v>
      </c>
      <c r="Y1000" s="53" t="s">
        <v>1953</v>
      </c>
      <c r="Z1000" s="53">
        <f>STOCK[[#This Row],[Precio Final]]*25%</f>
        <v>0.75</v>
      </c>
      <c r="AA1000" s="53">
        <f>STOCK[[#This Row],[Costo total]]*STOCK[[#This Row],[Entradas]]</f>
        <v>0</v>
      </c>
      <c r="AB1000" s="53">
        <f>STOCK[[#This Row],[Stock Actual]]*STOCK[[#This Row],[Costo total]]</f>
        <v>0</v>
      </c>
    </row>
    <row r="1001" s="54" customFormat="1" ht="50" customHeight="1" spans="1:28">
      <c r="A1001" s="54" t="s">
        <v>2046</v>
      </c>
      <c r="B1001" s="66"/>
      <c r="C1001" s="54" t="s">
        <v>32</v>
      </c>
      <c r="D1001" s="54" t="s">
        <v>1949</v>
      </c>
      <c r="E1001" s="68" t="s">
        <v>2047</v>
      </c>
      <c r="F1001" s="54" t="s">
        <v>2048</v>
      </c>
      <c r="H1001" s="54">
        <f>STOCK[[#This Row],[Precio Final]]</f>
        <v>5</v>
      </c>
      <c r="I1001" s="54">
        <f>STOCK[[#This Row],[Precio Venta Ideal (x1.5)]]</f>
        <v>0.75</v>
      </c>
      <c r="J1001" s="71">
        <v>0</v>
      </c>
      <c r="K1001" s="72">
        <f>SUMIFS(VENTAS[Cantidad],VENTAS[Código del producto Vendido],STOCK[[#This Row],[Code]])</f>
        <v>0</v>
      </c>
      <c r="L1001" s="72">
        <f>STOCK[[#This Row],[Entradas]]-STOCK[[#This Row],[Salidas]]</f>
        <v>0</v>
      </c>
      <c r="M1001" s="54">
        <f>STOCK[[#This Row],[Precio Final]]*10%</f>
        <v>0.5</v>
      </c>
      <c r="N1001" s="54">
        <v>0</v>
      </c>
      <c r="O1001" s="54">
        <v>0</v>
      </c>
      <c r="P1001" s="54">
        <v>0</v>
      </c>
      <c r="Q1001" s="72">
        <v>0</v>
      </c>
      <c r="R1001" s="54">
        <v>0</v>
      </c>
      <c r="S1001" s="54">
        <v>0</v>
      </c>
      <c r="T1001" s="53">
        <f>STOCK[[#This Row],[Costo Unitario (USD)]]+STOCK[[#This Row],[Costo Envío (USD)]]+STOCK[[#This Row],[Comisión 10%]]</f>
        <v>0.5</v>
      </c>
      <c r="U1001" s="54">
        <f>STOCK[[#This Row],[Costo total]]*1.5</f>
        <v>0.75</v>
      </c>
      <c r="V1001" s="54">
        <v>5</v>
      </c>
      <c r="W1001" s="54">
        <f>STOCK[[#This Row],[Precio Final]]-STOCK[[#This Row],[Costo total]]</f>
        <v>4.5</v>
      </c>
      <c r="X1001" s="54">
        <f>STOCK[[#This Row],[Ganancia Unitaria]]*STOCK[[#This Row],[Salidas]]</f>
        <v>0</v>
      </c>
      <c r="Y1001" s="54" t="s">
        <v>1953</v>
      </c>
      <c r="Z1001" s="54">
        <f>STOCK[[#This Row],[Precio Final]]*25%</f>
        <v>1.25</v>
      </c>
      <c r="AA1001" s="54">
        <f>STOCK[[#This Row],[Costo total]]*STOCK[[#This Row],[Entradas]]</f>
        <v>0</v>
      </c>
      <c r="AB1001" s="54">
        <f>STOCK[[#This Row],[Stock Actual]]*STOCK[[#This Row],[Costo total]]</f>
        <v>0</v>
      </c>
    </row>
    <row r="1002" s="53" customFormat="1" ht="50" customHeight="1" spans="1:28">
      <c r="A1002" s="53" t="s">
        <v>2049</v>
      </c>
      <c r="B1002" s="66"/>
      <c r="C1002" s="53" t="s">
        <v>32</v>
      </c>
      <c r="D1002" s="53" t="s">
        <v>1949</v>
      </c>
      <c r="E1002" s="67" t="s">
        <v>2050</v>
      </c>
      <c r="F1002" s="53" t="s">
        <v>2051</v>
      </c>
      <c r="G1002" s="53" t="s">
        <v>36</v>
      </c>
      <c r="H1002" s="53">
        <f>STOCK[[#This Row],[Precio Final]]</f>
        <v>6</v>
      </c>
      <c r="I1002" s="53">
        <f>STOCK[[#This Row],[Precio Venta Ideal (x1.5)]]</f>
        <v>0.9</v>
      </c>
      <c r="J1002" s="71">
        <v>0</v>
      </c>
      <c r="K1002" s="71">
        <f>SUMIFS(VENTAS[Cantidad],VENTAS[Código del producto Vendido],STOCK[[#This Row],[Code]])</f>
        <v>0</v>
      </c>
      <c r="L1002" s="71">
        <f>STOCK[[#This Row],[Entradas]]-STOCK[[#This Row],[Salidas]]</f>
        <v>0</v>
      </c>
      <c r="M1002" s="53">
        <f>STOCK[[#This Row],[Precio Final]]*10%</f>
        <v>0.6</v>
      </c>
      <c r="N1002" s="53">
        <v>0</v>
      </c>
      <c r="O1002" s="53">
        <v>0</v>
      </c>
      <c r="P1002" s="53">
        <v>0</v>
      </c>
      <c r="Q1002" s="71">
        <v>0</v>
      </c>
      <c r="R1002" s="53">
        <v>0</v>
      </c>
      <c r="S1002" s="53">
        <v>0</v>
      </c>
      <c r="T1002" s="53">
        <f>STOCK[[#This Row],[Costo Unitario (USD)]]+STOCK[[#This Row],[Costo Envío (USD)]]+STOCK[[#This Row],[Comisión 10%]]</f>
        <v>0.6</v>
      </c>
      <c r="U1002" s="53">
        <f>STOCK[[#This Row],[Costo total]]*1.5</f>
        <v>0.9</v>
      </c>
      <c r="V1002" s="53">
        <v>6</v>
      </c>
      <c r="W1002" s="53">
        <f>STOCK[[#This Row],[Precio Final]]-STOCK[[#This Row],[Costo total]]</f>
        <v>5.4</v>
      </c>
      <c r="X1002" s="53">
        <f>STOCK[[#This Row],[Ganancia Unitaria]]*STOCK[[#This Row],[Salidas]]</f>
        <v>0</v>
      </c>
      <c r="Y1002" s="53" t="s">
        <v>1953</v>
      </c>
      <c r="AA1002" s="54">
        <f>STOCK[[#This Row],[Costo total]]*STOCK[[#This Row],[Entradas]]</f>
        <v>0</v>
      </c>
      <c r="AB1002" s="54">
        <f>STOCK[[#This Row],[Stock Actual]]*STOCK[[#This Row],[Costo total]]</f>
        <v>0</v>
      </c>
    </row>
    <row r="1003" s="54" customFormat="1" ht="50" customHeight="1" spans="1:28">
      <c r="A1003" s="54" t="s">
        <v>2052</v>
      </c>
      <c r="B1003" s="66"/>
      <c r="C1003" s="54" t="s">
        <v>32</v>
      </c>
      <c r="D1003" s="54" t="s">
        <v>1949</v>
      </c>
      <c r="E1003" s="68" t="s">
        <v>2053</v>
      </c>
      <c r="F1003" s="54" t="s">
        <v>2054</v>
      </c>
      <c r="G1003" s="54" t="s">
        <v>2055</v>
      </c>
      <c r="H1003" s="54">
        <f>STOCK[[#This Row],[Precio Final]]</f>
        <v>6</v>
      </c>
      <c r="I1003" s="54">
        <f>STOCK[[#This Row],[Precio Venta Ideal (x1.5)]]</f>
        <v>0.9</v>
      </c>
      <c r="J1003" s="71">
        <v>0</v>
      </c>
      <c r="K1003" s="72">
        <f>SUMIFS(VENTAS[Cantidad],VENTAS[Código del producto Vendido],STOCK[[#This Row],[Code]])</f>
        <v>0</v>
      </c>
      <c r="L1003" s="72">
        <f>STOCK[[#This Row],[Entradas]]-STOCK[[#This Row],[Salidas]]</f>
        <v>0</v>
      </c>
      <c r="M1003" s="54">
        <f>STOCK[[#This Row],[Precio Final]]*10%</f>
        <v>0.6</v>
      </c>
      <c r="N1003" s="54">
        <v>0</v>
      </c>
      <c r="O1003" s="54">
        <v>0</v>
      </c>
      <c r="P1003" s="54">
        <v>0</v>
      </c>
      <c r="Q1003" s="72">
        <v>0</v>
      </c>
      <c r="R1003" s="54">
        <v>0</v>
      </c>
      <c r="S1003" s="54">
        <v>0</v>
      </c>
      <c r="T1003" s="53">
        <f>STOCK[[#This Row],[Costo Unitario (USD)]]+STOCK[[#This Row],[Costo Envío (USD)]]+STOCK[[#This Row],[Comisión 10%]]</f>
        <v>0.6</v>
      </c>
      <c r="U1003" s="54">
        <f>STOCK[[#This Row],[Costo total]]*1.5</f>
        <v>0.9</v>
      </c>
      <c r="V1003" s="54">
        <v>6</v>
      </c>
      <c r="W1003" s="54">
        <f>STOCK[[#This Row],[Precio Final]]-STOCK[[#This Row],[Costo total]]</f>
        <v>5.4</v>
      </c>
      <c r="X1003" s="54">
        <f>STOCK[[#This Row],[Ganancia Unitaria]]*STOCK[[#This Row],[Salidas]]</f>
        <v>0</v>
      </c>
      <c r="Y1003" s="54" t="s">
        <v>1953</v>
      </c>
      <c r="AA1003" s="54">
        <f>STOCK[[#This Row],[Costo total]]*STOCK[[#This Row],[Entradas]]</f>
        <v>0</v>
      </c>
      <c r="AB1003" s="54">
        <f>STOCK[[#This Row],[Stock Actual]]*STOCK[[#This Row],[Costo total]]</f>
        <v>0</v>
      </c>
    </row>
    <row r="1004" s="53" customFormat="1" ht="50" customHeight="1" spans="1:28">
      <c r="A1004" s="53" t="s">
        <v>2056</v>
      </c>
      <c r="B1004" s="66"/>
      <c r="C1004" s="53" t="s">
        <v>32</v>
      </c>
      <c r="D1004" s="53" t="s">
        <v>1949</v>
      </c>
      <c r="E1004" s="67" t="s">
        <v>2057</v>
      </c>
      <c r="F1004" s="53" t="s">
        <v>2058</v>
      </c>
      <c r="G1004" s="53" t="s">
        <v>36</v>
      </c>
      <c r="H1004" s="53">
        <f>STOCK[[#This Row],[Precio Final]]</f>
        <v>20</v>
      </c>
      <c r="I1004" s="53">
        <f>STOCK[[#This Row],[Precio Venta Ideal (x1.5)]]</f>
        <v>3</v>
      </c>
      <c r="J1004" s="71">
        <v>0</v>
      </c>
      <c r="K1004" s="71">
        <f>SUMIFS(VENTAS[Cantidad],VENTAS[Código del producto Vendido],STOCK[[#This Row],[Code]])</f>
        <v>0</v>
      </c>
      <c r="L1004" s="71">
        <f>STOCK[[#This Row],[Entradas]]-STOCK[[#This Row],[Salidas]]</f>
        <v>0</v>
      </c>
      <c r="M1004" s="53">
        <f>STOCK[[#This Row],[Precio Final]]*10%</f>
        <v>2</v>
      </c>
      <c r="N1004" s="53">
        <v>0</v>
      </c>
      <c r="O1004" s="53">
        <v>0</v>
      </c>
      <c r="P1004" s="53">
        <v>0</v>
      </c>
      <c r="Q1004" s="71">
        <v>0</v>
      </c>
      <c r="R1004" s="53">
        <v>0</v>
      </c>
      <c r="S1004" s="53">
        <v>0</v>
      </c>
      <c r="T1004" s="53">
        <f>STOCK[[#This Row],[Costo Unitario (USD)]]+STOCK[[#This Row],[Costo Envío (USD)]]+STOCK[[#This Row],[Comisión 10%]]</f>
        <v>2</v>
      </c>
      <c r="U1004" s="53">
        <f>STOCK[[#This Row],[Costo total]]*1.5</f>
        <v>3</v>
      </c>
      <c r="V1004" s="53">
        <v>20</v>
      </c>
      <c r="W1004" s="53">
        <f>STOCK[[#This Row],[Precio Final]]-STOCK[[#This Row],[Costo total]]</f>
        <v>18</v>
      </c>
      <c r="X1004" s="53">
        <f>STOCK[[#This Row],[Ganancia Unitaria]]*STOCK[[#This Row],[Salidas]]</f>
        <v>0</v>
      </c>
      <c r="Y1004" s="53" t="s">
        <v>1953</v>
      </c>
      <c r="AA1004" s="54">
        <f>STOCK[[#This Row],[Costo total]]*STOCK[[#This Row],[Entradas]]</f>
        <v>0</v>
      </c>
      <c r="AB1004" s="54">
        <f>STOCK[[#This Row],[Stock Actual]]*STOCK[[#This Row],[Costo total]]</f>
        <v>0</v>
      </c>
    </row>
    <row r="1005" s="54" customFormat="1" ht="50" customHeight="1" spans="1:28">
      <c r="A1005" s="54" t="s">
        <v>2059</v>
      </c>
      <c r="B1005" s="66"/>
      <c r="C1005" s="54" t="s">
        <v>32</v>
      </c>
      <c r="D1005" s="54" t="s">
        <v>152</v>
      </c>
      <c r="E1005" s="68" t="s">
        <v>2060</v>
      </c>
      <c r="F1005" s="54" t="s">
        <v>258</v>
      </c>
      <c r="G1005" s="54" t="s">
        <v>36</v>
      </c>
      <c r="H1005" s="54">
        <f>STOCK[[#This Row],[Precio Final]]</f>
        <v>28</v>
      </c>
      <c r="I1005" s="54">
        <f>STOCK[[#This Row],[Precio Venta Ideal (x1.5)]]</f>
        <v>25.2</v>
      </c>
      <c r="J1005" s="71">
        <v>0</v>
      </c>
      <c r="K1005" s="72">
        <f>SUMIFS(VENTAS[Cantidad],VENTAS[Código del producto Vendido],STOCK[[#This Row],[Code]])</f>
        <v>0</v>
      </c>
      <c r="L1005" s="72">
        <f>STOCK[[#This Row],[Entradas]]-STOCK[[#This Row],[Salidas]]</f>
        <v>0</v>
      </c>
      <c r="M1005" s="54">
        <f>STOCK[[#This Row],[Precio Final]]*10%</f>
        <v>2.8</v>
      </c>
      <c r="N1005" s="54">
        <v>0</v>
      </c>
      <c r="O1005" s="54">
        <v>0</v>
      </c>
      <c r="P1005" s="54">
        <v>14</v>
      </c>
      <c r="Q1005" s="72">
        <v>0</v>
      </c>
      <c r="R1005" s="54">
        <v>0</v>
      </c>
      <c r="S1005" s="54">
        <v>0</v>
      </c>
      <c r="T1005" s="53">
        <f>STOCK[[#This Row],[Costo Unitario (USD)]]+STOCK[[#This Row],[Costo Envío (USD)]]+STOCK[[#This Row],[Comisión 10%]]</f>
        <v>16.8</v>
      </c>
      <c r="U1005" s="54">
        <f>STOCK[[#This Row],[Costo total]]*1.5</f>
        <v>25.2</v>
      </c>
      <c r="V1005" s="54">
        <v>28</v>
      </c>
      <c r="W1005" s="54">
        <f>STOCK[[#This Row],[Precio Final]]-STOCK[[#This Row],[Costo total]]</f>
        <v>11.2</v>
      </c>
      <c r="X1005" s="54">
        <f>STOCK[[#This Row],[Ganancia Unitaria]]*STOCK[[#This Row],[Salidas]]</f>
        <v>0</v>
      </c>
      <c r="Y1005" s="54" t="s">
        <v>1953</v>
      </c>
      <c r="AA1005" s="54">
        <f>STOCK[[#This Row],[Costo total]]*STOCK[[#This Row],[Entradas]]</f>
        <v>0</v>
      </c>
      <c r="AB1005" s="54">
        <f>STOCK[[#This Row],[Stock Actual]]*STOCK[[#This Row],[Costo total]]</f>
        <v>0</v>
      </c>
    </row>
    <row r="1006" s="53" customFormat="1" ht="50" customHeight="1" spans="1:28">
      <c r="A1006" s="53" t="s">
        <v>2061</v>
      </c>
      <c r="B1006" s="66"/>
      <c r="C1006" s="53" t="s">
        <v>32</v>
      </c>
      <c r="D1006" s="53" t="s">
        <v>743</v>
      </c>
      <c r="E1006" s="67" t="s">
        <v>2062</v>
      </c>
      <c r="F1006" s="53" t="s">
        <v>2063</v>
      </c>
      <c r="G1006" s="53" t="s">
        <v>704</v>
      </c>
      <c r="H1006" s="53">
        <f>STOCK[[#This Row],[Precio Final]]</f>
        <v>0</v>
      </c>
      <c r="I1006" s="53">
        <f>STOCK[[#This Row],[Precio Venta Ideal (x1.5)]]</f>
        <v>0</v>
      </c>
      <c r="J1006" s="71">
        <v>0</v>
      </c>
      <c r="K1006" s="71">
        <f>SUMIFS(VENTAS[Cantidad],VENTAS[Código del producto Vendido],STOCK[[#This Row],[Code]])</f>
        <v>0</v>
      </c>
      <c r="L1006" s="71">
        <f>STOCK[[#This Row],[Entradas]]-STOCK[[#This Row],[Salidas]]</f>
        <v>0</v>
      </c>
      <c r="M1006" s="53">
        <f>STOCK[[#This Row],[Precio Final]]*10%</f>
        <v>0</v>
      </c>
      <c r="N1006" s="53">
        <v>0</v>
      </c>
      <c r="O1006" s="53">
        <v>0</v>
      </c>
      <c r="P1006" s="53">
        <v>0</v>
      </c>
      <c r="Q1006" s="71">
        <v>0</v>
      </c>
      <c r="R1006" s="53">
        <v>0</v>
      </c>
      <c r="S1006" s="53">
        <v>0</v>
      </c>
      <c r="T1006" s="53">
        <f>STOCK[[#This Row],[Costo Unitario (USD)]]+STOCK[[#This Row],[Costo Envío (USD)]]+STOCK[[#This Row],[Comisión 10%]]</f>
        <v>0</v>
      </c>
      <c r="U1006" s="53">
        <f>STOCK[[#This Row],[Costo total]]*1.5</f>
        <v>0</v>
      </c>
      <c r="W1006" s="53">
        <f>STOCK[[#This Row],[Precio Final]]-STOCK[[#This Row],[Costo total]]</f>
        <v>0</v>
      </c>
      <c r="X1006" s="53">
        <f>STOCK[[#This Row],[Ganancia Unitaria]]*STOCK[[#This Row],[Salidas]]</f>
        <v>0</v>
      </c>
      <c r="Y1006" s="53" t="s">
        <v>1953</v>
      </c>
      <c r="AA1006" s="54">
        <f>STOCK[[#This Row],[Costo total]]*STOCK[[#This Row],[Entradas]]</f>
        <v>0</v>
      </c>
      <c r="AB1006" s="54">
        <f>STOCK[[#This Row],[Stock Actual]]*STOCK[[#This Row],[Costo total]]</f>
        <v>0</v>
      </c>
    </row>
    <row r="1007" s="54" customFormat="1" ht="50" customHeight="1" spans="1:28">
      <c r="A1007" s="54" t="s">
        <v>2064</v>
      </c>
      <c r="B1007" s="66"/>
      <c r="C1007" s="54" t="s">
        <v>32</v>
      </c>
      <c r="D1007" s="54" t="s">
        <v>152</v>
      </c>
      <c r="E1007" s="68" t="s">
        <v>2065</v>
      </c>
      <c r="F1007" s="54" t="s">
        <v>2066</v>
      </c>
      <c r="G1007" s="54" t="s">
        <v>704</v>
      </c>
      <c r="H1007" s="54">
        <f>STOCK[[#This Row],[Precio Final]]</f>
        <v>30</v>
      </c>
      <c r="I1007" s="54">
        <f>STOCK[[#This Row],[Precio Venta Ideal (x1.5)]]</f>
        <v>27</v>
      </c>
      <c r="J1007" s="71">
        <v>0</v>
      </c>
      <c r="K1007" s="72">
        <f>SUMIFS(VENTAS[Cantidad],VENTAS[Código del producto Vendido],STOCK[[#This Row],[Code]])</f>
        <v>0</v>
      </c>
      <c r="L1007" s="72">
        <f>STOCK[[#This Row],[Entradas]]-STOCK[[#This Row],[Salidas]]</f>
        <v>0</v>
      </c>
      <c r="M1007" s="54">
        <f>STOCK[[#This Row],[Precio Final]]*10%</f>
        <v>3</v>
      </c>
      <c r="N1007" s="54">
        <v>0</v>
      </c>
      <c r="O1007" s="54">
        <v>0</v>
      </c>
      <c r="P1007" s="54">
        <v>15</v>
      </c>
      <c r="Q1007" s="72">
        <v>0</v>
      </c>
      <c r="R1007" s="54">
        <v>0</v>
      </c>
      <c r="S1007" s="54">
        <v>0</v>
      </c>
      <c r="T1007" s="53">
        <f>STOCK[[#This Row],[Costo Unitario (USD)]]+STOCK[[#This Row],[Costo Envío (USD)]]+STOCK[[#This Row],[Comisión 10%]]</f>
        <v>18</v>
      </c>
      <c r="U1007" s="54">
        <f>STOCK[[#This Row],[Costo total]]*1.5</f>
        <v>27</v>
      </c>
      <c r="V1007" s="54">
        <v>30</v>
      </c>
      <c r="W1007" s="54">
        <f>STOCK[[#This Row],[Precio Final]]-STOCK[[#This Row],[Costo total]]</f>
        <v>12</v>
      </c>
      <c r="X1007" s="54">
        <f>STOCK[[#This Row],[Ganancia Unitaria]]*STOCK[[#This Row],[Salidas]]</f>
        <v>0</v>
      </c>
      <c r="Y1007" s="54" t="s">
        <v>1953</v>
      </c>
      <c r="AA1007" s="54">
        <f>STOCK[[#This Row],[Costo total]]*STOCK[[#This Row],[Entradas]]</f>
        <v>0</v>
      </c>
      <c r="AB1007" s="54">
        <f>STOCK[[#This Row],[Stock Actual]]*STOCK[[#This Row],[Costo total]]</f>
        <v>0</v>
      </c>
    </row>
    <row r="1008" s="53" customFormat="1" ht="50" customHeight="1" spans="1:28">
      <c r="A1008" s="53" t="s">
        <v>2067</v>
      </c>
      <c r="B1008" s="66"/>
      <c r="C1008" s="53" t="s">
        <v>32</v>
      </c>
      <c r="D1008" s="53" t="s">
        <v>1949</v>
      </c>
      <c r="E1008" s="67" t="s">
        <v>2068</v>
      </c>
      <c r="F1008" s="53" t="s">
        <v>2069</v>
      </c>
      <c r="G1008" s="53" t="s">
        <v>2070</v>
      </c>
      <c r="H1008" s="53">
        <f>STOCK[[#This Row],[Precio Final]]</f>
        <v>0</v>
      </c>
      <c r="I1008" s="53">
        <f>STOCK[[#This Row],[Precio Venta Ideal (x1.5)]]</f>
        <v>0</v>
      </c>
      <c r="J1008" s="71">
        <v>0</v>
      </c>
      <c r="K1008" s="71">
        <f>SUMIFS(VENTAS[Cantidad],VENTAS[Código del producto Vendido],STOCK[[#This Row],[Code]])</f>
        <v>0</v>
      </c>
      <c r="L1008" s="71">
        <f>STOCK[[#This Row],[Entradas]]-STOCK[[#This Row],[Salidas]]</f>
        <v>0</v>
      </c>
      <c r="M1008" s="53">
        <f>STOCK[[#This Row],[Precio Final]]*10%</f>
        <v>0</v>
      </c>
      <c r="N1008" s="53">
        <v>0</v>
      </c>
      <c r="O1008" s="53">
        <v>0</v>
      </c>
      <c r="P1008" s="53">
        <v>0</v>
      </c>
      <c r="Q1008" s="71">
        <v>0</v>
      </c>
      <c r="R1008" s="53">
        <v>0</v>
      </c>
      <c r="S1008" s="53">
        <v>0</v>
      </c>
      <c r="T1008" s="53">
        <f>STOCK[[#This Row],[Costo Unitario (USD)]]+STOCK[[#This Row],[Costo Envío (USD)]]+STOCK[[#This Row],[Comisión 10%]]</f>
        <v>0</v>
      </c>
      <c r="U1008" s="53">
        <f>STOCK[[#This Row],[Costo total]]*1.5</f>
        <v>0</v>
      </c>
      <c r="W1008" s="53">
        <f>STOCK[[#This Row],[Precio Final]]-STOCK[[#This Row],[Costo total]]</f>
        <v>0</v>
      </c>
      <c r="X1008" s="53">
        <f>STOCK[[#This Row],[Ganancia Unitaria]]*STOCK[[#This Row],[Salidas]]</f>
        <v>0</v>
      </c>
      <c r="Y1008" s="53" t="s">
        <v>1953</v>
      </c>
      <c r="AA1008" s="54">
        <f>STOCK[[#This Row],[Costo total]]*STOCK[[#This Row],[Entradas]]</f>
        <v>0</v>
      </c>
      <c r="AB1008" s="54">
        <f>STOCK[[#This Row],[Stock Actual]]*STOCK[[#This Row],[Costo total]]</f>
        <v>0</v>
      </c>
    </row>
    <row r="1009" s="54" customFormat="1" ht="50" customHeight="1" spans="1:28">
      <c r="A1009" s="54" t="s">
        <v>2071</v>
      </c>
      <c r="B1009" s="66"/>
      <c r="C1009" s="54" t="s">
        <v>32</v>
      </c>
      <c r="D1009" s="54" t="s">
        <v>1949</v>
      </c>
      <c r="E1009" s="68" t="s">
        <v>2072</v>
      </c>
      <c r="F1009" s="54" t="s">
        <v>2069</v>
      </c>
      <c r="G1009" s="54" t="s">
        <v>2070</v>
      </c>
      <c r="H1009" s="54">
        <f>STOCK[[#This Row],[Precio Final]]</f>
        <v>0</v>
      </c>
      <c r="I1009" s="54">
        <f>STOCK[[#This Row],[Precio Venta Ideal (x1.5)]]</f>
        <v>0</v>
      </c>
      <c r="J1009" s="71">
        <v>0</v>
      </c>
      <c r="K1009" s="72">
        <f>SUMIFS(VENTAS[Cantidad],VENTAS[Código del producto Vendido],STOCK[[#This Row],[Code]])</f>
        <v>0</v>
      </c>
      <c r="L1009" s="72">
        <f>STOCK[[#This Row],[Entradas]]-STOCK[[#This Row],[Salidas]]</f>
        <v>0</v>
      </c>
      <c r="M1009" s="54">
        <f>STOCK[[#This Row],[Precio Final]]*10%</f>
        <v>0</v>
      </c>
      <c r="N1009" s="54">
        <v>0</v>
      </c>
      <c r="O1009" s="54">
        <v>0</v>
      </c>
      <c r="P1009" s="54">
        <v>0</v>
      </c>
      <c r="Q1009" s="72">
        <v>0</v>
      </c>
      <c r="R1009" s="54">
        <v>0</v>
      </c>
      <c r="S1009" s="54">
        <v>0</v>
      </c>
      <c r="T1009" s="53">
        <f>STOCK[[#This Row],[Costo Unitario (USD)]]+STOCK[[#This Row],[Costo Envío (USD)]]+STOCK[[#This Row],[Comisión 10%]]</f>
        <v>0</v>
      </c>
      <c r="U1009" s="54">
        <f>STOCK[[#This Row],[Costo total]]*1.5</f>
        <v>0</v>
      </c>
      <c r="W1009" s="54">
        <f>STOCK[[#This Row],[Precio Final]]-STOCK[[#This Row],[Costo total]]</f>
        <v>0</v>
      </c>
      <c r="X1009" s="54">
        <f>STOCK[[#This Row],[Ganancia Unitaria]]*STOCK[[#This Row],[Salidas]]</f>
        <v>0</v>
      </c>
      <c r="Y1009" s="54" t="s">
        <v>1953</v>
      </c>
      <c r="AA1009" s="54">
        <f>STOCK[[#This Row],[Costo total]]*STOCK[[#This Row],[Entradas]]</f>
        <v>0</v>
      </c>
      <c r="AB1009" s="54">
        <f>STOCK[[#This Row],[Stock Actual]]*STOCK[[#This Row],[Costo total]]</f>
        <v>0</v>
      </c>
    </row>
    <row r="1010" s="53" customFormat="1" ht="50" customHeight="1" spans="1:28">
      <c r="A1010" s="53" t="s">
        <v>2073</v>
      </c>
      <c r="B1010" s="66"/>
      <c r="C1010" s="53" t="s">
        <v>32</v>
      </c>
      <c r="D1010" s="53" t="s">
        <v>1949</v>
      </c>
      <c r="E1010" s="67" t="s">
        <v>2074</v>
      </c>
      <c r="F1010" s="53" t="s">
        <v>2069</v>
      </c>
      <c r="G1010" s="53" t="s">
        <v>2070</v>
      </c>
      <c r="H1010" s="53">
        <f>STOCK[[#This Row],[Precio Final]]</f>
        <v>0</v>
      </c>
      <c r="I1010" s="53">
        <f>STOCK[[#This Row],[Precio Venta Ideal (x1.5)]]</f>
        <v>0</v>
      </c>
      <c r="J1010" s="71">
        <v>0</v>
      </c>
      <c r="K1010" s="71">
        <f>SUMIFS(VENTAS[Cantidad],VENTAS[Código del producto Vendido],STOCK[[#This Row],[Code]])</f>
        <v>0</v>
      </c>
      <c r="L1010" s="71">
        <f>STOCK[[#This Row],[Entradas]]-STOCK[[#This Row],[Salidas]]</f>
        <v>0</v>
      </c>
      <c r="M1010" s="53">
        <f>STOCK[[#This Row],[Precio Final]]*10%</f>
        <v>0</v>
      </c>
      <c r="N1010" s="53">
        <v>0</v>
      </c>
      <c r="O1010" s="53">
        <v>0</v>
      </c>
      <c r="P1010" s="53">
        <v>0</v>
      </c>
      <c r="Q1010" s="71">
        <v>0</v>
      </c>
      <c r="R1010" s="53">
        <v>0</v>
      </c>
      <c r="S1010" s="53">
        <v>0</v>
      </c>
      <c r="T1010" s="53">
        <f>STOCK[[#This Row],[Costo Unitario (USD)]]+STOCK[[#This Row],[Costo Envío (USD)]]+STOCK[[#This Row],[Comisión 10%]]</f>
        <v>0</v>
      </c>
      <c r="U1010" s="53">
        <f>STOCK[[#This Row],[Costo total]]*1.5</f>
        <v>0</v>
      </c>
      <c r="W1010" s="53">
        <f>STOCK[[#This Row],[Precio Final]]-STOCK[[#This Row],[Costo total]]</f>
        <v>0</v>
      </c>
      <c r="X1010" s="53">
        <f>STOCK[[#This Row],[Ganancia Unitaria]]*STOCK[[#This Row],[Salidas]]</f>
        <v>0</v>
      </c>
      <c r="Y1010" s="53" t="s">
        <v>1953</v>
      </c>
      <c r="AA1010" s="54">
        <f>STOCK[[#This Row],[Costo total]]*STOCK[[#This Row],[Entradas]]</f>
        <v>0</v>
      </c>
      <c r="AB1010" s="54">
        <f>STOCK[[#This Row],[Stock Actual]]*STOCK[[#This Row],[Costo total]]</f>
        <v>0</v>
      </c>
    </row>
    <row r="1011" s="54" customFormat="1" ht="50" customHeight="1" spans="1:28">
      <c r="A1011" s="54" t="s">
        <v>2075</v>
      </c>
      <c r="B1011" s="66"/>
      <c r="C1011" s="54" t="s">
        <v>32</v>
      </c>
      <c r="D1011" s="54" t="s">
        <v>1949</v>
      </c>
      <c r="E1011" s="68" t="s">
        <v>2076</v>
      </c>
      <c r="F1011" s="54" t="s">
        <v>2069</v>
      </c>
      <c r="G1011" s="54" t="s">
        <v>2070</v>
      </c>
      <c r="H1011" s="54">
        <f>STOCK[[#This Row],[Precio Final]]</f>
        <v>0</v>
      </c>
      <c r="I1011" s="54">
        <f>STOCK[[#This Row],[Precio Venta Ideal (x1.5)]]</f>
        <v>0</v>
      </c>
      <c r="J1011" s="71">
        <v>0</v>
      </c>
      <c r="K1011" s="72">
        <f>SUMIFS(VENTAS[Cantidad],VENTAS[Código del producto Vendido],STOCK[[#This Row],[Code]])</f>
        <v>0</v>
      </c>
      <c r="L1011" s="72">
        <f>STOCK[[#This Row],[Entradas]]-STOCK[[#This Row],[Salidas]]</f>
        <v>0</v>
      </c>
      <c r="M1011" s="54">
        <f>STOCK[[#This Row],[Precio Final]]*10%</f>
        <v>0</v>
      </c>
      <c r="N1011" s="54">
        <v>0</v>
      </c>
      <c r="O1011" s="54">
        <v>0</v>
      </c>
      <c r="P1011" s="54">
        <v>0</v>
      </c>
      <c r="Q1011" s="72">
        <v>0</v>
      </c>
      <c r="R1011" s="54">
        <v>0</v>
      </c>
      <c r="S1011" s="54">
        <v>0</v>
      </c>
      <c r="T1011" s="53">
        <f>STOCK[[#This Row],[Costo Unitario (USD)]]+STOCK[[#This Row],[Costo Envío (USD)]]+STOCK[[#This Row],[Comisión 10%]]</f>
        <v>0</v>
      </c>
      <c r="U1011" s="54">
        <f>STOCK[[#This Row],[Costo total]]*1.5</f>
        <v>0</v>
      </c>
      <c r="W1011" s="54">
        <f>STOCK[[#This Row],[Precio Final]]-STOCK[[#This Row],[Costo total]]</f>
        <v>0</v>
      </c>
      <c r="X1011" s="54">
        <f>STOCK[[#This Row],[Ganancia Unitaria]]*STOCK[[#This Row],[Salidas]]</f>
        <v>0</v>
      </c>
      <c r="Y1011" s="54" t="s">
        <v>1953</v>
      </c>
      <c r="AA1011" s="54">
        <f>STOCK[[#This Row],[Costo total]]*STOCK[[#This Row],[Entradas]]</f>
        <v>0</v>
      </c>
      <c r="AB1011" s="54">
        <f>STOCK[[#This Row],[Stock Actual]]*STOCK[[#This Row],[Costo total]]</f>
        <v>0</v>
      </c>
    </row>
    <row r="1012" s="53" customFormat="1" ht="50" customHeight="1" spans="1:28">
      <c r="A1012" s="53" t="s">
        <v>2077</v>
      </c>
      <c r="B1012" s="66"/>
      <c r="C1012" s="53" t="s">
        <v>32</v>
      </c>
      <c r="D1012" s="53" t="s">
        <v>1949</v>
      </c>
      <c r="E1012" s="67" t="s">
        <v>2078</v>
      </c>
      <c r="F1012" s="53" t="s">
        <v>2079</v>
      </c>
      <c r="G1012" s="53" t="s">
        <v>2070</v>
      </c>
      <c r="H1012" s="53">
        <f>STOCK[[#This Row],[Precio Final]]</f>
        <v>0</v>
      </c>
      <c r="I1012" s="53">
        <f>STOCK[[#This Row],[Precio Venta Ideal (x1.5)]]</f>
        <v>0</v>
      </c>
      <c r="J1012" s="71">
        <v>0</v>
      </c>
      <c r="K1012" s="71">
        <f>SUMIFS(VENTAS[Cantidad],VENTAS[Código del producto Vendido],STOCK[[#This Row],[Code]])</f>
        <v>0</v>
      </c>
      <c r="L1012" s="71">
        <f>STOCK[[#This Row],[Entradas]]-STOCK[[#This Row],[Salidas]]</f>
        <v>0</v>
      </c>
      <c r="M1012" s="53">
        <f>STOCK[[#This Row],[Precio Final]]*10%</f>
        <v>0</v>
      </c>
      <c r="N1012" s="53">
        <v>0</v>
      </c>
      <c r="O1012" s="53">
        <v>0</v>
      </c>
      <c r="P1012" s="53">
        <v>0</v>
      </c>
      <c r="Q1012" s="71">
        <v>0</v>
      </c>
      <c r="R1012" s="53">
        <v>0</v>
      </c>
      <c r="S1012" s="53">
        <v>0</v>
      </c>
      <c r="T1012" s="53">
        <f>STOCK[[#This Row],[Costo Unitario (USD)]]+STOCK[[#This Row],[Costo Envío (USD)]]+STOCK[[#This Row],[Comisión 10%]]</f>
        <v>0</v>
      </c>
      <c r="U1012" s="53">
        <f>STOCK[[#This Row],[Costo total]]*1.5</f>
        <v>0</v>
      </c>
      <c r="W1012" s="53">
        <f>STOCK[[#This Row],[Precio Final]]-STOCK[[#This Row],[Costo total]]</f>
        <v>0</v>
      </c>
      <c r="X1012" s="53">
        <f>STOCK[[#This Row],[Ganancia Unitaria]]*STOCK[[#This Row],[Salidas]]</f>
        <v>0</v>
      </c>
      <c r="Y1012" s="53" t="s">
        <v>1953</v>
      </c>
      <c r="AA1012" s="54">
        <f>STOCK[[#This Row],[Costo total]]*STOCK[[#This Row],[Entradas]]</f>
        <v>0</v>
      </c>
      <c r="AB1012" s="54">
        <f>STOCK[[#This Row],[Stock Actual]]*STOCK[[#This Row],[Costo total]]</f>
        <v>0</v>
      </c>
    </row>
    <row r="1013" s="54" customFormat="1" ht="50" customHeight="1" spans="1:28">
      <c r="A1013" s="54" t="s">
        <v>2080</v>
      </c>
      <c r="B1013" s="66"/>
      <c r="C1013" s="54" t="s">
        <v>32</v>
      </c>
      <c r="D1013" s="54" t="s">
        <v>152</v>
      </c>
      <c r="E1013" s="68" t="s">
        <v>2081</v>
      </c>
      <c r="F1013" s="54" t="s">
        <v>49</v>
      </c>
      <c r="G1013" s="54" t="s">
        <v>704</v>
      </c>
      <c r="H1013" s="54">
        <f>STOCK[[#This Row],[Precio Final]]</f>
        <v>30</v>
      </c>
      <c r="I1013" s="54">
        <f>STOCK[[#This Row],[Precio Venta Ideal (x1.5)]]</f>
        <v>27</v>
      </c>
      <c r="J1013" s="71">
        <v>0</v>
      </c>
      <c r="K1013" s="72">
        <f>SUMIFS(VENTAS[Cantidad],VENTAS[Código del producto Vendido],STOCK[[#This Row],[Code]])</f>
        <v>0</v>
      </c>
      <c r="L1013" s="72">
        <f>STOCK[[#This Row],[Entradas]]-STOCK[[#This Row],[Salidas]]</f>
        <v>0</v>
      </c>
      <c r="M1013" s="54">
        <f>STOCK[[#This Row],[Precio Final]]*10%</f>
        <v>3</v>
      </c>
      <c r="N1013" s="54">
        <v>0</v>
      </c>
      <c r="O1013" s="54">
        <v>0</v>
      </c>
      <c r="P1013" s="54">
        <v>15</v>
      </c>
      <c r="Q1013" s="72">
        <v>0</v>
      </c>
      <c r="R1013" s="54">
        <v>0</v>
      </c>
      <c r="S1013" s="54">
        <v>0</v>
      </c>
      <c r="T1013" s="53">
        <f>STOCK[[#This Row],[Costo Unitario (USD)]]+STOCK[[#This Row],[Costo Envío (USD)]]+STOCK[[#This Row],[Comisión 10%]]</f>
        <v>18</v>
      </c>
      <c r="U1013" s="54">
        <f>STOCK[[#This Row],[Costo total]]*1.5</f>
        <v>27</v>
      </c>
      <c r="V1013" s="54">
        <v>30</v>
      </c>
      <c r="W1013" s="54">
        <f>STOCK[[#This Row],[Precio Final]]-STOCK[[#This Row],[Costo total]]</f>
        <v>12</v>
      </c>
      <c r="X1013" s="54">
        <f>STOCK[[#This Row],[Ganancia Unitaria]]*STOCK[[#This Row],[Salidas]]</f>
        <v>0</v>
      </c>
      <c r="Y1013" s="54" t="s">
        <v>1953</v>
      </c>
      <c r="AA1013" s="54">
        <f>STOCK[[#This Row],[Costo total]]*STOCK[[#This Row],[Entradas]]</f>
        <v>0</v>
      </c>
      <c r="AB1013" s="54">
        <f>STOCK[[#This Row],[Stock Actual]]*STOCK[[#This Row],[Costo total]]</f>
        <v>0</v>
      </c>
    </row>
    <row r="1014" s="53" customFormat="1" ht="50" customHeight="1" spans="1:28">
      <c r="A1014" s="53" t="s">
        <v>2082</v>
      </c>
      <c r="B1014" s="66"/>
      <c r="C1014" s="53" t="s">
        <v>32</v>
      </c>
      <c r="D1014" s="53" t="s">
        <v>152</v>
      </c>
      <c r="E1014" s="67" t="s">
        <v>2083</v>
      </c>
      <c r="F1014" s="53" t="s">
        <v>40</v>
      </c>
      <c r="G1014" s="53" t="s">
        <v>36</v>
      </c>
      <c r="H1014" s="53">
        <f>STOCK[[#This Row],[Precio Final]]</f>
        <v>30</v>
      </c>
      <c r="I1014" s="53">
        <f>STOCK[[#This Row],[Precio Venta Ideal (x1.5)]]</f>
        <v>27</v>
      </c>
      <c r="J1014" s="71">
        <v>0</v>
      </c>
      <c r="K1014" s="71">
        <f>SUMIFS(VENTAS[Cantidad],VENTAS[Código del producto Vendido],STOCK[[#This Row],[Code]])</f>
        <v>0</v>
      </c>
      <c r="L1014" s="71">
        <f>STOCK[[#This Row],[Entradas]]-STOCK[[#This Row],[Salidas]]</f>
        <v>0</v>
      </c>
      <c r="M1014" s="53">
        <f>STOCK[[#This Row],[Precio Final]]*10%</f>
        <v>3</v>
      </c>
      <c r="N1014" s="53">
        <v>0</v>
      </c>
      <c r="O1014" s="53">
        <v>0</v>
      </c>
      <c r="P1014" s="53">
        <v>15</v>
      </c>
      <c r="Q1014" s="71">
        <v>0</v>
      </c>
      <c r="R1014" s="53">
        <v>0</v>
      </c>
      <c r="S1014" s="53">
        <v>0</v>
      </c>
      <c r="T1014" s="53">
        <f>STOCK[[#This Row],[Costo Unitario (USD)]]+STOCK[[#This Row],[Costo Envío (USD)]]+STOCK[[#This Row],[Comisión 10%]]</f>
        <v>18</v>
      </c>
      <c r="U1014" s="53">
        <f>STOCK[[#This Row],[Costo total]]*1.5</f>
        <v>27</v>
      </c>
      <c r="V1014" s="53">
        <v>30</v>
      </c>
      <c r="W1014" s="53">
        <f>STOCK[[#This Row],[Precio Final]]-STOCK[[#This Row],[Costo total]]</f>
        <v>12</v>
      </c>
      <c r="X1014" s="53">
        <f>STOCK[[#This Row],[Ganancia Unitaria]]*STOCK[[#This Row],[Salidas]]</f>
        <v>0</v>
      </c>
      <c r="Y1014" s="53" t="s">
        <v>1953</v>
      </c>
      <c r="AA1014" s="54">
        <f>STOCK[[#This Row],[Costo total]]*STOCK[[#This Row],[Entradas]]</f>
        <v>0</v>
      </c>
      <c r="AB1014" s="54">
        <f>STOCK[[#This Row],[Stock Actual]]*STOCK[[#This Row],[Costo total]]</f>
        <v>0</v>
      </c>
    </row>
    <row r="1015" s="54" customFormat="1" ht="50" customHeight="1" spans="1:28">
      <c r="A1015" s="54" t="s">
        <v>2084</v>
      </c>
      <c r="B1015" s="66"/>
      <c r="C1015" s="54" t="s">
        <v>32</v>
      </c>
      <c r="D1015" s="54" t="s">
        <v>152</v>
      </c>
      <c r="E1015" s="68" t="s">
        <v>2085</v>
      </c>
      <c r="F1015" s="54" t="s">
        <v>1986</v>
      </c>
      <c r="G1015" s="54" t="s">
        <v>1296</v>
      </c>
      <c r="H1015" s="54">
        <f>STOCK[[#This Row],[Precio Final]]</f>
        <v>15</v>
      </c>
      <c r="I1015" s="54">
        <f>STOCK[[#This Row],[Precio Venta Ideal (x1.5)]]</f>
        <v>17.25</v>
      </c>
      <c r="J1015" s="71">
        <v>0</v>
      </c>
      <c r="K1015" s="72">
        <f>SUMIFS(VENTAS[Cantidad],VENTAS[Código del producto Vendido],STOCK[[#This Row],[Code]])</f>
        <v>0</v>
      </c>
      <c r="L1015" s="72">
        <f>STOCK[[#This Row],[Entradas]]-STOCK[[#This Row],[Salidas]]</f>
        <v>0</v>
      </c>
      <c r="M1015" s="54">
        <f>STOCK[[#This Row],[Precio Final]]*10%</f>
        <v>1.5</v>
      </c>
      <c r="N1015" s="54">
        <v>0</v>
      </c>
      <c r="O1015" s="54">
        <v>0</v>
      </c>
      <c r="P1015" s="54">
        <v>10</v>
      </c>
      <c r="Q1015" s="72">
        <v>0</v>
      </c>
      <c r="R1015" s="54">
        <v>0</v>
      </c>
      <c r="S1015" s="54">
        <v>0</v>
      </c>
      <c r="T1015" s="53">
        <f>STOCK[[#This Row],[Costo Unitario (USD)]]+STOCK[[#This Row],[Costo Envío (USD)]]+STOCK[[#This Row],[Comisión 10%]]</f>
        <v>11.5</v>
      </c>
      <c r="U1015" s="54">
        <f>STOCK[[#This Row],[Costo total]]*1.5</f>
        <v>17.25</v>
      </c>
      <c r="V1015" s="54">
        <v>15</v>
      </c>
      <c r="W1015" s="54">
        <f>STOCK[[#This Row],[Precio Final]]-STOCK[[#This Row],[Costo total]]</f>
        <v>3.5</v>
      </c>
      <c r="X1015" s="54">
        <f>STOCK[[#This Row],[Ganancia Unitaria]]*STOCK[[#This Row],[Salidas]]</f>
        <v>0</v>
      </c>
      <c r="Y1015" s="54" t="s">
        <v>1953</v>
      </c>
      <c r="AA1015" s="54">
        <f>STOCK[[#This Row],[Costo total]]*STOCK[[#This Row],[Entradas]]</f>
        <v>0</v>
      </c>
      <c r="AB1015" s="54">
        <f>STOCK[[#This Row],[Stock Actual]]*STOCK[[#This Row],[Costo total]]</f>
        <v>0</v>
      </c>
    </row>
    <row r="1016" s="53" customFormat="1" ht="50" customHeight="1" spans="1:28">
      <c r="A1016" s="53" t="s">
        <v>2086</v>
      </c>
      <c r="B1016" s="66"/>
      <c r="C1016" s="53" t="s">
        <v>32</v>
      </c>
      <c r="D1016" s="53" t="s">
        <v>515</v>
      </c>
      <c r="E1016" s="67" t="s">
        <v>2087</v>
      </c>
      <c r="F1016" s="53" t="s">
        <v>766</v>
      </c>
      <c r="G1016" s="53" t="s">
        <v>1601</v>
      </c>
      <c r="H1016" s="53">
        <f>STOCK[[#This Row],[Precio Final]]</f>
        <v>40</v>
      </c>
      <c r="I1016" s="53">
        <f>STOCK[[#This Row],[Precio Venta Ideal (x1.5)]]</f>
        <v>39.63</v>
      </c>
      <c r="J1016" s="71">
        <v>1</v>
      </c>
      <c r="K1016" s="71">
        <f>SUMIFS(VENTAS[Cantidad],VENTAS[Código del producto Vendido],STOCK[[#This Row],[Code]])</f>
        <v>1</v>
      </c>
      <c r="L1016" s="71">
        <f>STOCK[[#This Row],[Entradas]]-STOCK[[#This Row],[Salidas]]</f>
        <v>0</v>
      </c>
      <c r="M1016" s="53">
        <f>STOCK[[#This Row],[Precio Final]]*10%</f>
        <v>4</v>
      </c>
      <c r="N1016" s="53">
        <v>0</v>
      </c>
      <c r="O1016" s="53">
        <v>0</v>
      </c>
      <c r="P1016" s="53">
        <v>20.92</v>
      </c>
      <c r="Q1016" s="71">
        <v>0</v>
      </c>
      <c r="R1016" s="53">
        <v>0</v>
      </c>
      <c r="S1016" s="53">
        <v>1.5</v>
      </c>
      <c r="T1016" s="53">
        <f>STOCK[[#This Row],[Costo Unitario (USD)]]+STOCK[[#This Row],[Costo Envío (USD)]]+STOCK[[#This Row],[Comisión 10%]]</f>
        <v>26.42</v>
      </c>
      <c r="U1016" s="53">
        <f>STOCK[[#This Row],[Costo total]]*1.5</f>
        <v>39.63</v>
      </c>
      <c r="V1016" s="53">
        <v>40</v>
      </c>
      <c r="W1016" s="53">
        <f>STOCK[[#This Row],[Precio Final]]-STOCK[[#This Row],[Costo total]]</f>
        <v>13.58</v>
      </c>
      <c r="X1016" s="53">
        <f>STOCK[[#This Row],[Ganancia Unitaria]]*STOCK[[#This Row],[Salidas]]</f>
        <v>13.58</v>
      </c>
      <c r="Y1016" s="53" t="s">
        <v>1602</v>
      </c>
      <c r="AA1016" s="54">
        <f>STOCK[[#This Row],[Costo total]]*STOCK[[#This Row],[Entradas]]</f>
        <v>26.42</v>
      </c>
      <c r="AB1016" s="54">
        <f>STOCK[[#This Row],[Stock Actual]]*STOCK[[#This Row],[Costo total]]</f>
        <v>0</v>
      </c>
    </row>
    <row r="1017" s="54" customFormat="1" ht="50" customHeight="1" spans="1:28">
      <c r="A1017" s="54" t="s">
        <v>2088</v>
      </c>
      <c r="B1017" s="66"/>
      <c r="C1017" s="54" t="s">
        <v>32</v>
      </c>
      <c r="D1017" s="54" t="s">
        <v>1867</v>
      </c>
      <c r="E1017" s="68" t="s">
        <v>1903</v>
      </c>
      <c r="F1017" s="54" t="s">
        <v>42</v>
      </c>
      <c r="G1017" s="54" t="s">
        <v>1876</v>
      </c>
      <c r="H1017" s="54">
        <f>STOCK[[#This Row],[Precio Final]]</f>
        <v>14</v>
      </c>
      <c r="I1017" s="54">
        <f>STOCK[[#This Row],[Precio Venta Ideal (x1.5)]]</f>
        <v>15.9</v>
      </c>
      <c r="J1017" s="72">
        <v>2</v>
      </c>
      <c r="K1017" s="72">
        <f>SUMIFS(VENTAS[Cantidad],VENTAS[Código del producto Vendido],STOCK[[#This Row],[Code]])</f>
        <v>2</v>
      </c>
      <c r="L1017" s="72">
        <f>STOCK[[#This Row],[Entradas]]-STOCK[[#This Row],[Salidas]]</f>
        <v>0</v>
      </c>
      <c r="M1017" s="54">
        <f>STOCK[[#This Row],[Precio Final]]*10%</f>
        <v>1.4</v>
      </c>
      <c r="N1017" s="54">
        <v>0</v>
      </c>
      <c r="O1017" s="54">
        <v>0</v>
      </c>
      <c r="P1017" s="54">
        <v>8.7</v>
      </c>
      <c r="Q1017" s="72">
        <v>0</v>
      </c>
      <c r="R1017" s="54">
        <v>0</v>
      </c>
      <c r="S1017" s="54">
        <v>0.5</v>
      </c>
      <c r="T1017" s="53">
        <f>STOCK[[#This Row],[Costo Unitario (USD)]]+STOCK[[#This Row],[Costo Envío (USD)]]+STOCK[[#This Row],[Comisión 10%]]</f>
        <v>10.6</v>
      </c>
      <c r="U1017" s="54">
        <f>STOCK[[#This Row],[Costo total]]*1.5</f>
        <v>15.9</v>
      </c>
      <c r="V1017" s="54">
        <v>14</v>
      </c>
      <c r="W1017" s="54">
        <f>STOCK[[#This Row],[Precio Final]]-STOCK[[#This Row],[Costo total]]</f>
        <v>3.4</v>
      </c>
      <c r="X1017" s="54">
        <f>STOCK[[#This Row],[Ganancia Unitaria]]*STOCK[[#This Row],[Salidas]]</f>
        <v>6.8</v>
      </c>
      <c r="Y1017" s="54" t="s">
        <v>1877</v>
      </c>
      <c r="AA1017" s="54">
        <f>STOCK[[#This Row],[Costo total]]*STOCK[[#This Row],[Entradas]]</f>
        <v>21.2</v>
      </c>
      <c r="AB1017" s="54">
        <f>STOCK[[#This Row],[Stock Actual]]*STOCK[[#This Row],[Costo total]]</f>
        <v>0</v>
      </c>
    </row>
    <row r="1018" s="53" customFormat="1" ht="50" customHeight="1" spans="1:28">
      <c r="A1018" s="53" t="s">
        <v>2089</v>
      </c>
      <c r="B1018" s="66"/>
      <c r="C1018" s="53" t="s">
        <v>32</v>
      </c>
      <c r="D1018" s="53" t="s">
        <v>2090</v>
      </c>
      <c r="E1018" s="67" t="s">
        <v>2091</v>
      </c>
      <c r="F1018" s="53" t="s">
        <v>2092</v>
      </c>
      <c r="G1018" s="53" t="s">
        <v>36</v>
      </c>
      <c r="H1018" s="53">
        <f>STOCK[[#This Row],[Precio Final]]</f>
        <v>8</v>
      </c>
      <c r="I1018" s="53">
        <f>STOCK[[#This Row],[Precio Venta Ideal (x1.5)]]</f>
        <v>4.2</v>
      </c>
      <c r="J1018" s="71">
        <v>0</v>
      </c>
      <c r="K1018" s="71">
        <f>SUMIFS(VENTAS[Cantidad],VENTAS[Código del producto Vendido],STOCK[[#This Row],[Code]])</f>
        <v>0</v>
      </c>
      <c r="L1018" s="71">
        <f>STOCK[[#This Row],[Entradas]]-STOCK[[#This Row],[Salidas]]</f>
        <v>0</v>
      </c>
      <c r="M1018" s="53">
        <f>STOCK[[#This Row],[Precio Final]]*10%</f>
        <v>0.8</v>
      </c>
      <c r="N1018" s="53">
        <v>0</v>
      </c>
      <c r="O1018" s="53">
        <v>0</v>
      </c>
      <c r="P1018" s="53">
        <v>1</v>
      </c>
      <c r="Q1018" s="71">
        <v>0</v>
      </c>
      <c r="R1018" s="53">
        <v>0</v>
      </c>
      <c r="S1018" s="53">
        <v>1</v>
      </c>
      <c r="T1018" s="53">
        <f>STOCK[[#This Row],[Costo Unitario (USD)]]+STOCK[[#This Row],[Costo Envío (USD)]]+STOCK[[#This Row],[Comisión 10%]]</f>
        <v>2.8</v>
      </c>
      <c r="U1018" s="53">
        <f>STOCK[[#This Row],[Costo total]]*1.5</f>
        <v>4.2</v>
      </c>
      <c r="V1018" s="53">
        <v>8</v>
      </c>
      <c r="W1018" s="53">
        <f>STOCK[[#This Row],[Precio Final]]-STOCK[[#This Row],[Costo total]]</f>
        <v>5.2</v>
      </c>
      <c r="X1018" s="53">
        <f>STOCK[[#This Row],[Ganancia Unitaria]]*STOCK[[#This Row],[Salidas]]</f>
        <v>0</v>
      </c>
      <c r="AA1018" s="54">
        <f>STOCK[[#This Row],[Costo total]]*STOCK[[#This Row],[Entradas]]</f>
        <v>0</v>
      </c>
      <c r="AB1018" s="54">
        <f>STOCK[[#This Row],[Stock Actual]]*STOCK[[#This Row],[Costo total]]</f>
        <v>0</v>
      </c>
    </row>
    <row r="1019" s="54" customFormat="1" ht="50" customHeight="1" spans="1:28">
      <c r="A1019" s="54" t="s">
        <v>2093</v>
      </c>
      <c r="B1019" s="66" t="s">
        <v>2094</v>
      </c>
      <c r="C1019" s="54" t="s">
        <v>32</v>
      </c>
      <c r="D1019" s="54" t="s">
        <v>174</v>
      </c>
      <c r="E1019" s="68" t="s">
        <v>2095</v>
      </c>
      <c r="F1019" s="54" t="s">
        <v>40</v>
      </c>
      <c r="G1019" s="54" t="s">
        <v>36</v>
      </c>
      <c r="H1019" s="54">
        <f>STOCK[[#This Row],[Precio Final]]</f>
        <v>22</v>
      </c>
      <c r="I1019" s="54">
        <f>STOCK[[#This Row],[Precio Venta Ideal (x1.5)]]</f>
        <v>10.8</v>
      </c>
      <c r="J1019" s="72">
        <v>0</v>
      </c>
      <c r="K1019" s="72">
        <f>SUMIFS(VENTAS[Cantidad],VENTAS[Código del producto Vendido],STOCK[[#This Row],[Code]])</f>
        <v>0</v>
      </c>
      <c r="L1019" s="72">
        <f>STOCK[[#This Row],[Entradas]]-STOCK[[#This Row],[Salidas]]</f>
        <v>0</v>
      </c>
      <c r="M1019" s="54">
        <f>STOCK[[#This Row],[Precio Final]]*10%</f>
        <v>2.2</v>
      </c>
      <c r="N1019" s="54">
        <v>0</v>
      </c>
      <c r="O1019" s="54">
        <v>0</v>
      </c>
      <c r="P1019" s="54">
        <v>5</v>
      </c>
      <c r="Q1019" s="72">
        <v>0</v>
      </c>
      <c r="R1019" s="54">
        <v>0</v>
      </c>
      <c r="S1019" s="54">
        <v>0</v>
      </c>
      <c r="T1019" s="53">
        <f>STOCK[[#This Row],[Costo Unitario (USD)]]+STOCK[[#This Row],[Costo Envío (USD)]]+STOCK[[#This Row],[Comisión 10%]]</f>
        <v>7.2</v>
      </c>
      <c r="U1019" s="54">
        <f>STOCK[[#This Row],[Costo total]]*1.5</f>
        <v>10.8</v>
      </c>
      <c r="V1019" s="54">
        <v>22</v>
      </c>
      <c r="W1019" s="54">
        <f>STOCK[[#This Row],[Precio Final]]-STOCK[[#This Row],[Costo total]]</f>
        <v>14.8</v>
      </c>
      <c r="X1019" s="54">
        <f>STOCK[[#This Row],[Ganancia Unitaria]]*STOCK[[#This Row],[Salidas]]</f>
        <v>0</v>
      </c>
      <c r="AA1019" s="54">
        <f>STOCK[[#This Row],[Costo total]]*STOCK[[#This Row],[Entradas]]</f>
        <v>0</v>
      </c>
      <c r="AB1019" s="54">
        <f>STOCK[[#This Row],[Stock Actual]]*STOCK[[#This Row],[Costo total]]</f>
        <v>0</v>
      </c>
    </row>
    <row r="1020" s="53" customFormat="1" ht="50" customHeight="1" spans="1:28">
      <c r="A1020" s="53" t="s">
        <v>2096</v>
      </c>
      <c r="B1020" s="66"/>
      <c r="C1020" s="53" t="s">
        <v>32</v>
      </c>
      <c r="D1020" s="53" t="s">
        <v>174</v>
      </c>
      <c r="E1020" s="67" t="s">
        <v>2097</v>
      </c>
      <c r="F1020" s="53" t="s">
        <v>62</v>
      </c>
      <c r="G1020" s="53" t="s">
        <v>36</v>
      </c>
      <c r="H1020" s="53">
        <f>STOCK[[#This Row],[Precio Final]]</f>
        <v>22</v>
      </c>
      <c r="I1020" s="53">
        <f>STOCK[[#This Row],[Precio Venta Ideal (x1.5)]]</f>
        <v>19.8</v>
      </c>
      <c r="J1020" s="71">
        <v>1</v>
      </c>
      <c r="K1020" s="71">
        <f>SUMIFS(VENTAS[Cantidad],VENTAS[Código del producto Vendido],STOCK[[#This Row],[Code]])</f>
        <v>0</v>
      </c>
      <c r="L1020" s="71">
        <f>STOCK[[#This Row],[Entradas]]-STOCK[[#This Row],[Salidas]]</f>
        <v>1</v>
      </c>
      <c r="M1020" s="53">
        <f>STOCK[[#This Row],[Precio Final]]*10%</f>
        <v>2.2</v>
      </c>
      <c r="N1020" s="53">
        <v>0</v>
      </c>
      <c r="O1020" s="53">
        <v>0</v>
      </c>
      <c r="P1020" s="53">
        <v>10</v>
      </c>
      <c r="Q1020" s="71">
        <v>0</v>
      </c>
      <c r="R1020" s="53">
        <v>0</v>
      </c>
      <c r="S1020" s="53">
        <v>1</v>
      </c>
      <c r="T1020" s="53">
        <f>STOCK[[#This Row],[Costo Unitario (USD)]]+STOCK[[#This Row],[Costo Envío (USD)]]+STOCK[[#This Row],[Comisión 10%]]</f>
        <v>13.2</v>
      </c>
      <c r="U1020" s="53">
        <f>STOCK[[#This Row],[Costo total]]*1.5</f>
        <v>19.8</v>
      </c>
      <c r="V1020" s="53">
        <v>22</v>
      </c>
      <c r="W1020" s="53">
        <f>STOCK[[#This Row],[Precio Final]]-STOCK[[#This Row],[Costo total]]</f>
        <v>8.8</v>
      </c>
      <c r="X1020" s="53">
        <f>STOCK[[#This Row],[Ganancia Unitaria]]*STOCK[[#This Row],[Salidas]]</f>
        <v>0</v>
      </c>
      <c r="AA1020" s="54">
        <f>STOCK[[#This Row],[Costo total]]*STOCK[[#This Row],[Entradas]]</f>
        <v>13.2</v>
      </c>
      <c r="AB1020" s="54">
        <f>STOCK[[#This Row],[Stock Actual]]*STOCK[[#This Row],[Costo total]]</f>
        <v>13.2</v>
      </c>
    </row>
    <row r="1021" s="54" customFormat="1" ht="50" customHeight="1" spans="1:28">
      <c r="A1021" s="54" t="s">
        <v>2098</v>
      </c>
      <c r="B1021" s="66"/>
      <c r="C1021" s="54" t="s">
        <v>32</v>
      </c>
      <c r="D1021" s="54" t="s">
        <v>174</v>
      </c>
      <c r="E1021" s="67" t="s">
        <v>2097</v>
      </c>
      <c r="F1021" s="54" t="s">
        <v>49</v>
      </c>
      <c r="G1021" s="54" t="s">
        <v>36</v>
      </c>
      <c r="H1021" s="54">
        <f>STOCK[[#This Row],[Precio Final]]</f>
        <v>22</v>
      </c>
      <c r="I1021" s="54">
        <f>STOCK[[#This Row],[Precio Venta Ideal (x1.5)]]</f>
        <v>18.3</v>
      </c>
      <c r="J1021" s="72">
        <v>1</v>
      </c>
      <c r="K1021" s="72">
        <f>SUMIFS(VENTAS[Cantidad],VENTAS[Código del producto Vendido],STOCK[[#This Row],[Code]])</f>
        <v>0</v>
      </c>
      <c r="L1021" s="72">
        <f>STOCK[[#This Row],[Entradas]]-STOCK[[#This Row],[Salidas]]</f>
        <v>1</v>
      </c>
      <c r="M1021" s="54">
        <f>STOCK[[#This Row],[Precio Final]]*10%</f>
        <v>2.2</v>
      </c>
      <c r="N1021" s="54">
        <v>0</v>
      </c>
      <c r="O1021" s="54">
        <v>0</v>
      </c>
      <c r="P1021" s="54">
        <v>10</v>
      </c>
      <c r="Q1021" s="72">
        <v>0</v>
      </c>
      <c r="R1021" s="54">
        <v>0</v>
      </c>
      <c r="S1021" s="54">
        <v>0</v>
      </c>
      <c r="T1021" s="53">
        <f>STOCK[[#This Row],[Costo Unitario (USD)]]+STOCK[[#This Row],[Costo Envío (USD)]]+STOCK[[#This Row],[Comisión 10%]]</f>
        <v>12.2</v>
      </c>
      <c r="U1021" s="54">
        <f>STOCK[[#This Row],[Costo total]]*1.5</f>
        <v>18.3</v>
      </c>
      <c r="V1021" s="54">
        <v>22</v>
      </c>
      <c r="W1021" s="54">
        <f>STOCK[[#This Row],[Precio Final]]-STOCK[[#This Row],[Costo total]]</f>
        <v>9.8</v>
      </c>
      <c r="X1021" s="54">
        <f>STOCK[[#This Row],[Ganancia Unitaria]]*STOCK[[#This Row],[Salidas]]</f>
        <v>0</v>
      </c>
      <c r="AA1021" s="54">
        <f>STOCK[[#This Row],[Costo total]]*STOCK[[#This Row],[Entradas]]</f>
        <v>12.2</v>
      </c>
      <c r="AB1021" s="54">
        <f>STOCK[[#This Row],[Stock Actual]]*STOCK[[#This Row],[Costo total]]</f>
        <v>12.2</v>
      </c>
    </row>
    <row r="1022" s="53" customFormat="1" ht="50" customHeight="1" spans="1:28">
      <c r="A1022" s="53" t="s">
        <v>2099</v>
      </c>
      <c r="B1022" s="66"/>
      <c r="C1022" s="53" t="s">
        <v>32</v>
      </c>
      <c r="D1022" s="53" t="s">
        <v>44</v>
      </c>
      <c r="E1022" s="67" t="s">
        <v>1709</v>
      </c>
      <c r="F1022" s="53" t="s">
        <v>1734</v>
      </c>
      <c r="G1022" s="53" t="s">
        <v>36</v>
      </c>
      <c r="H1022" s="53">
        <f>STOCK[[#This Row],[Precio Final]]</f>
        <v>27</v>
      </c>
      <c r="I1022" s="53">
        <f>STOCK[[#This Row],[Precio Venta Ideal (x1.5)]]</f>
        <v>31.2</v>
      </c>
      <c r="J1022" s="71">
        <v>1</v>
      </c>
      <c r="K1022" s="71">
        <f>SUMIFS(VENTAS[Cantidad],VENTAS[Código del producto Vendido],STOCK[[#This Row],[Code]])</f>
        <v>1</v>
      </c>
      <c r="L1022" s="71">
        <f>STOCK[[#This Row],[Entradas]]-STOCK[[#This Row],[Salidas]]</f>
        <v>0</v>
      </c>
      <c r="M1022" s="53">
        <f>STOCK[[#This Row],[Precio Final]]*10%</f>
        <v>2.7</v>
      </c>
      <c r="N1022" s="53">
        <v>0</v>
      </c>
      <c r="O1022" s="53">
        <v>0</v>
      </c>
      <c r="P1022" s="53">
        <v>16.6</v>
      </c>
      <c r="Q1022" s="71">
        <v>0</v>
      </c>
      <c r="R1022" s="53">
        <v>0</v>
      </c>
      <c r="S1022" s="53">
        <v>1.5</v>
      </c>
      <c r="T1022" s="53">
        <f>STOCK[[#This Row],[Costo Unitario (USD)]]+STOCK[[#This Row],[Costo Envío (USD)]]+STOCK[[#This Row],[Comisión 10%]]</f>
        <v>20.8</v>
      </c>
      <c r="U1022" s="53">
        <f>STOCK[[#This Row],[Costo total]]*1.5</f>
        <v>31.2</v>
      </c>
      <c r="V1022" s="53">
        <v>27</v>
      </c>
      <c r="W1022" s="53">
        <f>STOCK[[#This Row],[Precio Final]]-STOCK[[#This Row],[Costo total]]</f>
        <v>6.2</v>
      </c>
      <c r="X1022" s="53">
        <f>STOCK[[#This Row],[Ganancia Unitaria]]*STOCK[[#This Row],[Salidas]]</f>
        <v>6.2</v>
      </c>
      <c r="AA1022" s="54">
        <f>STOCK[[#This Row],[Costo total]]*STOCK[[#This Row],[Entradas]]</f>
        <v>20.8</v>
      </c>
      <c r="AB1022" s="54">
        <f>STOCK[[#This Row],[Stock Actual]]*STOCK[[#This Row],[Costo total]]</f>
        <v>0</v>
      </c>
    </row>
    <row r="1023" s="54" customFormat="1" ht="50" customHeight="1" spans="1:28">
      <c r="A1023" s="54" t="s">
        <v>2100</v>
      </c>
      <c r="B1023" s="66" t="s">
        <v>2094</v>
      </c>
      <c r="C1023" s="54" t="s">
        <v>32</v>
      </c>
      <c r="D1023" s="54" t="s">
        <v>44</v>
      </c>
      <c r="E1023" s="68" t="s">
        <v>2101</v>
      </c>
      <c r="F1023" s="54" t="s">
        <v>42</v>
      </c>
      <c r="H1023" s="54">
        <f>STOCK[[#This Row],[Precio Final]]</f>
        <v>20</v>
      </c>
      <c r="I1023" s="54">
        <f>STOCK[[#This Row],[Precio Venta Ideal (x1.5)]]</f>
        <v>4.5</v>
      </c>
      <c r="J1023" s="72">
        <v>0</v>
      </c>
      <c r="K1023" s="72">
        <f>SUMIFS(VENTAS[Cantidad],VENTAS[Código del producto Vendido],STOCK[[#This Row],[Code]])</f>
        <v>0</v>
      </c>
      <c r="L1023" s="72">
        <f>STOCK[[#This Row],[Entradas]]-STOCK[[#This Row],[Salidas]]</f>
        <v>0</v>
      </c>
      <c r="M1023" s="54">
        <f>STOCK[[#This Row],[Precio Final]]*10%</f>
        <v>2</v>
      </c>
      <c r="N1023" s="54">
        <v>0</v>
      </c>
      <c r="O1023" s="54">
        <v>0</v>
      </c>
      <c r="P1023" s="54">
        <v>1</v>
      </c>
      <c r="Q1023" s="72">
        <v>0</v>
      </c>
      <c r="R1023" s="54">
        <v>0</v>
      </c>
      <c r="S1023" s="54">
        <v>0</v>
      </c>
      <c r="T1023" s="53">
        <f>STOCK[[#This Row],[Costo Unitario (USD)]]+STOCK[[#This Row],[Costo Envío (USD)]]+STOCK[[#This Row],[Comisión 10%]]</f>
        <v>3</v>
      </c>
      <c r="U1023" s="54">
        <f>STOCK[[#This Row],[Costo total]]*1.5</f>
        <v>4.5</v>
      </c>
      <c r="V1023" s="54">
        <v>20</v>
      </c>
      <c r="W1023" s="54">
        <f>STOCK[[#This Row],[Precio Final]]-STOCK[[#This Row],[Costo total]]</f>
        <v>17</v>
      </c>
      <c r="X1023" s="54">
        <f>STOCK[[#This Row],[Ganancia Unitaria]]*STOCK[[#This Row],[Salidas]]</f>
        <v>0</v>
      </c>
      <c r="AA1023" s="54">
        <f>STOCK[[#This Row],[Costo total]]*STOCK[[#This Row],[Entradas]]</f>
        <v>0</v>
      </c>
      <c r="AB1023" s="54">
        <f>STOCK[[#This Row],[Stock Actual]]*STOCK[[#This Row],[Costo total]]</f>
        <v>0</v>
      </c>
    </row>
    <row r="1024" s="53" customFormat="1" ht="50" customHeight="1" spans="1:29">
      <c r="A1024" s="54" t="s">
        <v>2102</v>
      </c>
      <c r="B1024" s="66"/>
      <c r="C1024" s="53" t="s">
        <v>32</v>
      </c>
      <c r="D1024" s="53" t="s">
        <v>216</v>
      </c>
      <c r="E1024" s="67" t="s">
        <v>2103</v>
      </c>
      <c r="F1024" s="53" t="s">
        <v>42</v>
      </c>
      <c r="H1024" s="53">
        <f>STOCK[[#This Row],[Precio Final]]</f>
        <v>15</v>
      </c>
      <c r="I1024" s="53">
        <f>STOCK[[#This Row],[Precio Venta Ideal (x1.5)]]</f>
        <v>5.25</v>
      </c>
      <c r="J1024" s="71">
        <v>1</v>
      </c>
      <c r="K1024" s="71">
        <f>SUMIFS(VENTAS[Cantidad],VENTAS[Código del producto Vendido],STOCK[[#This Row],[Code]])</f>
        <v>0</v>
      </c>
      <c r="L1024" s="71">
        <f>STOCK[[#This Row],[Entradas]]-STOCK[[#This Row],[Salidas]]</f>
        <v>1</v>
      </c>
      <c r="M1024" s="53">
        <f>STOCK[[#This Row],[Precio Final]]*10%</f>
        <v>1.5</v>
      </c>
      <c r="N1024" s="53">
        <v>0</v>
      </c>
      <c r="O1024" s="53">
        <v>0</v>
      </c>
      <c r="P1024" s="53">
        <v>2</v>
      </c>
      <c r="Q1024" s="71">
        <v>0</v>
      </c>
      <c r="R1024" s="53">
        <v>0</v>
      </c>
      <c r="S1024" s="53">
        <v>0</v>
      </c>
      <c r="T1024" s="53">
        <f>STOCK[[#This Row],[Costo Unitario (USD)]]+STOCK[[#This Row],[Costo Envío (USD)]]+STOCK[[#This Row],[Comisión 10%]]</f>
        <v>3.5</v>
      </c>
      <c r="U1024" s="53">
        <f>STOCK[[#This Row],[Costo total]]*1.5</f>
        <v>5.25</v>
      </c>
      <c r="V1024" s="53">
        <v>15</v>
      </c>
      <c r="W1024" s="53">
        <f>STOCK[[#This Row],[Precio Final]]-STOCK[[#This Row],[Costo total]]</f>
        <v>11.5</v>
      </c>
      <c r="X1024" s="53">
        <f>STOCK[[#This Row],[Ganancia Unitaria]]*STOCK[[#This Row],[Salidas]]</f>
        <v>0</v>
      </c>
      <c r="AA1024" s="54">
        <f>STOCK[[#This Row],[Costo total]]*STOCK[[#This Row],[Entradas]]</f>
        <v>3.5</v>
      </c>
      <c r="AB1024" s="54">
        <f>STOCK[[#This Row],[Stock Actual]]*STOCK[[#This Row],[Costo total]]</f>
        <v>3.5</v>
      </c>
      <c r="AC1024" s="53">
        <v>12</v>
      </c>
    </row>
    <row r="1025" s="54" customFormat="1" ht="50" customHeight="1" spans="1:28">
      <c r="A1025" s="54" t="s">
        <v>2104</v>
      </c>
      <c r="B1025" s="66"/>
      <c r="C1025" s="54" t="s">
        <v>32</v>
      </c>
      <c r="D1025" s="54" t="s">
        <v>515</v>
      </c>
      <c r="E1025" s="68" t="s">
        <v>1437</v>
      </c>
      <c r="F1025" s="54" t="s">
        <v>1578</v>
      </c>
      <c r="G1025" s="54" t="s">
        <v>1296</v>
      </c>
      <c r="H1025" s="54">
        <f>STOCK[[#This Row],[Precio Final]]</f>
        <v>30</v>
      </c>
      <c r="I1025" s="54">
        <f>STOCK[[#This Row],[Precio Venta Ideal (x1.5)]]</f>
        <v>30</v>
      </c>
      <c r="J1025" s="72">
        <v>1</v>
      </c>
      <c r="K1025" s="72">
        <f>SUMIFS(VENTAS[Cantidad],VENTAS[Código del producto Vendido],STOCK[[#This Row],[Code]])</f>
        <v>1</v>
      </c>
      <c r="L1025" s="72">
        <f>STOCK[[#This Row],[Entradas]]-STOCK[[#This Row],[Salidas]]</f>
        <v>0</v>
      </c>
      <c r="M1025" s="54">
        <f>STOCK[[#This Row],[Precio Final]]*10%</f>
        <v>3</v>
      </c>
      <c r="N1025" s="54">
        <v>0</v>
      </c>
      <c r="O1025" s="54">
        <v>17</v>
      </c>
      <c r="P1025" s="54">
        <v>7</v>
      </c>
      <c r="Q1025" s="72">
        <v>0</v>
      </c>
      <c r="R1025" s="54">
        <v>0</v>
      </c>
      <c r="S1025" s="54">
        <v>10</v>
      </c>
      <c r="T1025" s="53">
        <f>STOCK[[#This Row],[Costo Unitario (USD)]]+STOCK[[#This Row],[Costo Envío (USD)]]+STOCK[[#This Row],[Comisión 10%]]</f>
        <v>20</v>
      </c>
      <c r="U1025" s="54">
        <f>STOCK[[#This Row],[Costo total]]*1.5</f>
        <v>30</v>
      </c>
      <c r="V1025" s="54">
        <v>30</v>
      </c>
      <c r="W1025" s="54">
        <f>STOCK[[#This Row],[Precio Final]]-STOCK[[#This Row],[Costo total]]</f>
        <v>10</v>
      </c>
      <c r="X1025" s="54">
        <f>STOCK[[#This Row],[Ganancia Unitaria]]*STOCK[[#This Row],[Salidas]]</f>
        <v>10</v>
      </c>
      <c r="Y1025" s="54" t="s">
        <v>1431</v>
      </c>
      <c r="AA1025" s="54">
        <f>STOCK[[#This Row],[Costo total]]*STOCK[[#This Row],[Entradas]]</f>
        <v>20</v>
      </c>
      <c r="AB1025" s="54">
        <f>STOCK[[#This Row],[Stock Actual]]*STOCK[[#This Row],[Costo total]]</f>
        <v>0</v>
      </c>
    </row>
    <row r="1026" s="53" customFormat="1" ht="50" customHeight="1" spans="1:28">
      <c r="A1026" s="53" t="s">
        <v>2105</v>
      </c>
      <c r="B1026" s="66"/>
      <c r="C1026" s="53" t="s">
        <v>32</v>
      </c>
      <c r="D1026" s="53" t="s">
        <v>515</v>
      </c>
      <c r="E1026" s="67" t="s">
        <v>1588</v>
      </c>
      <c r="F1026" s="53" t="s">
        <v>517</v>
      </c>
      <c r="G1026" s="53" t="s">
        <v>1296</v>
      </c>
      <c r="H1026" s="53">
        <f>STOCK[[#This Row],[Precio Final]]</f>
        <v>15</v>
      </c>
      <c r="I1026" s="53">
        <f>STOCK[[#This Row],[Precio Venta Ideal (x1.5)]]</f>
        <v>16.485</v>
      </c>
      <c r="J1026" s="71">
        <v>1</v>
      </c>
      <c r="K1026" s="71">
        <f>SUMIFS(VENTAS[Cantidad],VENTAS[Código del producto Vendido],STOCK[[#This Row],[Code]])</f>
        <v>0</v>
      </c>
      <c r="L1026" s="71">
        <f>STOCK[[#This Row],[Entradas]]-STOCK[[#This Row],[Salidas]]</f>
        <v>1</v>
      </c>
      <c r="M1026" s="53">
        <f>STOCK[[#This Row],[Precio Final]]*10%</f>
        <v>1.5</v>
      </c>
      <c r="N1026" s="53">
        <v>0</v>
      </c>
      <c r="O1026" s="53">
        <v>0</v>
      </c>
      <c r="P1026" s="53">
        <v>6.49</v>
      </c>
      <c r="Q1026" s="71">
        <v>0</v>
      </c>
      <c r="R1026" s="53">
        <v>0</v>
      </c>
      <c r="S1026" s="53">
        <v>3</v>
      </c>
      <c r="T1026" s="53">
        <f>STOCK[[#This Row],[Costo Unitario (USD)]]+STOCK[[#This Row],[Costo Envío (USD)]]+STOCK[[#This Row],[Comisión 10%]]</f>
        <v>10.99</v>
      </c>
      <c r="U1026" s="53">
        <f>STOCK[[#This Row],[Costo total]]*1.5</f>
        <v>16.485</v>
      </c>
      <c r="V1026" s="53">
        <v>15</v>
      </c>
      <c r="W1026" s="53">
        <f>STOCK[[#This Row],[Precio Final]]-STOCK[[#This Row],[Costo total]]</f>
        <v>4.01</v>
      </c>
      <c r="X1026" s="53">
        <f>STOCK[[#This Row],[Ganancia Unitaria]]*STOCK[[#This Row],[Salidas]]</f>
        <v>0</v>
      </c>
      <c r="AA1026" s="54">
        <f>STOCK[[#This Row],[Costo total]]*STOCK[[#This Row],[Entradas]]</f>
        <v>10.99</v>
      </c>
      <c r="AB1026" s="54">
        <f>STOCK[[#This Row],[Stock Actual]]*STOCK[[#This Row],[Costo total]]</f>
        <v>10.99</v>
      </c>
    </row>
    <row r="1027" s="54" customFormat="1" ht="50" customHeight="1" spans="1:28">
      <c r="A1027" s="54" t="s">
        <v>2106</v>
      </c>
      <c r="B1027" s="66"/>
      <c r="C1027" s="54" t="s">
        <v>32</v>
      </c>
      <c r="D1027" s="54" t="s">
        <v>1881</v>
      </c>
      <c r="E1027" s="68" t="s">
        <v>2107</v>
      </c>
      <c r="F1027" s="54" t="s">
        <v>2108</v>
      </c>
      <c r="G1027" s="54" t="s">
        <v>1876</v>
      </c>
      <c r="H1027" s="54">
        <f>STOCK[[#This Row],[Precio Final]]</f>
        <v>18</v>
      </c>
      <c r="I1027" s="54">
        <f>STOCK[[#This Row],[Precio Venta Ideal (x1.5)]]</f>
        <v>14.085</v>
      </c>
      <c r="J1027" s="72">
        <v>3</v>
      </c>
      <c r="K1027" s="72">
        <f>SUMIFS(VENTAS[Cantidad],VENTAS[Código del producto Vendido],STOCK[[#This Row],[Code]])</f>
        <v>3</v>
      </c>
      <c r="L1027" s="72">
        <f>STOCK[[#This Row],[Entradas]]-STOCK[[#This Row],[Salidas]]</f>
        <v>0</v>
      </c>
      <c r="M1027" s="54">
        <f>STOCK[[#This Row],[Precio Final]]*10%</f>
        <v>1.8</v>
      </c>
      <c r="N1027" s="54">
        <v>0</v>
      </c>
      <c r="O1027" s="54">
        <v>0</v>
      </c>
      <c r="P1027" s="54">
        <v>6.99</v>
      </c>
      <c r="Q1027" s="72">
        <v>0</v>
      </c>
      <c r="R1027" s="54">
        <v>0</v>
      </c>
      <c r="S1027" s="54">
        <v>0.6</v>
      </c>
      <c r="T1027" s="53">
        <f>STOCK[[#This Row],[Costo Unitario (USD)]]+STOCK[[#This Row],[Costo Envío (USD)]]+STOCK[[#This Row],[Comisión 10%]]</f>
        <v>9.39</v>
      </c>
      <c r="U1027" s="54">
        <f>STOCK[[#This Row],[Costo total]]*1.5</f>
        <v>14.085</v>
      </c>
      <c r="V1027" s="54">
        <v>18</v>
      </c>
      <c r="W1027" s="54">
        <f>STOCK[[#This Row],[Precio Final]]-STOCK[[#This Row],[Costo total]]</f>
        <v>8.61</v>
      </c>
      <c r="X1027" s="54">
        <f>STOCK[[#This Row],[Ganancia Unitaria]]*STOCK[[#This Row],[Salidas]]</f>
        <v>25.83</v>
      </c>
      <c r="Y1027" s="54" t="s">
        <v>2109</v>
      </c>
      <c r="AA1027" s="54">
        <f>STOCK[[#This Row],[Costo total]]*STOCK[[#This Row],[Entradas]]</f>
        <v>28.17</v>
      </c>
      <c r="AB1027" s="54">
        <f>STOCK[[#This Row],[Stock Actual]]*STOCK[[#This Row],[Costo total]]</f>
        <v>0</v>
      </c>
    </row>
    <row r="1028" s="53" customFormat="1" ht="50" customHeight="1" spans="1:28">
      <c r="A1028" s="53" t="s">
        <v>2110</v>
      </c>
      <c r="B1028" s="66"/>
      <c r="C1028" s="53" t="s">
        <v>32</v>
      </c>
      <c r="D1028" s="53" t="s">
        <v>2111</v>
      </c>
      <c r="E1028" s="67" t="s">
        <v>2112</v>
      </c>
      <c r="F1028" s="53" t="s">
        <v>2108</v>
      </c>
      <c r="G1028" s="53" t="s">
        <v>1876</v>
      </c>
      <c r="H1028" s="53">
        <f>STOCK[[#This Row],[Precio Final]]</f>
        <v>12</v>
      </c>
      <c r="I1028" s="53">
        <f>STOCK[[#This Row],[Precio Venta Ideal (x1.5)]]</f>
        <v>10.17</v>
      </c>
      <c r="J1028" s="71">
        <v>2</v>
      </c>
      <c r="K1028" s="71">
        <f>SUMIFS(VENTAS[Cantidad],VENTAS[Código del producto Vendido],STOCK[[#This Row],[Code]])</f>
        <v>2</v>
      </c>
      <c r="L1028" s="71">
        <f>STOCK[[#This Row],[Entradas]]-STOCK[[#This Row],[Salidas]]</f>
        <v>0</v>
      </c>
      <c r="M1028" s="53">
        <f>STOCK[[#This Row],[Precio Final]]*10%</f>
        <v>1.2</v>
      </c>
      <c r="N1028" s="53">
        <v>0</v>
      </c>
      <c r="O1028" s="53">
        <v>0</v>
      </c>
      <c r="P1028" s="53">
        <v>4.98</v>
      </c>
      <c r="Q1028" s="71">
        <v>0</v>
      </c>
      <c r="R1028" s="53">
        <v>0</v>
      </c>
      <c r="S1028" s="53">
        <v>0.6</v>
      </c>
      <c r="T1028" s="53">
        <f>STOCK[[#This Row],[Costo Unitario (USD)]]+STOCK[[#This Row],[Costo Envío (USD)]]+STOCK[[#This Row],[Comisión 10%]]</f>
        <v>6.78</v>
      </c>
      <c r="U1028" s="53">
        <f>STOCK[[#This Row],[Costo total]]*1.5</f>
        <v>10.17</v>
      </c>
      <c r="V1028" s="53">
        <v>12</v>
      </c>
      <c r="W1028" s="53">
        <f>STOCK[[#This Row],[Precio Final]]-STOCK[[#This Row],[Costo total]]</f>
        <v>5.22</v>
      </c>
      <c r="X1028" s="53">
        <f>STOCK[[#This Row],[Ganancia Unitaria]]*STOCK[[#This Row],[Salidas]]</f>
        <v>10.44</v>
      </c>
      <c r="Y1028" s="53" t="s">
        <v>2113</v>
      </c>
      <c r="AA1028" s="54">
        <f>STOCK[[#This Row],[Costo total]]*STOCK[[#This Row],[Entradas]]</f>
        <v>13.56</v>
      </c>
      <c r="AB1028" s="54">
        <f>STOCK[[#This Row],[Stock Actual]]*STOCK[[#This Row],[Costo total]]</f>
        <v>0</v>
      </c>
    </row>
    <row r="1029" s="54" customFormat="1" ht="50" customHeight="1" spans="1:28">
      <c r="A1029" s="54" t="s">
        <v>2114</v>
      </c>
      <c r="B1029" s="66"/>
      <c r="C1029" s="54" t="s">
        <v>32</v>
      </c>
      <c r="D1029" s="54" t="s">
        <v>2111</v>
      </c>
      <c r="E1029" s="68" t="s">
        <v>2115</v>
      </c>
      <c r="F1029" s="54" t="s">
        <v>1534</v>
      </c>
      <c r="G1029" s="54" t="s">
        <v>1876</v>
      </c>
      <c r="H1029" s="54">
        <f>STOCK[[#This Row],[Precio Final]]</f>
        <v>12</v>
      </c>
      <c r="I1029" s="54">
        <f>STOCK[[#This Row],[Precio Venta Ideal (x1.5)]]</f>
        <v>7.455</v>
      </c>
      <c r="J1029" s="72">
        <v>2</v>
      </c>
      <c r="K1029" s="72">
        <f>SUMIFS(VENTAS[Cantidad],VENTAS[Código del producto Vendido],STOCK[[#This Row],[Code]])</f>
        <v>2</v>
      </c>
      <c r="L1029" s="72">
        <f>STOCK[[#This Row],[Entradas]]-STOCK[[#This Row],[Salidas]]</f>
        <v>0</v>
      </c>
      <c r="M1029" s="54">
        <f>STOCK[[#This Row],[Precio Final]]*10%</f>
        <v>1.2</v>
      </c>
      <c r="N1029" s="54">
        <v>0</v>
      </c>
      <c r="O1029" s="54">
        <v>0</v>
      </c>
      <c r="P1029" s="54">
        <v>3.17</v>
      </c>
      <c r="Q1029" s="72">
        <v>0</v>
      </c>
      <c r="R1029" s="54">
        <v>0</v>
      </c>
      <c r="S1029" s="54">
        <v>0.6</v>
      </c>
      <c r="T1029" s="53">
        <f>STOCK[[#This Row],[Costo Unitario (USD)]]+STOCK[[#This Row],[Costo Envío (USD)]]+STOCK[[#This Row],[Comisión 10%]]</f>
        <v>4.97</v>
      </c>
      <c r="U1029" s="54">
        <f>STOCK[[#This Row],[Costo total]]*1.5</f>
        <v>7.455</v>
      </c>
      <c r="V1029" s="54">
        <v>12</v>
      </c>
      <c r="W1029" s="54">
        <f>STOCK[[#This Row],[Precio Final]]-STOCK[[#This Row],[Costo total]]</f>
        <v>7.03</v>
      </c>
      <c r="X1029" s="54">
        <f>STOCK[[#This Row],[Ganancia Unitaria]]*STOCK[[#This Row],[Salidas]]</f>
        <v>14.06</v>
      </c>
      <c r="Y1029" s="54" t="s">
        <v>2116</v>
      </c>
      <c r="AA1029" s="54">
        <f>STOCK[[#This Row],[Costo total]]*STOCK[[#This Row],[Entradas]]</f>
        <v>9.94</v>
      </c>
      <c r="AB1029" s="54">
        <f>STOCK[[#This Row],[Stock Actual]]*STOCK[[#This Row],[Costo total]]</f>
        <v>0</v>
      </c>
    </row>
    <row r="1030" s="53" customFormat="1" ht="50" customHeight="1" spans="1:28">
      <c r="A1030" s="53" t="s">
        <v>2117</v>
      </c>
      <c r="B1030" s="66"/>
      <c r="C1030" s="53" t="s">
        <v>32</v>
      </c>
      <c r="D1030" s="53" t="s">
        <v>2118</v>
      </c>
      <c r="E1030" s="67" t="s">
        <v>2119</v>
      </c>
      <c r="F1030" s="53" t="s">
        <v>62</v>
      </c>
      <c r="G1030" s="53" t="s">
        <v>1876</v>
      </c>
      <c r="H1030" s="53">
        <f>STOCK[[#This Row],[Precio Final]]</f>
        <v>25</v>
      </c>
      <c r="I1030" s="53">
        <f>STOCK[[#This Row],[Precio Venta Ideal (x1.5)]]</f>
        <v>16.995</v>
      </c>
      <c r="J1030" s="71">
        <v>1</v>
      </c>
      <c r="K1030" s="71">
        <f>SUMIFS(VENTAS[Cantidad],VENTAS[Código del producto Vendido],STOCK[[#This Row],[Code]])</f>
        <v>1</v>
      </c>
      <c r="L1030" s="71">
        <f>STOCK[[#This Row],[Entradas]]-STOCK[[#This Row],[Salidas]]</f>
        <v>0</v>
      </c>
      <c r="M1030" s="53">
        <f>STOCK[[#This Row],[Precio Final]]*10%</f>
        <v>2.5</v>
      </c>
      <c r="N1030" s="53">
        <v>0</v>
      </c>
      <c r="O1030" s="53">
        <v>0</v>
      </c>
      <c r="P1030" s="53">
        <v>8.23</v>
      </c>
      <c r="Q1030" s="71">
        <v>0</v>
      </c>
      <c r="R1030" s="53">
        <v>0</v>
      </c>
      <c r="S1030" s="53">
        <v>0.6</v>
      </c>
      <c r="T1030" s="53">
        <f>STOCK[[#This Row],[Costo Unitario (USD)]]+STOCK[[#This Row],[Costo Envío (USD)]]+STOCK[[#This Row],[Comisión 10%]]</f>
        <v>11.33</v>
      </c>
      <c r="U1030" s="53">
        <f>STOCK[[#This Row],[Costo total]]*1.5</f>
        <v>16.995</v>
      </c>
      <c r="V1030" s="53">
        <v>25</v>
      </c>
      <c r="W1030" s="53">
        <f>STOCK[[#This Row],[Precio Final]]-STOCK[[#This Row],[Costo total]]</f>
        <v>13.67</v>
      </c>
      <c r="X1030" s="53">
        <f>STOCK[[#This Row],[Ganancia Unitaria]]*STOCK[[#This Row],[Salidas]]</f>
        <v>13.67</v>
      </c>
      <c r="Y1030" s="53" t="s">
        <v>2120</v>
      </c>
      <c r="AA1030" s="54">
        <f>STOCK[[#This Row],[Costo total]]*STOCK[[#This Row],[Entradas]]</f>
        <v>11.33</v>
      </c>
      <c r="AB1030" s="54">
        <f>STOCK[[#This Row],[Stock Actual]]*STOCK[[#This Row],[Costo total]]</f>
        <v>0</v>
      </c>
    </row>
    <row r="1031" s="54" customFormat="1" ht="50" customHeight="1" spans="1:28">
      <c r="A1031" s="54" t="s">
        <v>2121</v>
      </c>
      <c r="B1031" s="66"/>
      <c r="C1031" s="54" t="s">
        <v>32</v>
      </c>
      <c r="D1031" s="54" t="s">
        <v>2118</v>
      </c>
      <c r="E1031" s="68" t="s">
        <v>2119</v>
      </c>
      <c r="F1031" s="54" t="s">
        <v>49</v>
      </c>
      <c r="G1031" s="54" t="s">
        <v>1876</v>
      </c>
      <c r="H1031" s="54">
        <f>STOCK[[#This Row],[Precio Final]]</f>
        <v>25</v>
      </c>
      <c r="I1031" s="54">
        <f>STOCK[[#This Row],[Precio Venta Ideal (x1.5)]]</f>
        <v>16.995</v>
      </c>
      <c r="J1031" s="72">
        <v>1</v>
      </c>
      <c r="K1031" s="72">
        <f>SUMIFS(VENTAS[Cantidad],VENTAS[Código del producto Vendido],STOCK[[#This Row],[Code]])</f>
        <v>1</v>
      </c>
      <c r="L1031" s="72">
        <f>STOCK[[#This Row],[Entradas]]-STOCK[[#This Row],[Salidas]]</f>
        <v>0</v>
      </c>
      <c r="M1031" s="54">
        <f>STOCK[[#This Row],[Precio Final]]*10%</f>
        <v>2.5</v>
      </c>
      <c r="N1031" s="54">
        <v>0</v>
      </c>
      <c r="O1031" s="54">
        <v>0</v>
      </c>
      <c r="P1031" s="54">
        <v>8.23</v>
      </c>
      <c r="Q1031" s="72">
        <v>0</v>
      </c>
      <c r="R1031" s="54">
        <v>0</v>
      </c>
      <c r="S1031" s="54">
        <v>0.6</v>
      </c>
      <c r="T1031" s="53">
        <f>STOCK[[#This Row],[Costo Unitario (USD)]]+STOCK[[#This Row],[Costo Envío (USD)]]+STOCK[[#This Row],[Comisión 10%]]</f>
        <v>11.33</v>
      </c>
      <c r="U1031" s="54">
        <f>STOCK[[#This Row],[Costo total]]*1.5</f>
        <v>16.995</v>
      </c>
      <c r="V1031" s="54">
        <v>25</v>
      </c>
      <c r="W1031" s="54">
        <f>STOCK[[#This Row],[Precio Final]]-STOCK[[#This Row],[Costo total]]</f>
        <v>13.67</v>
      </c>
      <c r="X1031" s="54">
        <f>STOCK[[#This Row],[Ganancia Unitaria]]*STOCK[[#This Row],[Salidas]]</f>
        <v>13.67</v>
      </c>
      <c r="Y1031" s="54" t="s">
        <v>2122</v>
      </c>
      <c r="AA1031" s="54">
        <f>STOCK[[#This Row],[Costo total]]*STOCK[[#This Row],[Entradas]]</f>
        <v>11.33</v>
      </c>
      <c r="AB1031" s="54">
        <f>STOCK[[#This Row],[Stock Actual]]*STOCK[[#This Row],[Costo total]]</f>
        <v>0</v>
      </c>
    </row>
    <row r="1032" s="53" customFormat="1" ht="50" customHeight="1" spans="1:28">
      <c r="A1032" s="53" t="s">
        <v>2123</v>
      </c>
      <c r="B1032" s="66"/>
      <c r="C1032" s="53" t="s">
        <v>32</v>
      </c>
      <c r="D1032" s="54" t="s">
        <v>38</v>
      </c>
      <c r="E1032" s="67" t="s">
        <v>2124</v>
      </c>
      <c r="F1032" s="53" t="s">
        <v>46</v>
      </c>
      <c r="G1032" s="53" t="s">
        <v>1876</v>
      </c>
      <c r="H1032" s="53">
        <f>STOCK[[#This Row],[Precio Final]]</f>
        <v>25</v>
      </c>
      <c r="I1032" s="53">
        <f>STOCK[[#This Row],[Precio Venta Ideal (x1.5)]]</f>
        <v>20.565</v>
      </c>
      <c r="J1032" s="71">
        <v>1</v>
      </c>
      <c r="K1032" s="71">
        <f>SUMIFS(VENTAS[Cantidad],VENTAS[Código del producto Vendido],STOCK[[#This Row],[Code]])</f>
        <v>1</v>
      </c>
      <c r="L1032" s="71">
        <f>STOCK[[#This Row],[Entradas]]-STOCK[[#This Row],[Salidas]]</f>
        <v>0</v>
      </c>
      <c r="M1032" s="53">
        <f>STOCK[[#This Row],[Precio Final]]*10%</f>
        <v>2.5</v>
      </c>
      <c r="N1032" s="53">
        <v>0</v>
      </c>
      <c r="O1032" s="53">
        <v>0</v>
      </c>
      <c r="P1032" s="53">
        <v>10.61</v>
      </c>
      <c r="Q1032" s="71">
        <v>0</v>
      </c>
      <c r="R1032" s="53">
        <v>0</v>
      </c>
      <c r="S1032" s="53">
        <v>0.6</v>
      </c>
      <c r="T1032" s="53">
        <f>STOCK[[#This Row],[Costo Unitario (USD)]]+STOCK[[#This Row],[Costo Envío (USD)]]+STOCK[[#This Row],[Comisión 10%]]</f>
        <v>13.71</v>
      </c>
      <c r="U1032" s="53">
        <f>STOCK[[#This Row],[Costo total]]*1.5</f>
        <v>20.565</v>
      </c>
      <c r="V1032" s="53">
        <v>25</v>
      </c>
      <c r="W1032" s="53">
        <f>STOCK[[#This Row],[Precio Final]]-STOCK[[#This Row],[Costo total]]</f>
        <v>11.29</v>
      </c>
      <c r="X1032" s="53">
        <f>STOCK[[#This Row],[Ganancia Unitaria]]*STOCK[[#This Row],[Salidas]]</f>
        <v>11.29</v>
      </c>
      <c r="Y1032" s="53" t="s">
        <v>2125</v>
      </c>
      <c r="AA1032" s="54">
        <f>STOCK[[#This Row],[Costo total]]*STOCK[[#This Row],[Entradas]]</f>
        <v>13.71</v>
      </c>
      <c r="AB1032" s="54">
        <f>STOCK[[#This Row],[Stock Actual]]*STOCK[[#This Row],[Costo total]]</f>
        <v>0</v>
      </c>
    </row>
    <row r="1033" s="54" customFormat="1" ht="50" customHeight="1" spans="1:28">
      <c r="A1033" s="54" t="s">
        <v>2126</v>
      </c>
      <c r="B1033" s="66"/>
      <c r="C1033" s="54" t="s">
        <v>32</v>
      </c>
      <c r="D1033" s="54" t="s">
        <v>2127</v>
      </c>
      <c r="E1033" s="68" t="s">
        <v>2124</v>
      </c>
      <c r="F1033" s="54" t="s">
        <v>62</v>
      </c>
      <c r="G1033" s="54" t="s">
        <v>1876</v>
      </c>
      <c r="H1033" s="54">
        <f>STOCK[[#This Row],[Precio Final]]</f>
        <v>25</v>
      </c>
      <c r="I1033" s="54">
        <f>STOCK[[#This Row],[Precio Venta Ideal (x1.5)]]</f>
        <v>20.565</v>
      </c>
      <c r="J1033" s="72">
        <v>1</v>
      </c>
      <c r="K1033" s="72">
        <f>SUMIFS(VENTAS[Cantidad],VENTAS[Código del producto Vendido],STOCK[[#This Row],[Code]])</f>
        <v>1</v>
      </c>
      <c r="L1033" s="72">
        <f>STOCK[[#This Row],[Entradas]]-STOCK[[#This Row],[Salidas]]</f>
        <v>0</v>
      </c>
      <c r="M1033" s="54">
        <f>STOCK[[#This Row],[Precio Final]]*10%</f>
        <v>2.5</v>
      </c>
      <c r="N1033" s="54">
        <v>0</v>
      </c>
      <c r="O1033" s="54">
        <v>0</v>
      </c>
      <c r="P1033" s="54">
        <v>10.61</v>
      </c>
      <c r="Q1033" s="72">
        <v>0</v>
      </c>
      <c r="R1033" s="54">
        <v>0</v>
      </c>
      <c r="S1033" s="54">
        <v>0.6</v>
      </c>
      <c r="T1033" s="53">
        <f>STOCK[[#This Row],[Costo Unitario (USD)]]+STOCK[[#This Row],[Costo Envío (USD)]]+STOCK[[#This Row],[Comisión 10%]]</f>
        <v>13.71</v>
      </c>
      <c r="U1033" s="54">
        <f>STOCK[[#This Row],[Costo total]]*1.5</f>
        <v>20.565</v>
      </c>
      <c r="V1033" s="54">
        <v>25</v>
      </c>
      <c r="W1033" s="54">
        <f>STOCK[[#This Row],[Precio Final]]-STOCK[[#This Row],[Costo total]]</f>
        <v>11.29</v>
      </c>
      <c r="X1033" s="54">
        <f>STOCK[[#This Row],[Ganancia Unitaria]]*STOCK[[#This Row],[Salidas]]</f>
        <v>11.29</v>
      </c>
      <c r="Y1033" s="54" t="s">
        <v>2128</v>
      </c>
      <c r="AA1033" s="54">
        <f>STOCK[[#This Row],[Costo total]]*STOCK[[#This Row],[Entradas]]</f>
        <v>13.71</v>
      </c>
      <c r="AB1033" s="54">
        <f>STOCK[[#This Row],[Stock Actual]]*STOCK[[#This Row],[Costo total]]</f>
        <v>0</v>
      </c>
    </row>
    <row r="1034" s="53" customFormat="1" ht="50" customHeight="1" spans="1:28">
      <c r="A1034" s="53" t="s">
        <v>2129</v>
      </c>
      <c r="B1034" s="66"/>
      <c r="C1034" s="53" t="s">
        <v>32</v>
      </c>
      <c r="D1034" s="53" t="s">
        <v>1751</v>
      </c>
      <c r="E1034" s="67" t="s">
        <v>2130</v>
      </c>
      <c r="F1034" s="53" t="s">
        <v>46</v>
      </c>
      <c r="G1034" s="53" t="s">
        <v>1876</v>
      </c>
      <c r="H1034" s="53">
        <f>STOCK[[#This Row],[Precio Final]]</f>
        <v>22</v>
      </c>
      <c r="I1034" s="53">
        <f>STOCK[[#This Row],[Precio Venta Ideal (x1.5)]]</f>
        <v>19.56</v>
      </c>
      <c r="J1034" s="71">
        <v>1</v>
      </c>
      <c r="K1034" s="71">
        <f>SUMIFS(VENTAS[Cantidad],VENTAS[Código del producto Vendido],STOCK[[#This Row],[Code]])</f>
        <v>1</v>
      </c>
      <c r="L1034" s="71">
        <f>STOCK[[#This Row],[Entradas]]-STOCK[[#This Row],[Salidas]]</f>
        <v>0</v>
      </c>
      <c r="M1034" s="53">
        <f>STOCK[[#This Row],[Precio Final]]*10%</f>
        <v>2.2</v>
      </c>
      <c r="N1034" s="53">
        <v>0</v>
      </c>
      <c r="O1034" s="53">
        <v>0</v>
      </c>
      <c r="P1034" s="53">
        <v>10.24</v>
      </c>
      <c r="Q1034" s="71">
        <v>0</v>
      </c>
      <c r="R1034" s="53">
        <v>0</v>
      </c>
      <c r="S1034" s="53">
        <v>0.6</v>
      </c>
      <c r="T1034" s="53">
        <f>STOCK[[#This Row],[Costo Unitario (USD)]]+STOCK[[#This Row],[Costo Envío (USD)]]+STOCK[[#This Row],[Comisión 10%]]</f>
        <v>13.04</v>
      </c>
      <c r="U1034" s="53">
        <f>STOCK[[#This Row],[Costo total]]*1.5</f>
        <v>19.56</v>
      </c>
      <c r="V1034" s="53">
        <v>22</v>
      </c>
      <c r="W1034" s="53">
        <f>STOCK[[#This Row],[Precio Final]]-STOCK[[#This Row],[Costo total]]</f>
        <v>8.96</v>
      </c>
      <c r="X1034" s="53">
        <f>STOCK[[#This Row],[Ganancia Unitaria]]*STOCK[[#This Row],[Salidas]]</f>
        <v>8.96</v>
      </c>
      <c r="Y1034" s="53" t="s">
        <v>2131</v>
      </c>
      <c r="AA1034" s="54">
        <f>STOCK[[#This Row],[Costo total]]*STOCK[[#This Row],[Entradas]]</f>
        <v>13.04</v>
      </c>
      <c r="AB1034" s="54">
        <f>STOCK[[#This Row],[Stock Actual]]*STOCK[[#This Row],[Costo total]]</f>
        <v>0</v>
      </c>
    </row>
    <row r="1035" s="54" customFormat="1" ht="50" customHeight="1" spans="1:28">
      <c r="A1035" s="54" t="s">
        <v>2132</v>
      </c>
      <c r="B1035" s="66"/>
      <c r="C1035" s="54" t="s">
        <v>32</v>
      </c>
      <c r="D1035" s="54" t="s">
        <v>2133</v>
      </c>
      <c r="E1035" s="68" t="s">
        <v>2134</v>
      </c>
      <c r="F1035" s="54" t="s">
        <v>46</v>
      </c>
      <c r="G1035" s="54" t="s">
        <v>1876</v>
      </c>
      <c r="H1035" s="54">
        <f>STOCK[[#This Row],[Precio Final]]</f>
        <v>25</v>
      </c>
      <c r="I1035" s="54">
        <f>STOCK[[#This Row],[Precio Venta Ideal (x1.5)]]</f>
        <v>21.435</v>
      </c>
      <c r="J1035" s="72">
        <v>1</v>
      </c>
      <c r="K1035" s="72">
        <f>SUMIFS(VENTAS[Cantidad],VENTAS[Código del producto Vendido],STOCK[[#This Row],[Code]])</f>
        <v>1</v>
      </c>
      <c r="L1035" s="72">
        <f>STOCK[[#This Row],[Entradas]]-STOCK[[#This Row],[Salidas]]</f>
        <v>0</v>
      </c>
      <c r="M1035" s="54">
        <f>STOCK[[#This Row],[Precio Final]]*10%</f>
        <v>2.5</v>
      </c>
      <c r="N1035" s="54">
        <v>0</v>
      </c>
      <c r="O1035" s="54">
        <v>0</v>
      </c>
      <c r="P1035" s="54">
        <v>11.19</v>
      </c>
      <c r="Q1035" s="72">
        <v>0</v>
      </c>
      <c r="R1035" s="54">
        <v>0</v>
      </c>
      <c r="S1035" s="54">
        <v>0.6</v>
      </c>
      <c r="T1035" s="53">
        <f>STOCK[[#This Row],[Costo Unitario (USD)]]+STOCK[[#This Row],[Costo Envío (USD)]]+STOCK[[#This Row],[Comisión 10%]]</f>
        <v>14.29</v>
      </c>
      <c r="U1035" s="54">
        <f>STOCK[[#This Row],[Costo total]]*1.5</f>
        <v>21.435</v>
      </c>
      <c r="V1035" s="54">
        <v>25</v>
      </c>
      <c r="W1035" s="54">
        <f>STOCK[[#This Row],[Precio Final]]-STOCK[[#This Row],[Costo total]]</f>
        <v>10.71</v>
      </c>
      <c r="X1035" s="54">
        <f>STOCK[[#This Row],[Ganancia Unitaria]]*STOCK[[#This Row],[Salidas]]</f>
        <v>10.71</v>
      </c>
      <c r="Y1035" s="54" t="s">
        <v>2135</v>
      </c>
      <c r="AA1035" s="54">
        <f>STOCK[[#This Row],[Costo total]]*STOCK[[#This Row],[Entradas]]</f>
        <v>14.29</v>
      </c>
      <c r="AB1035" s="54">
        <f>STOCK[[#This Row],[Stock Actual]]*STOCK[[#This Row],[Costo total]]</f>
        <v>0</v>
      </c>
    </row>
    <row r="1036" s="53" customFormat="1" ht="50" customHeight="1" spans="1:28">
      <c r="A1036" s="53" t="s">
        <v>2136</v>
      </c>
      <c r="B1036" s="66"/>
      <c r="C1036" s="53" t="s">
        <v>32</v>
      </c>
      <c r="D1036" s="53" t="s">
        <v>2137</v>
      </c>
      <c r="E1036" s="67" t="s">
        <v>2138</v>
      </c>
      <c r="F1036" s="53" t="s">
        <v>2139</v>
      </c>
      <c r="G1036" s="53" t="s">
        <v>1876</v>
      </c>
      <c r="H1036" s="53">
        <f>STOCK[[#This Row],[Precio Final]]</f>
        <v>30</v>
      </c>
      <c r="I1036" s="53">
        <f>STOCK[[#This Row],[Precio Venta Ideal (x1.5)]]</f>
        <v>15.075</v>
      </c>
      <c r="J1036" s="71">
        <v>2</v>
      </c>
      <c r="K1036" s="71">
        <f>SUMIFS(VENTAS[Cantidad],VENTAS[Código del producto Vendido],STOCK[[#This Row],[Code]])</f>
        <v>1</v>
      </c>
      <c r="L1036" s="71">
        <f>STOCK[[#This Row],[Entradas]]-STOCK[[#This Row],[Salidas]]</f>
        <v>1</v>
      </c>
      <c r="M1036" s="53">
        <f>STOCK[[#This Row],[Precio Final]]*10%</f>
        <v>3</v>
      </c>
      <c r="N1036" s="53">
        <v>0</v>
      </c>
      <c r="O1036" s="53">
        <v>0</v>
      </c>
      <c r="P1036" s="53">
        <v>6.45</v>
      </c>
      <c r="Q1036" s="71">
        <v>0</v>
      </c>
      <c r="R1036" s="53">
        <v>0</v>
      </c>
      <c r="S1036" s="53">
        <v>0.6</v>
      </c>
      <c r="T1036" s="53">
        <f>STOCK[[#This Row],[Costo Unitario (USD)]]+STOCK[[#This Row],[Costo Envío (USD)]]+STOCK[[#This Row],[Comisión 10%]]</f>
        <v>10.05</v>
      </c>
      <c r="U1036" s="53">
        <f>STOCK[[#This Row],[Costo total]]*1.5</f>
        <v>15.075</v>
      </c>
      <c r="V1036" s="53">
        <v>30</v>
      </c>
      <c r="W1036" s="53">
        <f>STOCK[[#This Row],[Precio Final]]-STOCK[[#This Row],[Costo total]]</f>
        <v>19.95</v>
      </c>
      <c r="X1036" s="53">
        <f>STOCK[[#This Row],[Ganancia Unitaria]]*STOCK[[#This Row],[Salidas]]</f>
        <v>19.95</v>
      </c>
      <c r="Y1036" s="53" t="s">
        <v>2140</v>
      </c>
      <c r="AA1036" s="54">
        <f>STOCK[[#This Row],[Costo total]]*STOCK[[#This Row],[Entradas]]</f>
        <v>20.1</v>
      </c>
      <c r="AB1036" s="54">
        <f>STOCK[[#This Row],[Stock Actual]]*STOCK[[#This Row],[Costo total]]</f>
        <v>10.05</v>
      </c>
    </row>
    <row r="1037" s="54" customFormat="1" ht="50" customHeight="1" spans="1:28">
      <c r="A1037" s="54" t="s">
        <v>2141</v>
      </c>
      <c r="B1037" s="66"/>
      <c r="C1037" s="54" t="s">
        <v>32</v>
      </c>
      <c r="D1037" s="54" t="s">
        <v>1212</v>
      </c>
      <c r="E1037" s="68" t="s">
        <v>2138</v>
      </c>
      <c r="F1037" s="54" t="s">
        <v>2142</v>
      </c>
      <c r="G1037" s="54" t="s">
        <v>1876</v>
      </c>
      <c r="H1037" s="54">
        <f>STOCK[[#This Row],[Precio Final]]</f>
        <v>30</v>
      </c>
      <c r="I1037" s="54">
        <f>STOCK[[#This Row],[Precio Venta Ideal (x1.5)]]</f>
        <v>15.075</v>
      </c>
      <c r="J1037" s="72">
        <v>2</v>
      </c>
      <c r="K1037" s="72">
        <f>SUMIFS(VENTAS[Cantidad],VENTAS[Código del producto Vendido],STOCK[[#This Row],[Code]])</f>
        <v>2</v>
      </c>
      <c r="L1037" s="72">
        <f>STOCK[[#This Row],[Entradas]]-STOCK[[#This Row],[Salidas]]</f>
        <v>0</v>
      </c>
      <c r="M1037" s="54">
        <f>STOCK[[#This Row],[Precio Final]]*10%</f>
        <v>3</v>
      </c>
      <c r="N1037" s="54">
        <v>0</v>
      </c>
      <c r="O1037" s="54">
        <v>0</v>
      </c>
      <c r="P1037" s="54">
        <v>6.45</v>
      </c>
      <c r="Q1037" s="72">
        <v>0</v>
      </c>
      <c r="R1037" s="54">
        <v>0</v>
      </c>
      <c r="S1037" s="54">
        <v>0.6</v>
      </c>
      <c r="T1037" s="53">
        <f>STOCK[[#This Row],[Costo Unitario (USD)]]+STOCK[[#This Row],[Costo Envío (USD)]]+STOCK[[#This Row],[Comisión 10%]]</f>
        <v>10.05</v>
      </c>
      <c r="U1037" s="54">
        <f>STOCK[[#This Row],[Costo total]]*1.5</f>
        <v>15.075</v>
      </c>
      <c r="V1037" s="54">
        <v>30</v>
      </c>
      <c r="W1037" s="54">
        <f>STOCK[[#This Row],[Precio Final]]-STOCK[[#This Row],[Costo total]]</f>
        <v>19.95</v>
      </c>
      <c r="X1037" s="54">
        <f>STOCK[[#This Row],[Ganancia Unitaria]]*STOCK[[#This Row],[Salidas]]</f>
        <v>39.9</v>
      </c>
      <c r="Y1037" s="54" t="s">
        <v>2143</v>
      </c>
      <c r="AA1037" s="54">
        <f>STOCK[[#This Row],[Costo total]]*STOCK[[#This Row],[Entradas]]</f>
        <v>20.1</v>
      </c>
      <c r="AB1037" s="54">
        <f>STOCK[[#This Row],[Stock Actual]]*STOCK[[#This Row],[Costo total]]</f>
        <v>0</v>
      </c>
    </row>
    <row r="1038" s="53" customFormat="1" ht="50" customHeight="1" spans="1:28">
      <c r="A1038" s="53" t="s">
        <v>2144</v>
      </c>
      <c r="B1038" s="66"/>
      <c r="C1038" s="53" t="s">
        <v>32</v>
      </c>
      <c r="D1038" s="53" t="s">
        <v>1212</v>
      </c>
      <c r="E1038" s="67" t="s">
        <v>2138</v>
      </c>
      <c r="F1038" s="53" t="s">
        <v>2145</v>
      </c>
      <c r="G1038" s="53" t="s">
        <v>1876</v>
      </c>
      <c r="H1038" s="53">
        <f>STOCK[[#This Row],[Precio Final]]</f>
        <v>30</v>
      </c>
      <c r="I1038" s="53">
        <f>STOCK[[#This Row],[Precio Venta Ideal (x1.5)]]</f>
        <v>15.075</v>
      </c>
      <c r="J1038" s="71">
        <v>2</v>
      </c>
      <c r="K1038" s="71">
        <f>SUMIFS(VENTAS[Cantidad],VENTAS[Código del producto Vendido],STOCK[[#This Row],[Code]])</f>
        <v>2</v>
      </c>
      <c r="L1038" s="71">
        <f>STOCK[[#This Row],[Entradas]]-STOCK[[#This Row],[Salidas]]</f>
        <v>0</v>
      </c>
      <c r="M1038" s="53">
        <f>STOCK[[#This Row],[Precio Final]]*10%</f>
        <v>3</v>
      </c>
      <c r="N1038" s="53">
        <v>0</v>
      </c>
      <c r="O1038" s="53">
        <v>0</v>
      </c>
      <c r="P1038" s="53">
        <v>6.45</v>
      </c>
      <c r="Q1038" s="71">
        <v>0</v>
      </c>
      <c r="R1038" s="53">
        <v>0</v>
      </c>
      <c r="S1038" s="53">
        <v>0.6</v>
      </c>
      <c r="T1038" s="53">
        <f>STOCK[[#This Row],[Costo Unitario (USD)]]+STOCK[[#This Row],[Costo Envío (USD)]]+STOCK[[#This Row],[Comisión 10%]]</f>
        <v>10.05</v>
      </c>
      <c r="U1038" s="53">
        <f>STOCK[[#This Row],[Costo total]]*1.5</f>
        <v>15.075</v>
      </c>
      <c r="V1038" s="53">
        <v>30</v>
      </c>
      <c r="W1038" s="53">
        <f>STOCK[[#This Row],[Precio Final]]-STOCK[[#This Row],[Costo total]]</f>
        <v>19.95</v>
      </c>
      <c r="X1038" s="53">
        <f>STOCK[[#This Row],[Ganancia Unitaria]]*STOCK[[#This Row],[Salidas]]</f>
        <v>39.9</v>
      </c>
      <c r="Y1038" s="53" t="s">
        <v>2146</v>
      </c>
      <c r="AA1038" s="54">
        <f>STOCK[[#This Row],[Costo total]]*STOCK[[#This Row],[Entradas]]</f>
        <v>20.1</v>
      </c>
      <c r="AB1038" s="54">
        <f>STOCK[[#This Row],[Stock Actual]]*STOCK[[#This Row],[Costo total]]</f>
        <v>0</v>
      </c>
    </row>
    <row r="1039" s="54" customFormat="1" ht="50" customHeight="1" spans="1:28">
      <c r="A1039" s="54" t="s">
        <v>2147</v>
      </c>
      <c r="B1039" s="66"/>
      <c r="C1039" s="54" t="s">
        <v>32</v>
      </c>
      <c r="D1039" s="54" t="s">
        <v>38</v>
      </c>
      <c r="E1039" s="68" t="s">
        <v>2148</v>
      </c>
      <c r="F1039" s="54" t="s">
        <v>46</v>
      </c>
      <c r="G1039" s="54" t="s">
        <v>1876</v>
      </c>
      <c r="H1039" s="54">
        <f>STOCK[[#This Row],[Precio Final]]</f>
        <v>25</v>
      </c>
      <c r="I1039" s="54">
        <f>STOCK[[#This Row],[Precio Venta Ideal (x1.5)]]</f>
        <v>18.255</v>
      </c>
      <c r="J1039" s="72">
        <v>1</v>
      </c>
      <c r="K1039" s="72">
        <f>SUMIFS(VENTAS[Cantidad],VENTAS[Código del producto Vendido],STOCK[[#This Row],[Code]])</f>
        <v>1</v>
      </c>
      <c r="L1039" s="72">
        <f>STOCK[[#This Row],[Entradas]]-STOCK[[#This Row],[Salidas]]</f>
        <v>0</v>
      </c>
      <c r="M1039" s="54">
        <f>STOCK[[#This Row],[Precio Final]]*10%</f>
        <v>2.5</v>
      </c>
      <c r="N1039" s="54">
        <v>0</v>
      </c>
      <c r="O1039" s="54">
        <v>0</v>
      </c>
      <c r="P1039" s="54">
        <v>9.07</v>
      </c>
      <c r="Q1039" s="72">
        <v>0</v>
      </c>
      <c r="R1039" s="54">
        <v>0</v>
      </c>
      <c r="S1039" s="54">
        <v>0.6</v>
      </c>
      <c r="T1039" s="53">
        <f>STOCK[[#This Row],[Costo Unitario (USD)]]+STOCK[[#This Row],[Costo Envío (USD)]]+STOCK[[#This Row],[Comisión 10%]]</f>
        <v>12.17</v>
      </c>
      <c r="U1039" s="54">
        <f>STOCK[[#This Row],[Costo total]]*1.5</f>
        <v>18.255</v>
      </c>
      <c r="V1039" s="54">
        <v>25</v>
      </c>
      <c r="W1039" s="54">
        <f>STOCK[[#This Row],[Precio Final]]-STOCK[[#This Row],[Costo total]]</f>
        <v>12.83</v>
      </c>
      <c r="X1039" s="54">
        <f>STOCK[[#This Row],[Ganancia Unitaria]]*STOCK[[#This Row],[Salidas]]</f>
        <v>12.83</v>
      </c>
      <c r="Y1039" s="54" t="s">
        <v>2149</v>
      </c>
      <c r="AA1039" s="54">
        <f>STOCK[[#This Row],[Costo total]]*STOCK[[#This Row],[Entradas]]</f>
        <v>12.17</v>
      </c>
      <c r="AB1039" s="54">
        <f>STOCK[[#This Row],[Stock Actual]]*STOCK[[#This Row],[Costo total]]</f>
        <v>0</v>
      </c>
    </row>
    <row r="1040" s="53" customFormat="1" ht="50" customHeight="1" spans="1:28">
      <c r="A1040" s="53" t="s">
        <v>2150</v>
      </c>
      <c r="B1040" s="66"/>
      <c r="C1040" s="53" t="s">
        <v>32</v>
      </c>
      <c r="D1040" s="54" t="s">
        <v>38</v>
      </c>
      <c r="E1040" s="67" t="s">
        <v>2148</v>
      </c>
      <c r="F1040" s="53" t="s">
        <v>49</v>
      </c>
      <c r="G1040" s="53" t="s">
        <v>1876</v>
      </c>
      <c r="H1040" s="53">
        <f>STOCK[[#This Row],[Precio Final]]</f>
        <v>25</v>
      </c>
      <c r="I1040" s="53">
        <f>STOCK[[#This Row],[Precio Venta Ideal (x1.5)]]</f>
        <v>18.255</v>
      </c>
      <c r="J1040" s="71">
        <v>1</v>
      </c>
      <c r="K1040" s="71">
        <f>SUMIFS(VENTAS[Cantidad],VENTAS[Código del producto Vendido],STOCK[[#This Row],[Code]])</f>
        <v>1</v>
      </c>
      <c r="L1040" s="71">
        <f>STOCK[[#This Row],[Entradas]]-STOCK[[#This Row],[Salidas]]</f>
        <v>0</v>
      </c>
      <c r="M1040" s="53">
        <f>STOCK[[#This Row],[Precio Final]]*10%</f>
        <v>2.5</v>
      </c>
      <c r="N1040" s="53">
        <v>0</v>
      </c>
      <c r="O1040" s="53">
        <v>0</v>
      </c>
      <c r="P1040" s="53">
        <v>9.07</v>
      </c>
      <c r="Q1040" s="71">
        <v>0</v>
      </c>
      <c r="R1040" s="53">
        <v>0</v>
      </c>
      <c r="S1040" s="53">
        <v>0.6</v>
      </c>
      <c r="T1040" s="53">
        <f>STOCK[[#This Row],[Costo Unitario (USD)]]+STOCK[[#This Row],[Costo Envío (USD)]]+STOCK[[#This Row],[Comisión 10%]]</f>
        <v>12.17</v>
      </c>
      <c r="U1040" s="53">
        <f>STOCK[[#This Row],[Costo total]]*1.5</f>
        <v>18.255</v>
      </c>
      <c r="V1040" s="53">
        <v>25</v>
      </c>
      <c r="W1040" s="53">
        <f>STOCK[[#This Row],[Precio Final]]-STOCK[[#This Row],[Costo total]]</f>
        <v>12.83</v>
      </c>
      <c r="X1040" s="53">
        <f>STOCK[[#This Row],[Ganancia Unitaria]]*STOCK[[#This Row],[Salidas]]</f>
        <v>12.83</v>
      </c>
      <c r="Y1040" s="53" t="s">
        <v>2151</v>
      </c>
      <c r="AA1040" s="54">
        <f>STOCK[[#This Row],[Costo total]]*STOCK[[#This Row],[Entradas]]</f>
        <v>12.17</v>
      </c>
      <c r="AB1040" s="54">
        <f>STOCK[[#This Row],[Stock Actual]]*STOCK[[#This Row],[Costo total]]</f>
        <v>0</v>
      </c>
    </row>
    <row r="1041" s="54" customFormat="1" ht="50" customHeight="1" spans="1:28">
      <c r="A1041" s="54" t="s">
        <v>2152</v>
      </c>
      <c r="B1041" s="66"/>
      <c r="C1041" s="54" t="s">
        <v>32</v>
      </c>
      <c r="D1041" s="54" t="s">
        <v>38</v>
      </c>
      <c r="E1041" s="68" t="s">
        <v>2148</v>
      </c>
      <c r="F1041" s="54" t="s">
        <v>62</v>
      </c>
      <c r="G1041" s="54" t="s">
        <v>1876</v>
      </c>
      <c r="H1041" s="54">
        <f>STOCK[[#This Row],[Precio Final]]</f>
        <v>25</v>
      </c>
      <c r="I1041" s="54">
        <f>STOCK[[#This Row],[Precio Venta Ideal (x1.5)]]</f>
        <v>18.255</v>
      </c>
      <c r="J1041" s="72">
        <v>1</v>
      </c>
      <c r="K1041" s="72">
        <f>SUMIFS(VENTAS[Cantidad],VENTAS[Código del producto Vendido],STOCK[[#This Row],[Code]])</f>
        <v>1</v>
      </c>
      <c r="L1041" s="72">
        <f>STOCK[[#This Row],[Entradas]]-STOCK[[#This Row],[Salidas]]</f>
        <v>0</v>
      </c>
      <c r="M1041" s="54">
        <f>STOCK[[#This Row],[Precio Final]]*10%</f>
        <v>2.5</v>
      </c>
      <c r="N1041" s="54">
        <v>0</v>
      </c>
      <c r="O1041" s="54">
        <v>0</v>
      </c>
      <c r="P1041" s="54">
        <v>9.07</v>
      </c>
      <c r="Q1041" s="72">
        <v>0</v>
      </c>
      <c r="R1041" s="54">
        <v>0</v>
      </c>
      <c r="S1041" s="54">
        <v>0.6</v>
      </c>
      <c r="T1041" s="53">
        <f>STOCK[[#This Row],[Costo Unitario (USD)]]+STOCK[[#This Row],[Costo Envío (USD)]]+STOCK[[#This Row],[Comisión 10%]]</f>
        <v>12.17</v>
      </c>
      <c r="U1041" s="54">
        <f>STOCK[[#This Row],[Costo total]]*1.5</f>
        <v>18.255</v>
      </c>
      <c r="V1041" s="54">
        <v>25</v>
      </c>
      <c r="W1041" s="54">
        <f>STOCK[[#This Row],[Precio Final]]-STOCK[[#This Row],[Costo total]]</f>
        <v>12.83</v>
      </c>
      <c r="X1041" s="54">
        <f>STOCK[[#This Row],[Ganancia Unitaria]]*STOCK[[#This Row],[Salidas]]</f>
        <v>12.83</v>
      </c>
      <c r="Y1041" s="54" t="s">
        <v>2153</v>
      </c>
      <c r="AA1041" s="54">
        <f>STOCK[[#This Row],[Costo total]]*STOCK[[#This Row],[Entradas]]</f>
        <v>12.17</v>
      </c>
      <c r="AB1041" s="54">
        <f>STOCK[[#This Row],[Stock Actual]]*STOCK[[#This Row],[Costo total]]</f>
        <v>0</v>
      </c>
    </row>
    <row r="1042" s="53" customFormat="1" ht="50" customHeight="1" spans="1:28">
      <c r="A1042" s="53" t="s">
        <v>2154</v>
      </c>
      <c r="B1042" s="66"/>
      <c r="C1042" s="53" t="s">
        <v>32</v>
      </c>
      <c r="D1042" s="53" t="s">
        <v>2127</v>
      </c>
      <c r="E1042" s="67" t="s">
        <v>2155</v>
      </c>
      <c r="F1042" s="53" t="s">
        <v>62</v>
      </c>
      <c r="G1042" s="53" t="s">
        <v>1876</v>
      </c>
      <c r="H1042" s="53">
        <f>STOCK[[#This Row],[Precio Final]]</f>
        <v>25</v>
      </c>
      <c r="I1042" s="53">
        <f>STOCK[[#This Row],[Precio Venta Ideal (x1.5)]]</f>
        <v>15.705</v>
      </c>
      <c r="J1042" s="71">
        <v>1</v>
      </c>
      <c r="K1042" s="71">
        <f>SUMIFS(VENTAS[Cantidad],VENTAS[Código del producto Vendido],STOCK[[#This Row],[Code]])</f>
        <v>0</v>
      </c>
      <c r="L1042" s="71">
        <f>STOCK[[#This Row],[Entradas]]-STOCK[[#This Row],[Salidas]]</f>
        <v>1</v>
      </c>
      <c r="M1042" s="53">
        <f>STOCK[[#This Row],[Precio Final]]*10%</f>
        <v>2.5</v>
      </c>
      <c r="N1042" s="53">
        <v>0</v>
      </c>
      <c r="O1042" s="53">
        <v>0</v>
      </c>
      <c r="P1042" s="53">
        <v>7.37</v>
      </c>
      <c r="Q1042" s="71">
        <v>0</v>
      </c>
      <c r="R1042" s="53">
        <v>0</v>
      </c>
      <c r="S1042" s="53">
        <v>0.6</v>
      </c>
      <c r="T1042" s="53">
        <f>STOCK[[#This Row],[Costo Unitario (USD)]]+STOCK[[#This Row],[Costo Envío (USD)]]+STOCK[[#This Row],[Comisión 10%]]</f>
        <v>10.47</v>
      </c>
      <c r="U1042" s="53">
        <f>STOCK[[#This Row],[Costo total]]*1.5</f>
        <v>15.705</v>
      </c>
      <c r="V1042" s="53">
        <v>25</v>
      </c>
      <c r="W1042" s="53">
        <f>STOCK[[#This Row],[Precio Final]]-STOCK[[#This Row],[Costo total]]</f>
        <v>14.53</v>
      </c>
      <c r="X1042" s="53">
        <f>STOCK[[#This Row],[Ganancia Unitaria]]*STOCK[[#This Row],[Salidas]]</f>
        <v>0</v>
      </c>
      <c r="Y1042" s="53" t="s">
        <v>2156</v>
      </c>
      <c r="AA1042" s="54">
        <f>STOCK[[#This Row],[Costo total]]*STOCK[[#This Row],[Entradas]]</f>
        <v>10.47</v>
      </c>
      <c r="AB1042" s="54">
        <f>STOCK[[#This Row],[Stock Actual]]*STOCK[[#This Row],[Costo total]]</f>
        <v>10.47</v>
      </c>
    </row>
    <row r="1043" s="54" customFormat="1" ht="50" customHeight="1" spans="1:28">
      <c r="A1043" s="54" t="s">
        <v>2157</v>
      </c>
      <c r="B1043" s="66"/>
      <c r="C1043" s="54" t="s">
        <v>32</v>
      </c>
      <c r="D1043" s="54" t="s">
        <v>38</v>
      </c>
      <c r="E1043" s="68" t="s">
        <v>2158</v>
      </c>
      <c r="F1043" s="54" t="s">
        <v>46</v>
      </c>
      <c r="G1043" s="54" t="s">
        <v>1876</v>
      </c>
      <c r="H1043" s="54">
        <f>STOCK[[#This Row],[Precio Final]]</f>
        <v>25</v>
      </c>
      <c r="I1043" s="54">
        <f>STOCK[[#This Row],[Precio Venta Ideal (x1.5)]]</f>
        <v>19.395</v>
      </c>
      <c r="J1043" s="72">
        <v>1</v>
      </c>
      <c r="K1043" s="72">
        <f>SUMIFS(VENTAS[Cantidad],VENTAS[Código del producto Vendido],STOCK[[#This Row],[Code]])</f>
        <v>1</v>
      </c>
      <c r="L1043" s="72">
        <f>STOCK[[#This Row],[Entradas]]-STOCK[[#This Row],[Salidas]]</f>
        <v>0</v>
      </c>
      <c r="M1043" s="54">
        <f>STOCK[[#This Row],[Precio Final]]*10%</f>
        <v>2.5</v>
      </c>
      <c r="N1043" s="54">
        <v>0</v>
      </c>
      <c r="O1043" s="54">
        <v>0</v>
      </c>
      <c r="P1043" s="54">
        <v>9.83</v>
      </c>
      <c r="Q1043" s="72">
        <v>0</v>
      </c>
      <c r="R1043" s="54">
        <v>0</v>
      </c>
      <c r="S1043" s="54">
        <v>0.6</v>
      </c>
      <c r="T1043" s="53">
        <f>STOCK[[#This Row],[Costo Unitario (USD)]]+STOCK[[#This Row],[Costo Envío (USD)]]+STOCK[[#This Row],[Comisión 10%]]</f>
        <v>12.93</v>
      </c>
      <c r="U1043" s="54">
        <f>STOCK[[#This Row],[Costo total]]*1.5</f>
        <v>19.395</v>
      </c>
      <c r="V1043" s="54">
        <v>25</v>
      </c>
      <c r="W1043" s="54">
        <f>STOCK[[#This Row],[Precio Final]]-STOCK[[#This Row],[Costo total]]</f>
        <v>12.07</v>
      </c>
      <c r="X1043" s="54">
        <f>STOCK[[#This Row],[Ganancia Unitaria]]*STOCK[[#This Row],[Salidas]]</f>
        <v>12.07</v>
      </c>
      <c r="Y1043" s="54" t="s">
        <v>2159</v>
      </c>
      <c r="AA1043" s="54">
        <f>STOCK[[#This Row],[Costo total]]*STOCK[[#This Row],[Entradas]]</f>
        <v>12.93</v>
      </c>
      <c r="AB1043" s="54">
        <f>STOCK[[#This Row],[Stock Actual]]*STOCK[[#This Row],[Costo total]]</f>
        <v>0</v>
      </c>
    </row>
    <row r="1044" s="53" customFormat="1" ht="50" customHeight="1" spans="1:28">
      <c r="A1044" s="53" t="s">
        <v>2160</v>
      </c>
      <c r="B1044" s="66"/>
      <c r="C1044" s="53" t="s">
        <v>32</v>
      </c>
      <c r="D1044" s="54" t="s">
        <v>38</v>
      </c>
      <c r="E1044" s="67" t="s">
        <v>2158</v>
      </c>
      <c r="F1044" s="53" t="s">
        <v>49</v>
      </c>
      <c r="G1044" s="53" t="s">
        <v>1876</v>
      </c>
      <c r="H1044" s="53">
        <f>STOCK[[#This Row],[Precio Final]]</f>
        <v>25</v>
      </c>
      <c r="I1044" s="53">
        <f>STOCK[[#This Row],[Precio Venta Ideal (x1.5)]]</f>
        <v>19.395</v>
      </c>
      <c r="J1044" s="71">
        <v>1</v>
      </c>
      <c r="K1044" s="71">
        <f>SUMIFS(VENTAS[Cantidad],VENTAS[Código del producto Vendido],STOCK[[#This Row],[Code]])</f>
        <v>1</v>
      </c>
      <c r="L1044" s="71">
        <f>STOCK[[#This Row],[Entradas]]-STOCK[[#This Row],[Salidas]]</f>
        <v>0</v>
      </c>
      <c r="M1044" s="53">
        <f>STOCK[[#This Row],[Precio Final]]*10%</f>
        <v>2.5</v>
      </c>
      <c r="N1044" s="53">
        <v>0</v>
      </c>
      <c r="O1044" s="53">
        <v>0</v>
      </c>
      <c r="P1044" s="53">
        <v>9.83</v>
      </c>
      <c r="Q1044" s="71">
        <v>0</v>
      </c>
      <c r="R1044" s="53">
        <v>0</v>
      </c>
      <c r="S1044" s="53">
        <v>0.6</v>
      </c>
      <c r="T1044" s="53">
        <f>STOCK[[#This Row],[Costo Unitario (USD)]]+STOCK[[#This Row],[Costo Envío (USD)]]+STOCK[[#This Row],[Comisión 10%]]</f>
        <v>12.93</v>
      </c>
      <c r="U1044" s="53">
        <f>STOCK[[#This Row],[Costo total]]*1.5</f>
        <v>19.395</v>
      </c>
      <c r="V1044" s="53">
        <v>25</v>
      </c>
      <c r="W1044" s="53">
        <f>STOCK[[#This Row],[Precio Final]]-STOCK[[#This Row],[Costo total]]</f>
        <v>12.07</v>
      </c>
      <c r="X1044" s="53">
        <f>STOCK[[#This Row],[Ganancia Unitaria]]*STOCK[[#This Row],[Salidas]]</f>
        <v>12.07</v>
      </c>
      <c r="Y1044" s="53" t="s">
        <v>2161</v>
      </c>
      <c r="AA1044" s="54">
        <f>STOCK[[#This Row],[Costo total]]*STOCK[[#This Row],[Entradas]]</f>
        <v>12.93</v>
      </c>
      <c r="AB1044" s="54">
        <f>STOCK[[#This Row],[Stock Actual]]*STOCK[[#This Row],[Costo total]]</f>
        <v>0</v>
      </c>
    </row>
    <row r="1045" s="54" customFormat="1" ht="50" customHeight="1" spans="1:28">
      <c r="A1045" s="54" t="s">
        <v>2162</v>
      </c>
      <c r="B1045" s="66"/>
      <c r="C1045" s="54" t="s">
        <v>32</v>
      </c>
      <c r="D1045" s="54" t="s">
        <v>2127</v>
      </c>
      <c r="E1045" s="68" t="s">
        <v>2163</v>
      </c>
      <c r="F1045" s="54" t="s">
        <v>46</v>
      </c>
      <c r="G1045" s="54" t="s">
        <v>1876</v>
      </c>
      <c r="H1045" s="54">
        <f>STOCK[[#This Row],[Precio Final]]</f>
        <v>20</v>
      </c>
      <c r="I1045" s="54">
        <f>STOCK[[#This Row],[Precio Venta Ideal (x1.5)]]</f>
        <v>15.36</v>
      </c>
      <c r="J1045" s="72">
        <v>2</v>
      </c>
      <c r="K1045" s="72">
        <f>SUMIFS(VENTAS[Cantidad],VENTAS[Código del producto Vendido],STOCK[[#This Row],[Code]])</f>
        <v>2</v>
      </c>
      <c r="L1045" s="72">
        <f>STOCK[[#This Row],[Entradas]]-STOCK[[#This Row],[Salidas]]</f>
        <v>0</v>
      </c>
      <c r="M1045" s="54">
        <f>STOCK[[#This Row],[Precio Final]]*10%</f>
        <v>2</v>
      </c>
      <c r="N1045" s="54">
        <v>0</v>
      </c>
      <c r="O1045" s="54">
        <v>0</v>
      </c>
      <c r="P1045" s="54">
        <v>7.64</v>
      </c>
      <c r="Q1045" s="72">
        <v>0</v>
      </c>
      <c r="R1045" s="54">
        <v>0</v>
      </c>
      <c r="S1045" s="54">
        <v>0.6</v>
      </c>
      <c r="T1045" s="53">
        <f>STOCK[[#This Row],[Costo Unitario (USD)]]+STOCK[[#This Row],[Costo Envío (USD)]]+STOCK[[#This Row],[Comisión 10%]]</f>
        <v>10.24</v>
      </c>
      <c r="U1045" s="54">
        <f>STOCK[[#This Row],[Costo total]]*1.5</f>
        <v>15.36</v>
      </c>
      <c r="V1045" s="54">
        <v>20</v>
      </c>
      <c r="W1045" s="54">
        <f>STOCK[[#This Row],[Precio Final]]-STOCK[[#This Row],[Costo total]]</f>
        <v>9.76</v>
      </c>
      <c r="X1045" s="54">
        <f>STOCK[[#This Row],[Ganancia Unitaria]]*STOCK[[#This Row],[Salidas]]</f>
        <v>19.52</v>
      </c>
      <c r="Y1045" s="54" t="s">
        <v>2164</v>
      </c>
      <c r="AA1045" s="54">
        <f>STOCK[[#This Row],[Costo total]]*STOCK[[#This Row],[Entradas]]</f>
        <v>20.48</v>
      </c>
      <c r="AB1045" s="54">
        <f>STOCK[[#This Row],[Stock Actual]]*STOCK[[#This Row],[Costo total]]</f>
        <v>0</v>
      </c>
    </row>
    <row r="1046" s="53" customFormat="1" ht="50" customHeight="1" spans="1:28">
      <c r="A1046" s="53" t="s">
        <v>2165</v>
      </c>
      <c r="B1046" s="66"/>
      <c r="C1046" s="53" t="s">
        <v>32</v>
      </c>
      <c r="D1046" s="53" t="s">
        <v>2127</v>
      </c>
      <c r="E1046" s="67" t="s">
        <v>2163</v>
      </c>
      <c r="F1046" s="53" t="s">
        <v>49</v>
      </c>
      <c r="G1046" s="53" t="s">
        <v>1876</v>
      </c>
      <c r="H1046" s="53">
        <f>STOCK[[#This Row],[Precio Final]]</f>
        <v>20</v>
      </c>
      <c r="I1046" s="53">
        <f>STOCK[[#This Row],[Precio Venta Ideal (x1.5)]]</f>
        <v>15.36</v>
      </c>
      <c r="J1046" s="71">
        <v>2</v>
      </c>
      <c r="K1046" s="71">
        <f>SUMIFS(VENTAS[Cantidad],VENTAS[Código del producto Vendido],STOCK[[#This Row],[Code]])</f>
        <v>2</v>
      </c>
      <c r="L1046" s="71">
        <f>STOCK[[#This Row],[Entradas]]-STOCK[[#This Row],[Salidas]]</f>
        <v>0</v>
      </c>
      <c r="M1046" s="53">
        <f>STOCK[[#This Row],[Precio Final]]*10%</f>
        <v>2</v>
      </c>
      <c r="N1046" s="53">
        <v>0</v>
      </c>
      <c r="O1046" s="53">
        <v>0</v>
      </c>
      <c r="P1046" s="53">
        <v>7.64</v>
      </c>
      <c r="Q1046" s="71">
        <v>0</v>
      </c>
      <c r="R1046" s="53">
        <v>0</v>
      </c>
      <c r="S1046" s="53">
        <v>0.6</v>
      </c>
      <c r="T1046" s="53">
        <f>STOCK[[#This Row],[Costo Unitario (USD)]]+STOCK[[#This Row],[Costo Envío (USD)]]+STOCK[[#This Row],[Comisión 10%]]</f>
        <v>10.24</v>
      </c>
      <c r="U1046" s="53">
        <f>STOCK[[#This Row],[Costo total]]*1.5</f>
        <v>15.36</v>
      </c>
      <c r="V1046" s="53">
        <v>20</v>
      </c>
      <c r="W1046" s="53">
        <f>STOCK[[#This Row],[Precio Final]]-STOCK[[#This Row],[Costo total]]</f>
        <v>9.76</v>
      </c>
      <c r="X1046" s="53">
        <f>STOCK[[#This Row],[Ganancia Unitaria]]*STOCK[[#This Row],[Salidas]]</f>
        <v>19.52</v>
      </c>
      <c r="Y1046" s="53" t="s">
        <v>2166</v>
      </c>
      <c r="AA1046" s="54">
        <f>STOCK[[#This Row],[Costo total]]*STOCK[[#This Row],[Entradas]]</f>
        <v>20.48</v>
      </c>
      <c r="AB1046" s="54">
        <f>STOCK[[#This Row],[Stock Actual]]*STOCK[[#This Row],[Costo total]]</f>
        <v>0</v>
      </c>
    </row>
    <row r="1047" s="54" customFormat="1" ht="50" customHeight="1" spans="1:28">
      <c r="A1047" s="54" t="s">
        <v>2167</v>
      </c>
      <c r="B1047" s="66"/>
      <c r="C1047" s="54" t="s">
        <v>32</v>
      </c>
      <c r="D1047" s="54" t="s">
        <v>2127</v>
      </c>
      <c r="E1047" s="68" t="s">
        <v>2163</v>
      </c>
      <c r="F1047" s="54" t="s">
        <v>62</v>
      </c>
      <c r="G1047" s="54" t="s">
        <v>1876</v>
      </c>
      <c r="H1047" s="54">
        <f>STOCK[[#This Row],[Precio Final]]</f>
        <v>20</v>
      </c>
      <c r="I1047" s="54">
        <f>STOCK[[#This Row],[Precio Venta Ideal (x1.5)]]</f>
        <v>15.36</v>
      </c>
      <c r="J1047" s="72">
        <v>2</v>
      </c>
      <c r="K1047" s="72">
        <f>SUMIFS(VENTAS[Cantidad],VENTAS[Código del producto Vendido],STOCK[[#This Row],[Code]])</f>
        <v>2</v>
      </c>
      <c r="L1047" s="72">
        <f>STOCK[[#This Row],[Entradas]]-STOCK[[#This Row],[Salidas]]</f>
        <v>0</v>
      </c>
      <c r="M1047" s="54">
        <f>STOCK[[#This Row],[Precio Final]]*10%</f>
        <v>2</v>
      </c>
      <c r="N1047" s="54">
        <v>0</v>
      </c>
      <c r="O1047" s="54">
        <v>0</v>
      </c>
      <c r="P1047" s="54">
        <v>7.64</v>
      </c>
      <c r="Q1047" s="72">
        <v>0</v>
      </c>
      <c r="R1047" s="54">
        <v>0</v>
      </c>
      <c r="S1047" s="54">
        <v>0.6</v>
      </c>
      <c r="T1047" s="53">
        <f>STOCK[[#This Row],[Costo Unitario (USD)]]+STOCK[[#This Row],[Costo Envío (USD)]]+STOCK[[#This Row],[Comisión 10%]]</f>
        <v>10.24</v>
      </c>
      <c r="U1047" s="54">
        <f>STOCK[[#This Row],[Costo total]]*1.5</f>
        <v>15.36</v>
      </c>
      <c r="V1047" s="54">
        <v>20</v>
      </c>
      <c r="W1047" s="54">
        <f>STOCK[[#This Row],[Precio Final]]-STOCK[[#This Row],[Costo total]]</f>
        <v>9.76</v>
      </c>
      <c r="X1047" s="54">
        <f>STOCK[[#This Row],[Ganancia Unitaria]]*STOCK[[#This Row],[Salidas]]</f>
        <v>19.52</v>
      </c>
      <c r="Y1047" s="54" t="s">
        <v>2168</v>
      </c>
      <c r="AA1047" s="54">
        <f>STOCK[[#This Row],[Costo total]]*STOCK[[#This Row],[Entradas]]</f>
        <v>20.48</v>
      </c>
      <c r="AB1047" s="54">
        <f>STOCK[[#This Row],[Stock Actual]]*STOCK[[#This Row],[Costo total]]</f>
        <v>0</v>
      </c>
    </row>
    <row r="1048" s="53" customFormat="1" ht="50" customHeight="1" spans="1:28">
      <c r="A1048" s="53" t="s">
        <v>2169</v>
      </c>
      <c r="B1048" s="66"/>
      <c r="C1048" s="53" t="s">
        <v>32</v>
      </c>
      <c r="D1048" s="53" t="s">
        <v>2127</v>
      </c>
      <c r="E1048" s="67" t="s">
        <v>2170</v>
      </c>
      <c r="F1048" s="53" t="s">
        <v>46</v>
      </c>
      <c r="G1048" s="53" t="s">
        <v>1876</v>
      </c>
      <c r="H1048" s="53">
        <f>STOCK[[#This Row],[Precio Final]]</f>
        <v>18</v>
      </c>
      <c r="I1048" s="53">
        <f>STOCK[[#This Row],[Precio Venta Ideal (x1.5)]]</f>
        <v>11.865</v>
      </c>
      <c r="J1048" s="71">
        <v>2</v>
      </c>
      <c r="K1048" s="71">
        <f>SUMIFS(VENTAS[Cantidad],VENTAS[Código del producto Vendido],STOCK[[#This Row],[Code]])</f>
        <v>1</v>
      </c>
      <c r="L1048" s="71">
        <f>STOCK[[#This Row],[Entradas]]-STOCK[[#This Row],[Salidas]]</f>
        <v>1</v>
      </c>
      <c r="M1048" s="53">
        <f>STOCK[[#This Row],[Precio Final]]*10%</f>
        <v>1.8</v>
      </c>
      <c r="N1048" s="53">
        <v>0</v>
      </c>
      <c r="O1048" s="53">
        <v>0</v>
      </c>
      <c r="P1048" s="53">
        <v>5.51</v>
      </c>
      <c r="Q1048" s="71">
        <v>0</v>
      </c>
      <c r="R1048" s="53">
        <v>0</v>
      </c>
      <c r="S1048" s="53">
        <v>0.6</v>
      </c>
      <c r="T1048" s="53">
        <f>STOCK[[#This Row],[Costo Unitario (USD)]]+STOCK[[#This Row],[Costo Envío (USD)]]+STOCK[[#This Row],[Comisión 10%]]</f>
        <v>7.91</v>
      </c>
      <c r="U1048" s="53">
        <f>STOCK[[#This Row],[Costo total]]*1.5</f>
        <v>11.865</v>
      </c>
      <c r="V1048" s="53">
        <v>18</v>
      </c>
      <c r="W1048" s="53">
        <f>STOCK[[#This Row],[Precio Final]]-STOCK[[#This Row],[Costo total]]</f>
        <v>10.09</v>
      </c>
      <c r="X1048" s="53">
        <f>STOCK[[#This Row],[Ganancia Unitaria]]*STOCK[[#This Row],[Salidas]]</f>
        <v>10.09</v>
      </c>
      <c r="Y1048" s="53" t="s">
        <v>2171</v>
      </c>
      <c r="AA1048" s="54">
        <f>STOCK[[#This Row],[Costo total]]*STOCK[[#This Row],[Entradas]]</f>
        <v>15.82</v>
      </c>
      <c r="AB1048" s="54">
        <f>STOCK[[#This Row],[Stock Actual]]*STOCK[[#This Row],[Costo total]]</f>
        <v>7.91</v>
      </c>
    </row>
    <row r="1049" s="54" customFormat="1" ht="50" customHeight="1" spans="1:28">
      <c r="A1049" s="54" t="s">
        <v>2172</v>
      </c>
      <c r="B1049" s="66"/>
      <c r="C1049" s="54" t="s">
        <v>32</v>
      </c>
      <c r="D1049" s="54" t="s">
        <v>2127</v>
      </c>
      <c r="E1049" s="68" t="s">
        <v>2170</v>
      </c>
      <c r="F1049" s="54" t="s">
        <v>49</v>
      </c>
      <c r="G1049" s="54" t="s">
        <v>1876</v>
      </c>
      <c r="H1049" s="54">
        <f>STOCK[[#This Row],[Precio Final]]</f>
        <v>18</v>
      </c>
      <c r="I1049" s="54">
        <f>STOCK[[#This Row],[Precio Venta Ideal (x1.5)]]</f>
        <v>11.865</v>
      </c>
      <c r="J1049" s="72">
        <v>2</v>
      </c>
      <c r="K1049" s="72">
        <f>SUMIFS(VENTAS[Cantidad],VENTAS[Código del producto Vendido],STOCK[[#This Row],[Code]])</f>
        <v>2</v>
      </c>
      <c r="L1049" s="72">
        <f>STOCK[[#This Row],[Entradas]]-STOCK[[#This Row],[Salidas]]</f>
        <v>0</v>
      </c>
      <c r="M1049" s="54">
        <f>STOCK[[#This Row],[Precio Final]]*10%</f>
        <v>1.8</v>
      </c>
      <c r="N1049" s="54">
        <v>0</v>
      </c>
      <c r="O1049" s="54">
        <v>0</v>
      </c>
      <c r="P1049" s="54">
        <v>5.51</v>
      </c>
      <c r="Q1049" s="72">
        <v>0</v>
      </c>
      <c r="R1049" s="54">
        <v>0</v>
      </c>
      <c r="S1049" s="54">
        <v>0.6</v>
      </c>
      <c r="T1049" s="53">
        <f>STOCK[[#This Row],[Costo Unitario (USD)]]+STOCK[[#This Row],[Costo Envío (USD)]]+STOCK[[#This Row],[Comisión 10%]]</f>
        <v>7.91</v>
      </c>
      <c r="U1049" s="54">
        <f>STOCK[[#This Row],[Costo total]]*1.5</f>
        <v>11.865</v>
      </c>
      <c r="V1049" s="54">
        <v>18</v>
      </c>
      <c r="W1049" s="54">
        <f>STOCK[[#This Row],[Precio Final]]-STOCK[[#This Row],[Costo total]]</f>
        <v>10.09</v>
      </c>
      <c r="X1049" s="54">
        <f>STOCK[[#This Row],[Ganancia Unitaria]]*STOCK[[#This Row],[Salidas]]</f>
        <v>20.18</v>
      </c>
      <c r="Y1049" s="54" t="s">
        <v>2173</v>
      </c>
      <c r="AA1049" s="54">
        <f>STOCK[[#This Row],[Costo total]]*STOCK[[#This Row],[Entradas]]</f>
        <v>15.82</v>
      </c>
      <c r="AB1049" s="54">
        <f>STOCK[[#This Row],[Stock Actual]]*STOCK[[#This Row],[Costo total]]</f>
        <v>0</v>
      </c>
    </row>
    <row r="1050" s="53" customFormat="1" ht="50" customHeight="1" spans="1:28">
      <c r="A1050" s="53" t="s">
        <v>2174</v>
      </c>
      <c r="B1050" s="66"/>
      <c r="C1050" s="53" t="s">
        <v>32</v>
      </c>
      <c r="D1050" s="53" t="s">
        <v>2127</v>
      </c>
      <c r="E1050" s="67" t="s">
        <v>2170</v>
      </c>
      <c r="F1050" s="53" t="s">
        <v>62</v>
      </c>
      <c r="G1050" s="53" t="s">
        <v>1876</v>
      </c>
      <c r="H1050" s="53">
        <f>STOCK[[#This Row],[Precio Final]]</f>
        <v>18</v>
      </c>
      <c r="I1050" s="53">
        <f>STOCK[[#This Row],[Precio Venta Ideal (x1.5)]]</f>
        <v>11.865</v>
      </c>
      <c r="J1050" s="71">
        <v>2</v>
      </c>
      <c r="K1050" s="71">
        <f>SUMIFS(VENTAS[Cantidad],VENTAS[Código del producto Vendido],STOCK[[#This Row],[Code]])</f>
        <v>2</v>
      </c>
      <c r="L1050" s="71">
        <f>STOCK[[#This Row],[Entradas]]-STOCK[[#This Row],[Salidas]]</f>
        <v>0</v>
      </c>
      <c r="M1050" s="53">
        <f>STOCK[[#This Row],[Precio Final]]*10%</f>
        <v>1.8</v>
      </c>
      <c r="N1050" s="53">
        <v>0</v>
      </c>
      <c r="O1050" s="53">
        <v>0</v>
      </c>
      <c r="P1050" s="53">
        <v>5.51</v>
      </c>
      <c r="Q1050" s="71">
        <v>0</v>
      </c>
      <c r="R1050" s="53">
        <v>0</v>
      </c>
      <c r="S1050" s="53">
        <v>0.6</v>
      </c>
      <c r="T1050" s="53">
        <f>STOCK[[#This Row],[Costo Unitario (USD)]]+STOCK[[#This Row],[Costo Envío (USD)]]+STOCK[[#This Row],[Comisión 10%]]</f>
        <v>7.91</v>
      </c>
      <c r="U1050" s="53">
        <f>STOCK[[#This Row],[Costo total]]*1.5</f>
        <v>11.865</v>
      </c>
      <c r="V1050" s="53">
        <v>18</v>
      </c>
      <c r="W1050" s="53">
        <f>STOCK[[#This Row],[Precio Final]]-STOCK[[#This Row],[Costo total]]</f>
        <v>10.09</v>
      </c>
      <c r="X1050" s="53">
        <f>STOCK[[#This Row],[Ganancia Unitaria]]*STOCK[[#This Row],[Salidas]]</f>
        <v>20.18</v>
      </c>
      <c r="Y1050" s="53" t="s">
        <v>2175</v>
      </c>
      <c r="AA1050" s="54">
        <f>STOCK[[#This Row],[Costo total]]*STOCK[[#This Row],[Entradas]]</f>
        <v>15.82</v>
      </c>
      <c r="AB1050" s="54">
        <f>STOCK[[#This Row],[Stock Actual]]*STOCK[[#This Row],[Costo total]]</f>
        <v>0</v>
      </c>
    </row>
    <row r="1051" s="54" customFormat="1" ht="50" customHeight="1" spans="1:28">
      <c r="A1051" s="54" t="s">
        <v>2176</v>
      </c>
      <c r="B1051" s="66"/>
      <c r="C1051" s="54" t="s">
        <v>32</v>
      </c>
      <c r="D1051" s="54" t="s">
        <v>2127</v>
      </c>
      <c r="E1051" s="68" t="s">
        <v>2177</v>
      </c>
      <c r="F1051" s="54" t="s">
        <v>46</v>
      </c>
      <c r="G1051" s="54" t="s">
        <v>1876</v>
      </c>
      <c r="H1051" s="54">
        <f>STOCK[[#This Row],[Precio Final]]</f>
        <v>18</v>
      </c>
      <c r="I1051" s="54">
        <f>STOCK[[#This Row],[Precio Venta Ideal (x1.5)]]</f>
        <v>9.345</v>
      </c>
      <c r="J1051" s="72">
        <v>2</v>
      </c>
      <c r="K1051" s="72">
        <f>SUMIFS(VENTAS[Cantidad],VENTAS[Código del producto Vendido],STOCK[[#This Row],[Code]])</f>
        <v>2</v>
      </c>
      <c r="L1051" s="72">
        <f>STOCK[[#This Row],[Entradas]]-STOCK[[#This Row],[Salidas]]</f>
        <v>0</v>
      </c>
      <c r="M1051" s="54">
        <f>STOCK[[#This Row],[Precio Final]]*10%</f>
        <v>1.8</v>
      </c>
      <c r="N1051" s="54">
        <v>0</v>
      </c>
      <c r="O1051" s="54">
        <v>0</v>
      </c>
      <c r="P1051" s="54">
        <v>3.83</v>
      </c>
      <c r="Q1051" s="72">
        <v>0</v>
      </c>
      <c r="R1051" s="54">
        <v>0</v>
      </c>
      <c r="S1051" s="54">
        <v>0.6</v>
      </c>
      <c r="T1051" s="53">
        <f>STOCK[[#This Row],[Costo Unitario (USD)]]+STOCK[[#This Row],[Costo Envío (USD)]]+STOCK[[#This Row],[Comisión 10%]]</f>
        <v>6.23</v>
      </c>
      <c r="U1051" s="54">
        <f>STOCK[[#This Row],[Costo total]]*1.5</f>
        <v>9.345</v>
      </c>
      <c r="V1051" s="54">
        <v>18</v>
      </c>
      <c r="W1051" s="54">
        <f>STOCK[[#This Row],[Precio Final]]-STOCK[[#This Row],[Costo total]]</f>
        <v>11.77</v>
      </c>
      <c r="X1051" s="54">
        <f>STOCK[[#This Row],[Ganancia Unitaria]]*STOCK[[#This Row],[Salidas]]</f>
        <v>23.54</v>
      </c>
      <c r="Y1051" s="54" t="s">
        <v>2178</v>
      </c>
      <c r="AA1051" s="54">
        <f>STOCK[[#This Row],[Costo total]]*STOCK[[#This Row],[Entradas]]</f>
        <v>12.46</v>
      </c>
      <c r="AB1051" s="54">
        <f>STOCK[[#This Row],[Stock Actual]]*STOCK[[#This Row],[Costo total]]</f>
        <v>0</v>
      </c>
    </row>
    <row r="1052" s="53" customFormat="1" ht="50" customHeight="1" spans="1:28">
      <c r="A1052" s="53" t="s">
        <v>2179</v>
      </c>
      <c r="B1052" s="66"/>
      <c r="C1052" s="53" t="s">
        <v>32</v>
      </c>
      <c r="D1052" s="54" t="s">
        <v>38</v>
      </c>
      <c r="E1052" s="67" t="s">
        <v>2180</v>
      </c>
      <c r="F1052" s="53" t="s">
        <v>46</v>
      </c>
      <c r="G1052" s="53" t="s">
        <v>1876</v>
      </c>
      <c r="H1052" s="53">
        <f>STOCK[[#This Row],[Precio Final]]</f>
        <v>20</v>
      </c>
      <c r="I1052" s="53">
        <f>STOCK[[#This Row],[Precio Venta Ideal (x1.5)]]</f>
        <v>12.93</v>
      </c>
      <c r="J1052" s="71">
        <v>1</v>
      </c>
      <c r="K1052" s="71">
        <f>SUMIFS(VENTAS[Cantidad],VENTAS[Código del producto Vendido],STOCK[[#This Row],[Code]])</f>
        <v>1</v>
      </c>
      <c r="L1052" s="71">
        <f>STOCK[[#This Row],[Entradas]]-STOCK[[#This Row],[Salidas]]</f>
        <v>0</v>
      </c>
      <c r="M1052" s="53">
        <f>STOCK[[#This Row],[Precio Final]]*10%</f>
        <v>2</v>
      </c>
      <c r="N1052" s="53">
        <v>0</v>
      </c>
      <c r="O1052" s="53">
        <v>0</v>
      </c>
      <c r="P1052" s="53">
        <v>6.02</v>
      </c>
      <c r="Q1052" s="71">
        <v>0</v>
      </c>
      <c r="R1052" s="53">
        <v>0</v>
      </c>
      <c r="S1052" s="53">
        <v>0.6</v>
      </c>
      <c r="T1052" s="53">
        <f>STOCK[[#This Row],[Costo Unitario (USD)]]+STOCK[[#This Row],[Costo Envío (USD)]]+STOCK[[#This Row],[Comisión 10%]]</f>
        <v>8.62</v>
      </c>
      <c r="U1052" s="53">
        <f>STOCK[[#This Row],[Costo total]]*1.5</f>
        <v>12.93</v>
      </c>
      <c r="V1052" s="53">
        <v>20</v>
      </c>
      <c r="W1052" s="53">
        <f>STOCK[[#This Row],[Precio Final]]-STOCK[[#This Row],[Costo total]]</f>
        <v>11.38</v>
      </c>
      <c r="X1052" s="53">
        <f>STOCK[[#This Row],[Ganancia Unitaria]]*STOCK[[#This Row],[Salidas]]</f>
        <v>11.38</v>
      </c>
      <c r="Y1052" s="53" t="s">
        <v>2181</v>
      </c>
      <c r="AA1052" s="54">
        <f>STOCK[[#This Row],[Costo total]]*STOCK[[#This Row],[Entradas]]</f>
        <v>8.62</v>
      </c>
      <c r="AB1052" s="54">
        <f>STOCK[[#This Row],[Stock Actual]]*STOCK[[#This Row],[Costo total]]</f>
        <v>0</v>
      </c>
    </row>
    <row r="1053" s="54" customFormat="1" ht="50" customHeight="1" spans="1:28">
      <c r="A1053" s="54" t="s">
        <v>2182</v>
      </c>
      <c r="B1053" s="66"/>
      <c r="C1053" s="54" t="s">
        <v>32</v>
      </c>
      <c r="D1053" s="54" t="s">
        <v>38</v>
      </c>
      <c r="E1053" s="68" t="s">
        <v>2180</v>
      </c>
      <c r="F1053" s="54" t="s">
        <v>49</v>
      </c>
      <c r="G1053" s="54" t="s">
        <v>1876</v>
      </c>
      <c r="H1053" s="54">
        <f>STOCK[[#This Row],[Precio Final]]</f>
        <v>20</v>
      </c>
      <c r="I1053" s="54">
        <f>STOCK[[#This Row],[Precio Venta Ideal (x1.5)]]</f>
        <v>12.93</v>
      </c>
      <c r="J1053" s="72">
        <v>2</v>
      </c>
      <c r="K1053" s="72">
        <f>SUMIFS(VENTAS[Cantidad],VENTAS[Código del producto Vendido],STOCK[[#This Row],[Code]])</f>
        <v>2</v>
      </c>
      <c r="L1053" s="72">
        <f>STOCK[[#This Row],[Entradas]]-STOCK[[#This Row],[Salidas]]</f>
        <v>0</v>
      </c>
      <c r="M1053" s="54">
        <f>STOCK[[#This Row],[Precio Final]]*10%</f>
        <v>2</v>
      </c>
      <c r="N1053" s="54">
        <v>0</v>
      </c>
      <c r="O1053" s="54">
        <v>0</v>
      </c>
      <c r="P1053" s="54">
        <v>6.02</v>
      </c>
      <c r="Q1053" s="72">
        <v>0</v>
      </c>
      <c r="R1053" s="54">
        <v>0</v>
      </c>
      <c r="S1053" s="54">
        <v>0.6</v>
      </c>
      <c r="T1053" s="53">
        <f>STOCK[[#This Row],[Costo Unitario (USD)]]+STOCK[[#This Row],[Costo Envío (USD)]]+STOCK[[#This Row],[Comisión 10%]]</f>
        <v>8.62</v>
      </c>
      <c r="U1053" s="54">
        <f>STOCK[[#This Row],[Costo total]]*1.5</f>
        <v>12.93</v>
      </c>
      <c r="V1053" s="54">
        <v>20</v>
      </c>
      <c r="W1053" s="54">
        <f>STOCK[[#This Row],[Precio Final]]-STOCK[[#This Row],[Costo total]]</f>
        <v>11.38</v>
      </c>
      <c r="X1053" s="54">
        <f>STOCK[[#This Row],[Ganancia Unitaria]]*STOCK[[#This Row],[Salidas]]</f>
        <v>22.76</v>
      </c>
      <c r="Y1053" s="54" t="s">
        <v>2183</v>
      </c>
      <c r="AA1053" s="54">
        <f>STOCK[[#This Row],[Costo total]]*STOCK[[#This Row],[Entradas]]</f>
        <v>17.24</v>
      </c>
      <c r="AB1053" s="54">
        <f>STOCK[[#This Row],[Stock Actual]]*STOCK[[#This Row],[Costo total]]</f>
        <v>0</v>
      </c>
    </row>
    <row r="1054" s="53" customFormat="1" ht="50" customHeight="1" spans="1:28">
      <c r="A1054" s="53" t="s">
        <v>2184</v>
      </c>
      <c r="B1054" s="66"/>
      <c r="C1054" s="53" t="s">
        <v>32</v>
      </c>
      <c r="D1054" s="54" t="s">
        <v>38</v>
      </c>
      <c r="E1054" s="67" t="s">
        <v>2180</v>
      </c>
      <c r="F1054" s="53" t="s">
        <v>62</v>
      </c>
      <c r="G1054" s="53" t="s">
        <v>1876</v>
      </c>
      <c r="H1054" s="53">
        <f>STOCK[[#This Row],[Precio Final]]</f>
        <v>20</v>
      </c>
      <c r="I1054" s="53">
        <f>STOCK[[#This Row],[Precio Venta Ideal (x1.5)]]</f>
        <v>12.93</v>
      </c>
      <c r="J1054" s="71">
        <v>2</v>
      </c>
      <c r="K1054" s="71">
        <f>SUMIFS(VENTAS[Cantidad],VENTAS[Código del producto Vendido],STOCK[[#This Row],[Code]])</f>
        <v>2</v>
      </c>
      <c r="L1054" s="71">
        <f>STOCK[[#This Row],[Entradas]]-STOCK[[#This Row],[Salidas]]</f>
        <v>0</v>
      </c>
      <c r="M1054" s="53">
        <f>STOCK[[#This Row],[Precio Final]]*10%</f>
        <v>2</v>
      </c>
      <c r="N1054" s="53">
        <v>0</v>
      </c>
      <c r="O1054" s="53">
        <v>0</v>
      </c>
      <c r="P1054" s="53">
        <v>6.02</v>
      </c>
      <c r="Q1054" s="71">
        <v>0</v>
      </c>
      <c r="R1054" s="53">
        <v>0</v>
      </c>
      <c r="S1054" s="53">
        <v>0.6</v>
      </c>
      <c r="T1054" s="53">
        <f>STOCK[[#This Row],[Costo Unitario (USD)]]+STOCK[[#This Row],[Costo Envío (USD)]]+STOCK[[#This Row],[Comisión 10%]]</f>
        <v>8.62</v>
      </c>
      <c r="U1054" s="53">
        <f>STOCK[[#This Row],[Costo total]]*1.5</f>
        <v>12.93</v>
      </c>
      <c r="V1054" s="53">
        <v>20</v>
      </c>
      <c r="W1054" s="53">
        <f>STOCK[[#This Row],[Precio Final]]-STOCK[[#This Row],[Costo total]]</f>
        <v>11.38</v>
      </c>
      <c r="X1054" s="53">
        <f>STOCK[[#This Row],[Ganancia Unitaria]]*STOCK[[#This Row],[Salidas]]</f>
        <v>22.76</v>
      </c>
      <c r="Y1054" s="53" t="s">
        <v>2185</v>
      </c>
      <c r="AA1054" s="54">
        <f>STOCK[[#This Row],[Costo total]]*STOCK[[#This Row],[Entradas]]</f>
        <v>17.24</v>
      </c>
      <c r="AB1054" s="54">
        <f>STOCK[[#This Row],[Stock Actual]]*STOCK[[#This Row],[Costo total]]</f>
        <v>0</v>
      </c>
    </row>
    <row r="1055" s="54" customFormat="1" ht="50" customHeight="1" spans="1:28">
      <c r="A1055" s="54" t="s">
        <v>2186</v>
      </c>
      <c r="B1055" s="66"/>
      <c r="C1055" s="54" t="s">
        <v>32</v>
      </c>
      <c r="D1055" s="54" t="s">
        <v>38</v>
      </c>
      <c r="E1055" s="68" t="s">
        <v>2180</v>
      </c>
      <c r="F1055" s="54" t="s">
        <v>40</v>
      </c>
      <c r="G1055" s="54" t="s">
        <v>1876</v>
      </c>
      <c r="H1055" s="54">
        <f>STOCK[[#This Row],[Precio Final]]</f>
        <v>20</v>
      </c>
      <c r="I1055" s="54">
        <f>STOCK[[#This Row],[Precio Venta Ideal (x1.5)]]</f>
        <v>12.93</v>
      </c>
      <c r="J1055" s="72">
        <v>2</v>
      </c>
      <c r="K1055" s="72">
        <f>SUMIFS(VENTAS[Cantidad],VENTAS[Código del producto Vendido],STOCK[[#This Row],[Code]])</f>
        <v>2</v>
      </c>
      <c r="L1055" s="72">
        <f>STOCK[[#This Row],[Entradas]]-STOCK[[#This Row],[Salidas]]</f>
        <v>0</v>
      </c>
      <c r="M1055" s="54">
        <f>STOCK[[#This Row],[Precio Final]]*10%</f>
        <v>2</v>
      </c>
      <c r="N1055" s="54">
        <v>0</v>
      </c>
      <c r="O1055" s="54">
        <v>0</v>
      </c>
      <c r="P1055" s="54">
        <v>6.02</v>
      </c>
      <c r="Q1055" s="72">
        <v>0</v>
      </c>
      <c r="R1055" s="54">
        <v>0</v>
      </c>
      <c r="S1055" s="54">
        <v>0.6</v>
      </c>
      <c r="T1055" s="53">
        <f>STOCK[[#This Row],[Costo Unitario (USD)]]+STOCK[[#This Row],[Costo Envío (USD)]]+STOCK[[#This Row],[Comisión 10%]]</f>
        <v>8.62</v>
      </c>
      <c r="U1055" s="54">
        <f>STOCK[[#This Row],[Costo total]]*1.5</f>
        <v>12.93</v>
      </c>
      <c r="V1055" s="54">
        <v>20</v>
      </c>
      <c r="W1055" s="54">
        <f>STOCK[[#This Row],[Precio Final]]-STOCK[[#This Row],[Costo total]]</f>
        <v>11.38</v>
      </c>
      <c r="X1055" s="54">
        <f>STOCK[[#This Row],[Ganancia Unitaria]]*STOCK[[#This Row],[Salidas]]</f>
        <v>22.76</v>
      </c>
      <c r="Y1055" s="54" t="s">
        <v>2187</v>
      </c>
      <c r="AA1055" s="54">
        <f>STOCK[[#This Row],[Costo total]]*STOCK[[#This Row],[Entradas]]</f>
        <v>17.24</v>
      </c>
      <c r="AB1055" s="54">
        <f>STOCK[[#This Row],[Stock Actual]]*STOCK[[#This Row],[Costo total]]</f>
        <v>0</v>
      </c>
    </row>
    <row r="1056" s="53" customFormat="1" ht="50" customHeight="1" spans="1:28">
      <c r="A1056" s="53" t="s">
        <v>2188</v>
      </c>
      <c r="B1056" s="66"/>
      <c r="C1056" s="53" t="s">
        <v>32</v>
      </c>
      <c r="D1056" s="53" t="s">
        <v>2133</v>
      </c>
      <c r="E1056" s="67" t="s">
        <v>2189</v>
      </c>
      <c r="F1056" s="53" t="s">
        <v>46</v>
      </c>
      <c r="G1056" s="53" t="s">
        <v>1876</v>
      </c>
      <c r="H1056" s="53">
        <f>STOCK[[#This Row],[Precio Final]]</f>
        <v>25</v>
      </c>
      <c r="I1056" s="53">
        <f>STOCK[[#This Row],[Precio Venta Ideal (x1.5)]]</f>
        <v>22.47</v>
      </c>
      <c r="J1056" s="71">
        <v>2</v>
      </c>
      <c r="K1056" s="71">
        <f>SUMIFS(VENTAS[Cantidad],VENTAS[Código del producto Vendido],STOCK[[#This Row],[Code]])</f>
        <v>1</v>
      </c>
      <c r="L1056" s="71">
        <f>STOCK[[#This Row],[Entradas]]-STOCK[[#This Row],[Salidas]]</f>
        <v>1</v>
      </c>
      <c r="M1056" s="53">
        <f>STOCK[[#This Row],[Precio Final]]*10%</f>
        <v>2.5</v>
      </c>
      <c r="N1056" s="53">
        <v>0</v>
      </c>
      <c r="O1056" s="53">
        <v>0</v>
      </c>
      <c r="P1056" s="53">
        <v>11.88</v>
      </c>
      <c r="Q1056" s="71">
        <v>0</v>
      </c>
      <c r="R1056" s="53">
        <v>0</v>
      </c>
      <c r="S1056" s="53">
        <v>0.6</v>
      </c>
      <c r="T1056" s="53">
        <f>STOCK[[#This Row],[Costo Unitario (USD)]]+STOCK[[#This Row],[Costo Envío (USD)]]+STOCK[[#This Row],[Comisión 10%]]</f>
        <v>14.98</v>
      </c>
      <c r="U1056" s="53">
        <f>STOCK[[#This Row],[Costo total]]*1.5</f>
        <v>22.47</v>
      </c>
      <c r="V1056" s="53">
        <v>25</v>
      </c>
      <c r="W1056" s="53">
        <f>STOCK[[#This Row],[Precio Final]]-STOCK[[#This Row],[Costo total]]</f>
        <v>10.02</v>
      </c>
      <c r="X1056" s="53">
        <f>STOCK[[#This Row],[Ganancia Unitaria]]*STOCK[[#This Row],[Salidas]]</f>
        <v>10.02</v>
      </c>
      <c r="Y1056" s="53" t="s">
        <v>2190</v>
      </c>
      <c r="AA1056" s="54">
        <f>STOCK[[#This Row],[Costo total]]*STOCK[[#This Row],[Entradas]]</f>
        <v>29.96</v>
      </c>
      <c r="AB1056" s="54">
        <f>STOCK[[#This Row],[Stock Actual]]*STOCK[[#This Row],[Costo total]]</f>
        <v>14.98</v>
      </c>
    </row>
    <row r="1057" s="54" customFormat="1" ht="50" customHeight="1" spans="1:28">
      <c r="A1057" s="54" t="s">
        <v>2191</v>
      </c>
      <c r="B1057" s="66"/>
      <c r="C1057" s="54" t="s">
        <v>32</v>
      </c>
      <c r="D1057" s="54" t="s">
        <v>2133</v>
      </c>
      <c r="E1057" s="68" t="s">
        <v>2189</v>
      </c>
      <c r="F1057" s="54" t="s">
        <v>49</v>
      </c>
      <c r="G1057" s="54" t="s">
        <v>1876</v>
      </c>
      <c r="H1057" s="54">
        <f>STOCK[[#This Row],[Precio Final]]</f>
        <v>25</v>
      </c>
      <c r="I1057" s="54">
        <f>STOCK[[#This Row],[Precio Venta Ideal (x1.5)]]</f>
        <v>22.47</v>
      </c>
      <c r="J1057" s="72">
        <v>2</v>
      </c>
      <c r="K1057" s="72">
        <f>SUMIFS(VENTAS[Cantidad],VENTAS[Código del producto Vendido],STOCK[[#This Row],[Code]])</f>
        <v>1</v>
      </c>
      <c r="L1057" s="72">
        <f>STOCK[[#This Row],[Entradas]]-STOCK[[#This Row],[Salidas]]</f>
        <v>1</v>
      </c>
      <c r="M1057" s="54">
        <f>STOCK[[#This Row],[Precio Final]]*10%</f>
        <v>2.5</v>
      </c>
      <c r="N1057" s="54">
        <v>0</v>
      </c>
      <c r="O1057" s="54">
        <v>0</v>
      </c>
      <c r="P1057" s="54">
        <v>11.88</v>
      </c>
      <c r="Q1057" s="72">
        <v>0</v>
      </c>
      <c r="R1057" s="54">
        <v>0</v>
      </c>
      <c r="S1057" s="54">
        <v>0.6</v>
      </c>
      <c r="T1057" s="53">
        <f>STOCK[[#This Row],[Costo Unitario (USD)]]+STOCK[[#This Row],[Costo Envío (USD)]]+STOCK[[#This Row],[Comisión 10%]]</f>
        <v>14.98</v>
      </c>
      <c r="U1057" s="54">
        <f>STOCK[[#This Row],[Costo total]]*1.5</f>
        <v>22.47</v>
      </c>
      <c r="V1057" s="54">
        <v>25</v>
      </c>
      <c r="W1057" s="54">
        <f>STOCK[[#This Row],[Precio Final]]-STOCK[[#This Row],[Costo total]]</f>
        <v>10.02</v>
      </c>
      <c r="X1057" s="54">
        <f>STOCK[[#This Row],[Ganancia Unitaria]]*STOCK[[#This Row],[Salidas]]</f>
        <v>10.02</v>
      </c>
      <c r="Y1057" s="54" t="s">
        <v>2192</v>
      </c>
      <c r="AA1057" s="54">
        <f>STOCK[[#This Row],[Costo total]]*STOCK[[#This Row],[Entradas]]</f>
        <v>29.96</v>
      </c>
      <c r="AB1057" s="54">
        <f>STOCK[[#This Row],[Stock Actual]]*STOCK[[#This Row],[Costo total]]</f>
        <v>14.98</v>
      </c>
    </row>
    <row r="1058" s="53" customFormat="1" ht="50" customHeight="1" spans="1:28">
      <c r="A1058" s="53" t="s">
        <v>2193</v>
      </c>
      <c r="B1058" s="66"/>
      <c r="C1058" s="53" t="s">
        <v>32</v>
      </c>
      <c r="D1058" s="54" t="s">
        <v>38</v>
      </c>
      <c r="E1058" s="67" t="s">
        <v>2124</v>
      </c>
      <c r="F1058" s="53" t="s">
        <v>49</v>
      </c>
      <c r="G1058" s="53" t="s">
        <v>1876</v>
      </c>
      <c r="H1058" s="53">
        <f>STOCK[[#This Row],[Precio Final]]</f>
        <v>25</v>
      </c>
      <c r="I1058" s="53">
        <f>STOCK[[#This Row],[Precio Venta Ideal (x1.5)]]</f>
        <v>20.565</v>
      </c>
      <c r="J1058" s="71">
        <v>1</v>
      </c>
      <c r="K1058" s="71">
        <f>SUMIFS(VENTAS[Cantidad],VENTAS[Código del producto Vendido],STOCK[[#This Row],[Code]])</f>
        <v>1</v>
      </c>
      <c r="L1058" s="71">
        <f>STOCK[[#This Row],[Entradas]]-STOCK[[#This Row],[Salidas]]</f>
        <v>0</v>
      </c>
      <c r="M1058" s="53">
        <f>STOCK[[#This Row],[Precio Final]]*10%</f>
        <v>2.5</v>
      </c>
      <c r="N1058" s="53">
        <v>0</v>
      </c>
      <c r="O1058" s="53">
        <v>0</v>
      </c>
      <c r="P1058" s="53">
        <v>10.61</v>
      </c>
      <c r="Q1058" s="71">
        <v>0</v>
      </c>
      <c r="R1058" s="53">
        <v>0</v>
      </c>
      <c r="S1058" s="53">
        <v>0.6</v>
      </c>
      <c r="T1058" s="53">
        <f>STOCK[[#This Row],[Costo Unitario (USD)]]+STOCK[[#This Row],[Costo Envío (USD)]]+STOCK[[#This Row],[Comisión 10%]]</f>
        <v>13.71</v>
      </c>
      <c r="U1058" s="53">
        <f>STOCK[[#This Row],[Costo total]]*1.5</f>
        <v>20.565</v>
      </c>
      <c r="V1058" s="53">
        <v>25</v>
      </c>
      <c r="W1058" s="53">
        <f>STOCK[[#This Row],[Precio Final]]-STOCK[[#This Row],[Costo total]]</f>
        <v>11.29</v>
      </c>
      <c r="X1058" s="53">
        <f>STOCK[[#This Row],[Ganancia Unitaria]]*STOCK[[#This Row],[Salidas]]</f>
        <v>11.29</v>
      </c>
      <c r="Y1058" s="53" t="s">
        <v>2194</v>
      </c>
      <c r="AA1058" s="54">
        <f>STOCK[[#This Row],[Costo total]]*STOCK[[#This Row],[Entradas]]</f>
        <v>13.71</v>
      </c>
      <c r="AB1058" s="54">
        <f>STOCK[[#This Row],[Stock Actual]]*STOCK[[#This Row],[Costo total]]</f>
        <v>0</v>
      </c>
    </row>
    <row r="1059" s="54" customFormat="1" ht="50" customHeight="1" spans="1:28">
      <c r="A1059" s="54" t="s">
        <v>2195</v>
      </c>
      <c r="B1059" s="66"/>
      <c r="C1059" s="54" t="s">
        <v>32</v>
      </c>
      <c r="D1059" s="54" t="s">
        <v>38</v>
      </c>
      <c r="E1059" s="68" t="s">
        <v>2196</v>
      </c>
      <c r="F1059" s="54" t="s">
        <v>46</v>
      </c>
      <c r="G1059" s="54" t="s">
        <v>1876</v>
      </c>
      <c r="H1059" s="54">
        <f>STOCK[[#This Row],[Precio Final]]</f>
        <v>20</v>
      </c>
      <c r="I1059" s="54">
        <f>STOCK[[#This Row],[Precio Venta Ideal (x1.5)]]</f>
        <v>15.57</v>
      </c>
      <c r="J1059" s="72">
        <v>1</v>
      </c>
      <c r="K1059" s="72">
        <f>SUMIFS(VENTAS[Cantidad],VENTAS[Código del producto Vendido],STOCK[[#This Row],[Code]])</f>
        <v>0</v>
      </c>
      <c r="L1059" s="72">
        <f>STOCK[[#This Row],[Entradas]]-STOCK[[#This Row],[Salidas]]</f>
        <v>1</v>
      </c>
      <c r="M1059" s="54">
        <f>STOCK[[#This Row],[Precio Final]]*10%</f>
        <v>2</v>
      </c>
      <c r="N1059" s="54">
        <v>0</v>
      </c>
      <c r="O1059" s="54">
        <v>0</v>
      </c>
      <c r="P1059" s="54">
        <v>7.78</v>
      </c>
      <c r="Q1059" s="72">
        <v>0</v>
      </c>
      <c r="R1059" s="54">
        <v>0</v>
      </c>
      <c r="S1059" s="54">
        <v>0.6</v>
      </c>
      <c r="T1059" s="53">
        <f>STOCK[[#This Row],[Costo Unitario (USD)]]+STOCK[[#This Row],[Costo Envío (USD)]]+STOCK[[#This Row],[Comisión 10%]]</f>
        <v>10.38</v>
      </c>
      <c r="U1059" s="54">
        <f>STOCK[[#This Row],[Costo total]]*1.5</f>
        <v>15.57</v>
      </c>
      <c r="V1059" s="54">
        <v>20</v>
      </c>
      <c r="W1059" s="54">
        <f>STOCK[[#This Row],[Precio Final]]-STOCK[[#This Row],[Costo total]]</f>
        <v>9.62</v>
      </c>
      <c r="X1059" s="54">
        <f>STOCK[[#This Row],[Ganancia Unitaria]]*STOCK[[#This Row],[Salidas]]</f>
        <v>0</v>
      </c>
      <c r="Y1059" s="54" t="s">
        <v>2197</v>
      </c>
      <c r="AA1059" s="54">
        <f>STOCK[[#This Row],[Costo total]]*STOCK[[#This Row],[Entradas]]</f>
        <v>10.38</v>
      </c>
      <c r="AB1059" s="54">
        <f>STOCK[[#This Row],[Stock Actual]]*STOCK[[#This Row],[Costo total]]</f>
        <v>10.38</v>
      </c>
    </row>
    <row r="1060" s="53" customFormat="1" ht="50" customHeight="1" spans="1:28">
      <c r="A1060" s="53" t="s">
        <v>2198</v>
      </c>
      <c r="B1060" s="66"/>
      <c r="C1060" s="53" t="s">
        <v>32</v>
      </c>
      <c r="D1060" s="54" t="s">
        <v>38</v>
      </c>
      <c r="E1060" s="67" t="s">
        <v>2196</v>
      </c>
      <c r="F1060" s="53" t="s">
        <v>49</v>
      </c>
      <c r="G1060" s="53" t="s">
        <v>1876</v>
      </c>
      <c r="H1060" s="53">
        <f>STOCK[[#This Row],[Precio Final]]</f>
        <v>20</v>
      </c>
      <c r="I1060" s="53">
        <f>STOCK[[#This Row],[Precio Venta Ideal (x1.5)]]</f>
        <v>15.57</v>
      </c>
      <c r="J1060" s="71">
        <v>1</v>
      </c>
      <c r="K1060" s="71">
        <f>SUMIFS(VENTAS[Cantidad],VENTAS[Código del producto Vendido],STOCK[[#This Row],[Code]])</f>
        <v>0</v>
      </c>
      <c r="L1060" s="71">
        <f>STOCK[[#This Row],[Entradas]]-STOCK[[#This Row],[Salidas]]</f>
        <v>1</v>
      </c>
      <c r="M1060" s="53">
        <f>STOCK[[#This Row],[Precio Final]]*10%</f>
        <v>2</v>
      </c>
      <c r="N1060" s="53">
        <v>0</v>
      </c>
      <c r="O1060" s="53">
        <v>0</v>
      </c>
      <c r="P1060" s="53">
        <v>7.78</v>
      </c>
      <c r="Q1060" s="71">
        <v>0</v>
      </c>
      <c r="R1060" s="53">
        <v>0</v>
      </c>
      <c r="S1060" s="53">
        <v>0.6</v>
      </c>
      <c r="T1060" s="53">
        <f>STOCK[[#This Row],[Costo Unitario (USD)]]+STOCK[[#This Row],[Costo Envío (USD)]]+STOCK[[#This Row],[Comisión 10%]]</f>
        <v>10.38</v>
      </c>
      <c r="U1060" s="53">
        <f>STOCK[[#This Row],[Costo total]]*1.5</f>
        <v>15.57</v>
      </c>
      <c r="V1060" s="53">
        <v>20</v>
      </c>
      <c r="W1060" s="53">
        <f>STOCK[[#This Row],[Precio Final]]-STOCK[[#This Row],[Costo total]]</f>
        <v>9.62</v>
      </c>
      <c r="X1060" s="53">
        <f>STOCK[[#This Row],[Ganancia Unitaria]]*STOCK[[#This Row],[Salidas]]</f>
        <v>0</v>
      </c>
      <c r="Y1060" s="53" t="s">
        <v>2199</v>
      </c>
      <c r="AA1060" s="54">
        <f>STOCK[[#This Row],[Costo total]]*STOCK[[#This Row],[Entradas]]</f>
        <v>10.38</v>
      </c>
      <c r="AB1060" s="54">
        <f>STOCK[[#This Row],[Stock Actual]]*STOCK[[#This Row],[Costo total]]</f>
        <v>10.38</v>
      </c>
    </row>
    <row r="1061" s="54" customFormat="1" ht="50" customHeight="1" spans="1:28">
      <c r="A1061" s="54" t="s">
        <v>2200</v>
      </c>
      <c r="B1061" s="66"/>
      <c r="C1061" s="54" t="s">
        <v>32</v>
      </c>
      <c r="D1061" s="54" t="s">
        <v>38</v>
      </c>
      <c r="E1061" s="68" t="s">
        <v>2196</v>
      </c>
      <c r="F1061" s="54" t="s">
        <v>62</v>
      </c>
      <c r="G1061" s="54" t="s">
        <v>1876</v>
      </c>
      <c r="H1061" s="54">
        <f>STOCK[[#This Row],[Precio Final]]</f>
        <v>20</v>
      </c>
      <c r="I1061" s="54">
        <f>STOCK[[#This Row],[Precio Venta Ideal (x1.5)]]</f>
        <v>15.57</v>
      </c>
      <c r="J1061" s="72">
        <v>1</v>
      </c>
      <c r="K1061" s="72">
        <f>SUMIFS(VENTAS[Cantidad],VENTAS[Código del producto Vendido],STOCK[[#This Row],[Code]])</f>
        <v>1</v>
      </c>
      <c r="L1061" s="72">
        <f>STOCK[[#This Row],[Entradas]]-STOCK[[#This Row],[Salidas]]</f>
        <v>0</v>
      </c>
      <c r="M1061" s="54">
        <f>STOCK[[#This Row],[Precio Final]]*10%</f>
        <v>2</v>
      </c>
      <c r="N1061" s="54">
        <v>0</v>
      </c>
      <c r="O1061" s="54">
        <v>0</v>
      </c>
      <c r="P1061" s="54">
        <v>7.78</v>
      </c>
      <c r="Q1061" s="72">
        <v>0</v>
      </c>
      <c r="R1061" s="54">
        <v>0</v>
      </c>
      <c r="S1061" s="54">
        <v>0.6</v>
      </c>
      <c r="T1061" s="53">
        <f>STOCK[[#This Row],[Costo Unitario (USD)]]+STOCK[[#This Row],[Costo Envío (USD)]]+STOCK[[#This Row],[Comisión 10%]]</f>
        <v>10.38</v>
      </c>
      <c r="U1061" s="54">
        <f>STOCK[[#This Row],[Costo total]]*1.5</f>
        <v>15.57</v>
      </c>
      <c r="V1061" s="54">
        <v>20</v>
      </c>
      <c r="W1061" s="54">
        <f>STOCK[[#This Row],[Precio Final]]-STOCK[[#This Row],[Costo total]]</f>
        <v>9.62</v>
      </c>
      <c r="X1061" s="54">
        <f>STOCK[[#This Row],[Ganancia Unitaria]]*STOCK[[#This Row],[Salidas]]</f>
        <v>9.62</v>
      </c>
      <c r="Y1061" s="54" t="s">
        <v>2201</v>
      </c>
      <c r="AA1061" s="54">
        <f>STOCK[[#This Row],[Costo total]]*STOCK[[#This Row],[Entradas]]</f>
        <v>10.38</v>
      </c>
      <c r="AB1061" s="54">
        <f>STOCK[[#This Row],[Stock Actual]]*STOCK[[#This Row],[Costo total]]</f>
        <v>0</v>
      </c>
    </row>
    <row r="1062" s="53" customFormat="1" ht="50" customHeight="1" spans="1:28">
      <c r="A1062" s="53" t="s">
        <v>2202</v>
      </c>
      <c r="B1062" s="66"/>
      <c r="C1062" s="53" t="s">
        <v>32</v>
      </c>
      <c r="D1062" s="53" t="s">
        <v>44</v>
      </c>
      <c r="E1062" s="67" t="s">
        <v>2203</v>
      </c>
      <c r="F1062" s="53" t="s">
        <v>62</v>
      </c>
      <c r="G1062" s="53" t="s">
        <v>1876</v>
      </c>
      <c r="H1062" s="53">
        <f>STOCK[[#This Row],[Precio Final]]</f>
        <v>30</v>
      </c>
      <c r="I1062" s="53">
        <f>STOCK[[#This Row],[Precio Venta Ideal (x1.5)]]</f>
        <v>26.985</v>
      </c>
      <c r="J1062" s="71">
        <v>1</v>
      </c>
      <c r="K1062" s="71">
        <f>SUMIFS(VENTAS[Cantidad],VENTAS[Código del producto Vendido],STOCK[[#This Row],[Code]])</f>
        <v>1</v>
      </c>
      <c r="L1062" s="71">
        <f>STOCK[[#This Row],[Entradas]]-STOCK[[#This Row],[Salidas]]</f>
        <v>0</v>
      </c>
      <c r="M1062" s="53">
        <f>STOCK[[#This Row],[Precio Final]]*10%</f>
        <v>3</v>
      </c>
      <c r="N1062" s="53">
        <v>0</v>
      </c>
      <c r="O1062" s="53">
        <v>0</v>
      </c>
      <c r="P1062" s="53">
        <v>14.39</v>
      </c>
      <c r="Q1062" s="71">
        <v>0</v>
      </c>
      <c r="R1062" s="53">
        <v>0</v>
      </c>
      <c r="S1062" s="53">
        <v>0.6</v>
      </c>
      <c r="T1062" s="53">
        <f>STOCK[[#This Row],[Costo Unitario (USD)]]+STOCK[[#This Row],[Costo Envío (USD)]]+STOCK[[#This Row],[Comisión 10%]]</f>
        <v>17.99</v>
      </c>
      <c r="U1062" s="53">
        <f>STOCK[[#This Row],[Costo total]]*1.5</f>
        <v>26.985</v>
      </c>
      <c r="V1062" s="53">
        <v>30</v>
      </c>
      <c r="W1062" s="53">
        <f>STOCK[[#This Row],[Precio Final]]-STOCK[[#This Row],[Costo total]]</f>
        <v>12.01</v>
      </c>
      <c r="X1062" s="53">
        <f>STOCK[[#This Row],[Ganancia Unitaria]]*STOCK[[#This Row],[Salidas]]</f>
        <v>12.01</v>
      </c>
      <c r="Y1062" s="53" t="s">
        <v>2204</v>
      </c>
      <c r="AA1062" s="54">
        <f>STOCK[[#This Row],[Costo total]]*STOCK[[#This Row],[Entradas]]</f>
        <v>17.99</v>
      </c>
      <c r="AB1062" s="54">
        <f>STOCK[[#This Row],[Stock Actual]]*STOCK[[#This Row],[Costo total]]</f>
        <v>0</v>
      </c>
    </row>
    <row r="1063" s="54" customFormat="1" ht="50" customHeight="1" spans="1:28">
      <c r="A1063" s="54" t="s">
        <v>2205</v>
      </c>
      <c r="B1063" s="66"/>
      <c r="C1063" s="54" t="s">
        <v>32</v>
      </c>
      <c r="D1063" s="54" t="s">
        <v>2118</v>
      </c>
      <c r="E1063" s="68" t="s">
        <v>2206</v>
      </c>
      <c r="F1063" s="54" t="s">
        <v>49</v>
      </c>
      <c r="G1063" s="54" t="s">
        <v>1876</v>
      </c>
      <c r="H1063" s="54">
        <f>STOCK[[#This Row],[Precio Final]]</f>
        <v>25</v>
      </c>
      <c r="I1063" s="54">
        <f>STOCK[[#This Row],[Precio Venta Ideal (x1.5)]]</f>
        <v>25.635</v>
      </c>
      <c r="J1063" s="72">
        <v>1</v>
      </c>
      <c r="K1063" s="72">
        <f>SUMIFS(VENTAS[Cantidad],VENTAS[Código del producto Vendido],STOCK[[#This Row],[Code]])</f>
        <v>1</v>
      </c>
      <c r="L1063" s="72">
        <f>STOCK[[#This Row],[Entradas]]-STOCK[[#This Row],[Salidas]]</f>
        <v>0</v>
      </c>
      <c r="M1063" s="54">
        <f>STOCK[[#This Row],[Precio Final]]*10%</f>
        <v>2.5</v>
      </c>
      <c r="N1063" s="54">
        <v>0</v>
      </c>
      <c r="O1063" s="54">
        <v>0</v>
      </c>
      <c r="P1063" s="54">
        <v>13.99</v>
      </c>
      <c r="Q1063" s="72">
        <v>0</v>
      </c>
      <c r="R1063" s="54">
        <v>0</v>
      </c>
      <c r="S1063" s="54">
        <v>0.6</v>
      </c>
      <c r="T1063" s="53">
        <f>STOCK[[#This Row],[Costo Unitario (USD)]]+STOCK[[#This Row],[Costo Envío (USD)]]+STOCK[[#This Row],[Comisión 10%]]</f>
        <v>17.09</v>
      </c>
      <c r="U1063" s="54">
        <f>STOCK[[#This Row],[Costo total]]*1.5</f>
        <v>25.635</v>
      </c>
      <c r="V1063" s="54">
        <v>25</v>
      </c>
      <c r="W1063" s="54">
        <f>STOCK[[#This Row],[Precio Final]]-STOCK[[#This Row],[Costo total]]</f>
        <v>7.91</v>
      </c>
      <c r="X1063" s="54">
        <f>STOCK[[#This Row],[Ganancia Unitaria]]*STOCK[[#This Row],[Salidas]]</f>
        <v>7.91</v>
      </c>
      <c r="Y1063" s="54" t="s">
        <v>2207</v>
      </c>
      <c r="AA1063" s="54">
        <f>STOCK[[#This Row],[Costo total]]*STOCK[[#This Row],[Entradas]]</f>
        <v>17.09</v>
      </c>
      <c r="AB1063" s="54">
        <f>STOCK[[#This Row],[Stock Actual]]*STOCK[[#This Row],[Costo total]]</f>
        <v>0</v>
      </c>
    </row>
    <row r="1064" s="53" customFormat="1" ht="50" customHeight="1" spans="1:28">
      <c r="A1064" s="53" t="s">
        <v>2208</v>
      </c>
      <c r="B1064" s="66"/>
      <c r="C1064" s="53" t="s">
        <v>32</v>
      </c>
      <c r="D1064" s="53" t="s">
        <v>2111</v>
      </c>
      <c r="E1064" s="67" t="s">
        <v>2209</v>
      </c>
      <c r="F1064" s="53" t="s">
        <v>1534</v>
      </c>
      <c r="G1064" s="53" t="s">
        <v>1876</v>
      </c>
      <c r="H1064" s="53">
        <f>STOCK[[#This Row],[Precio Final]]</f>
        <v>12</v>
      </c>
      <c r="I1064" s="53">
        <f>STOCK[[#This Row],[Precio Venta Ideal (x1.5)]]</f>
        <v>10.56</v>
      </c>
      <c r="J1064" s="71">
        <v>4</v>
      </c>
      <c r="K1064" s="71">
        <f>SUMIFS(VENTAS[Cantidad],VENTAS[Código del producto Vendido],STOCK[[#This Row],[Code]])</f>
        <v>2</v>
      </c>
      <c r="L1064" s="71">
        <f>STOCK[[#This Row],[Entradas]]-STOCK[[#This Row],[Salidas]]</f>
        <v>2</v>
      </c>
      <c r="M1064" s="53">
        <f>STOCK[[#This Row],[Precio Final]]*10%</f>
        <v>1.2</v>
      </c>
      <c r="N1064" s="53">
        <v>0</v>
      </c>
      <c r="O1064" s="53">
        <v>0</v>
      </c>
      <c r="P1064" s="53">
        <v>5.24</v>
      </c>
      <c r="Q1064" s="71">
        <v>0</v>
      </c>
      <c r="R1064" s="53">
        <v>0</v>
      </c>
      <c r="S1064" s="53">
        <v>0.6</v>
      </c>
      <c r="T1064" s="53">
        <f>STOCK[[#This Row],[Costo Unitario (USD)]]+STOCK[[#This Row],[Costo Envío (USD)]]+STOCK[[#This Row],[Comisión 10%]]</f>
        <v>7.04</v>
      </c>
      <c r="U1064" s="53">
        <f>STOCK[[#This Row],[Costo total]]*1.5</f>
        <v>10.56</v>
      </c>
      <c r="V1064" s="53">
        <v>12</v>
      </c>
      <c r="W1064" s="53">
        <f>STOCK[[#This Row],[Precio Final]]-STOCK[[#This Row],[Costo total]]</f>
        <v>4.96</v>
      </c>
      <c r="X1064" s="53">
        <f>STOCK[[#This Row],[Ganancia Unitaria]]*STOCK[[#This Row],[Salidas]]</f>
        <v>9.92</v>
      </c>
      <c r="Y1064" s="53" t="s">
        <v>2210</v>
      </c>
      <c r="AA1064" s="54">
        <f>STOCK[[#This Row],[Costo total]]*STOCK[[#This Row],[Entradas]]</f>
        <v>28.16</v>
      </c>
      <c r="AB1064" s="54">
        <f>STOCK[[#This Row],[Stock Actual]]*STOCK[[#This Row],[Costo total]]</f>
        <v>14.08</v>
      </c>
    </row>
    <row r="1065" s="54" customFormat="1" ht="50" customHeight="1" spans="1:28">
      <c r="A1065" s="54" t="s">
        <v>2211</v>
      </c>
      <c r="B1065" s="66"/>
      <c r="C1065" s="54" t="s">
        <v>32</v>
      </c>
      <c r="D1065" s="54" t="s">
        <v>2118</v>
      </c>
      <c r="E1065" s="68" t="s">
        <v>2212</v>
      </c>
      <c r="F1065" s="54" t="s">
        <v>62</v>
      </c>
      <c r="G1065" s="54" t="s">
        <v>1876</v>
      </c>
      <c r="H1065" s="54">
        <f>STOCK[[#This Row],[Precio Final]]</f>
        <v>35</v>
      </c>
      <c r="I1065" s="54">
        <f>STOCK[[#This Row],[Precio Venta Ideal (x1.5)]]</f>
        <v>28.335</v>
      </c>
      <c r="J1065" s="72">
        <v>2</v>
      </c>
      <c r="K1065" s="72">
        <f>SUMIFS(VENTAS[Cantidad],VENTAS[Código del producto Vendido],STOCK[[#This Row],[Code]])</f>
        <v>2</v>
      </c>
      <c r="L1065" s="72">
        <f>STOCK[[#This Row],[Entradas]]-STOCK[[#This Row],[Salidas]]</f>
        <v>0</v>
      </c>
      <c r="M1065" s="54">
        <f>STOCK[[#This Row],[Precio Final]]*10%</f>
        <v>3.5</v>
      </c>
      <c r="N1065" s="54">
        <v>0</v>
      </c>
      <c r="O1065" s="54">
        <v>0</v>
      </c>
      <c r="P1065" s="54">
        <v>14.79</v>
      </c>
      <c r="Q1065" s="72">
        <v>0</v>
      </c>
      <c r="R1065" s="54">
        <v>0</v>
      </c>
      <c r="S1065" s="54">
        <v>0.6</v>
      </c>
      <c r="T1065" s="53">
        <f>STOCK[[#This Row],[Costo Unitario (USD)]]+STOCK[[#This Row],[Costo Envío (USD)]]+STOCK[[#This Row],[Comisión 10%]]</f>
        <v>18.89</v>
      </c>
      <c r="U1065" s="54">
        <f>STOCK[[#This Row],[Costo total]]*1.5</f>
        <v>28.335</v>
      </c>
      <c r="V1065" s="54">
        <v>35</v>
      </c>
      <c r="W1065" s="54">
        <f>STOCK[[#This Row],[Precio Final]]-STOCK[[#This Row],[Costo total]]</f>
        <v>16.11</v>
      </c>
      <c r="X1065" s="54">
        <f>STOCK[[#This Row],[Ganancia Unitaria]]*STOCK[[#This Row],[Salidas]]</f>
        <v>32.22</v>
      </c>
      <c r="Y1065" s="54" t="s">
        <v>2213</v>
      </c>
      <c r="AA1065" s="54">
        <f>STOCK[[#This Row],[Costo total]]*STOCK[[#This Row],[Entradas]]</f>
        <v>37.78</v>
      </c>
      <c r="AB1065" s="54">
        <f>STOCK[[#This Row],[Stock Actual]]*STOCK[[#This Row],[Costo total]]</f>
        <v>0</v>
      </c>
    </row>
    <row r="1066" s="53" customFormat="1" ht="50" customHeight="1" spans="1:28">
      <c r="A1066" s="53" t="s">
        <v>2214</v>
      </c>
      <c r="B1066" s="66"/>
      <c r="C1066" s="53" t="s">
        <v>32</v>
      </c>
      <c r="D1066" s="53" t="s">
        <v>1881</v>
      </c>
      <c r="E1066" s="67" t="s">
        <v>2215</v>
      </c>
      <c r="F1066" s="53" t="s">
        <v>2216</v>
      </c>
      <c r="G1066" s="53" t="s">
        <v>1876</v>
      </c>
      <c r="H1066" s="53">
        <f>STOCK[[#This Row],[Precio Final]]</f>
        <v>18</v>
      </c>
      <c r="I1066" s="53">
        <f>STOCK[[#This Row],[Precio Venta Ideal (x1.5)]]</f>
        <v>13.365</v>
      </c>
      <c r="J1066" s="71">
        <v>5</v>
      </c>
      <c r="K1066" s="71">
        <f>SUMIFS(VENTAS[Cantidad],VENTAS[Código del producto Vendido],STOCK[[#This Row],[Code]])</f>
        <v>5</v>
      </c>
      <c r="L1066" s="71">
        <f>STOCK[[#This Row],[Entradas]]-STOCK[[#This Row],[Salidas]]</f>
        <v>0</v>
      </c>
      <c r="M1066" s="53">
        <f>STOCK[[#This Row],[Precio Final]]*10%</f>
        <v>1.8</v>
      </c>
      <c r="N1066" s="53">
        <v>0</v>
      </c>
      <c r="O1066" s="53">
        <v>0</v>
      </c>
      <c r="P1066" s="53">
        <v>6.51</v>
      </c>
      <c r="Q1066" s="71">
        <v>0</v>
      </c>
      <c r="R1066" s="53">
        <v>0</v>
      </c>
      <c r="S1066" s="53">
        <v>0.6</v>
      </c>
      <c r="T1066" s="53">
        <f>STOCK[[#This Row],[Costo Unitario (USD)]]+STOCK[[#This Row],[Costo Envío (USD)]]+STOCK[[#This Row],[Comisión 10%]]</f>
        <v>8.91</v>
      </c>
      <c r="U1066" s="53">
        <f>STOCK[[#This Row],[Costo total]]*1.5</f>
        <v>13.365</v>
      </c>
      <c r="V1066" s="53">
        <v>18</v>
      </c>
      <c r="W1066" s="53">
        <f>STOCK[[#This Row],[Precio Final]]-STOCK[[#This Row],[Costo total]]</f>
        <v>9.09</v>
      </c>
      <c r="X1066" s="53">
        <f>STOCK[[#This Row],[Ganancia Unitaria]]*STOCK[[#This Row],[Salidas]]</f>
        <v>45.45</v>
      </c>
      <c r="Y1066" s="53" t="s">
        <v>2217</v>
      </c>
      <c r="AA1066" s="54">
        <f>STOCK[[#This Row],[Costo total]]*STOCK[[#This Row],[Entradas]]</f>
        <v>44.55</v>
      </c>
      <c r="AB1066" s="54">
        <f>STOCK[[#This Row],[Stock Actual]]*STOCK[[#This Row],[Costo total]]</f>
        <v>0</v>
      </c>
    </row>
    <row r="1067" s="54" customFormat="1" ht="50" customHeight="1" spans="1:28">
      <c r="A1067" s="54" t="s">
        <v>2218</v>
      </c>
      <c r="B1067" s="66"/>
      <c r="C1067" s="54" t="s">
        <v>32</v>
      </c>
      <c r="D1067" s="54" t="s">
        <v>2118</v>
      </c>
      <c r="E1067" s="68" t="s">
        <v>2219</v>
      </c>
      <c r="F1067" s="54" t="s">
        <v>46</v>
      </c>
      <c r="G1067" s="54" t="s">
        <v>1876</v>
      </c>
      <c r="H1067" s="54">
        <f>STOCK[[#This Row],[Precio Final]]</f>
        <v>30</v>
      </c>
      <c r="I1067" s="54">
        <f>STOCK[[#This Row],[Precio Venta Ideal (x1.5)]]</f>
        <v>28.635</v>
      </c>
      <c r="J1067" s="72">
        <v>1</v>
      </c>
      <c r="K1067" s="72">
        <f>SUMIFS(VENTAS[Cantidad],VENTAS[Código del producto Vendido],STOCK[[#This Row],[Code]])</f>
        <v>1</v>
      </c>
      <c r="L1067" s="72">
        <f>STOCK[[#This Row],[Entradas]]-STOCK[[#This Row],[Salidas]]</f>
        <v>0</v>
      </c>
      <c r="M1067" s="54">
        <f>STOCK[[#This Row],[Precio Final]]*10%</f>
        <v>3</v>
      </c>
      <c r="N1067" s="54">
        <v>0</v>
      </c>
      <c r="O1067" s="54">
        <v>0</v>
      </c>
      <c r="P1067" s="54">
        <v>15.49</v>
      </c>
      <c r="Q1067" s="72">
        <v>0</v>
      </c>
      <c r="R1067" s="54">
        <v>0</v>
      </c>
      <c r="S1067" s="54">
        <v>0.6</v>
      </c>
      <c r="T1067" s="53">
        <f>STOCK[[#This Row],[Costo Unitario (USD)]]+STOCK[[#This Row],[Costo Envío (USD)]]+STOCK[[#This Row],[Comisión 10%]]</f>
        <v>19.09</v>
      </c>
      <c r="U1067" s="54">
        <f>STOCK[[#This Row],[Costo total]]*1.5</f>
        <v>28.635</v>
      </c>
      <c r="V1067" s="54">
        <v>30</v>
      </c>
      <c r="W1067" s="54">
        <f>STOCK[[#This Row],[Precio Final]]-STOCK[[#This Row],[Costo total]]</f>
        <v>10.91</v>
      </c>
      <c r="X1067" s="54">
        <f>STOCK[[#This Row],[Ganancia Unitaria]]*STOCK[[#This Row],[Salidas]]</f>
        <v>10.91</v>
      </c>
      <c r="Y1067" s="54" t="s">
        <v>2220</v>
      </c>
      <c r="AA1067" s="54">
        <f>STOCK[[#This Row],[Costo total]]*STOCK[[#This Row],[Entradas]]</f>
        <v>19.09</v>
      </c>
      <c r="AB1067" s="54">
        <f>STOCK[[#This Row],[Stock Actual]]*STOCK[[#This Row],[Costo total]]</f>
        <v>0</v>
      </c>
    </row>
    <row r="1068" s="53" customFormat="1" ht="50" customHeight="1" spans="1:28">
      <c r="A1068" s="53" t="s">
        <v>2221</v>
      </c>
      <c r="B1068" s="66"/>
      <c r="C1068" s="53" t="s">
        <v>32</v>
      </c>
      <c r="D1068" s="54" t="s">
        <v>38</v>
      </c>
      <c r="E1068" s="67" t="s">
        <v>2222</v>
      </c>
      <c r="F1068" s="53" t="s">
        <v>46</v>
      </c>
      <c r="G1068" s="53" t="s">
        <v>1876</v>
      </c>
      <c r="H1068" s="53">
        <f>STOCK[[#This Row],[Precio Final]]</f>
        <v>25</v>
      </c>
      <c r="I1068" s="53">
        <f>STOCK[[#This Row],[Precio Venta Ideal (x1.5)]]</f>
        <v>21.225</v>
      </c>
      <c r="J1068" s="71">
        <v>2</v>
      </c>
      <c r="K1068" s="71">
        <f>SUMIFS(VENTAS[Cantidad],VENTAS[Código del producto Vendido],STOCK[[#This Row],[Code]])</f>
        <v>2</v>
      </c>
      <c r="L1068" s="71">
        <f>STOCK[[#This Row],[Entradas]]-STOCK[[#This Row],[Salidas]]</f>
        <v>0</v>
      </c>
      <c r="M1068" s="53">
        <f>STOCK[[#This Row],[Precio Final]]*10%</f>
        <v>2.5</v>
      </c>
      <c r="N1068" s="53">
        <v>0</v>
      </c>
      <c r="O1068" s="53">
        <v>0</v>
      </c>
      <c r="P1068" s="53">
        <v>11.05</v>
      </c>
      <c r="Q1068" s="71">
        <v>0</v>
      </c>
      <c r="R1068" s="53">
        <v>0</v>
      </c>
      <c r="S1068" s="53">
        <v>0.6</v>
      </c>
      <c r="T1068" s="53">
        <f>STOCK[[#This Row],[Costo Unitario (USD)]]+STOCK[[#This Row],[Costo Envío (USD)]]+STOCK[[#This Row],[Comisión 10%]]</f>
        <v>14.15</v>
      </c>
      <c r="U1068" s="53">
        <f>STOCK[[#This Row],[Costo total]]*1.5</f>
        <v>21.225</v>
      </c>
      <c r="V1068" s="53">
        <v>25</v>
      </c>
      <c r="W1068" s="53">
        <f>STOCK[[#This Row],[Precio Final]]-STOCK[[#This Row],[Costo total]]</f>
        <v>10.85</v>
      </c>
      <c r="X1068" s="53">
        <f>STOCK[[#This Row],[Ganancia Unitaria]]*STOCK[[#This Row],[Salidas]]</f>
        <v>21.7</v>
      </c>
      <c r="Y1068" s="53" t="s">
        <v>2223</v>
      </c>
      <c r="AA1068" s="54">
        <f>STOCK[[#This Row],[Costo total]]*STOCK[[#This Row],[Entradas]]</f>
        <v>28.3</v>
      </c>
      <c r="AB1068" s="54">
        <f>STOCK[[#This Row],[Stock Actual]]*STOCK[[#This Row],[Costo total]]</f>
        <v>0</v>
      </c>
    </row>
    <row r="1069" s="54" customFormat="1" ht="50" customHeight="1" spans="1:28">
      <c r="A1069" s="54" t="s">
        <v>2224</v>
      </c>
      <c r="B1069" s="66"/>
      <c r="C1069" s="54" t="s">
        <v>32</v>
      </c>
      <c r="D1069" s="54" t="s">
        <v>2118</v>
      </c>
      <c r="E1069" s="68" t="s">
        <v>2225</v>
      </c>
      <c r="F1069" s="54" t="s">
        <v>62</v>
      </c>
      <c r="G1069" s="54" t="s">
        <v>1876</v>
      </c>
      <c r="H1069" s="54">
        <f>STOCK[[#This Row],[Precio Final]]</f>
        <v>20</v>
      </c>
      <c r="I1069" s="54">
        <f>STOCK[[#This Row],[Precio Venta Ideal (x1.5)]]</f>
        <v>15.885</v>
      </c>
      <c r="J1069" s="72">
        <v>1</v>
      </c>
      <c r="K1069" s="72">
        <f>SUMIFS(VENTAS[Cantidad],VENTAS[Código del producto Vendido],STOCK[[#This Row],[Code]])</f>
        <v>1</v>
      </c>
      <c r="L1069" s="72">
        <f>STOCK[[#This Row],[Entradas]]-STOCK[[#This Row],[Salidas]]</f>
        <v>0</v>
      </c>
      <c r="M1069" s="54">
        <f>STOCK[[#This Row],[Precio Final]]*10%</f>
        <v>2</v>
      </c>
      <c r="N1069" s="54">
        <v>0</v>
      </c>
      <c r="O1069" s="54">
        <v>0</v>
      </c>
      <c r="P1069" s="54">
        <v>7.99</v>
      </c>
      <c r="Q1069" s="72">
        <v>0</v>
      </c>
      <c r="R1069" s="54">
        <v>0</v>
      </c>
      <c r="S1069" s="54">
        <v>0.6</v>
      </c>
      <c r="T1069" s="53">
        <f>STOCK[[#This Row],[Costo Unitario (USD)]]+STOCK[[#This Row],[Costo Envío (USD)]]+STOCK[[#This Row],[Comisión 10%]]</f>
        <v>10.59</v>
      </c>
      <c r="U1069" s="54">
        <f>STOCK[[#This Row],[Costo total]]*1.5</f>
        <v>15.885</v>
      </c>
      <c r="V1069" s="54">
        <v>20</v>
      </c>
      <c r="W1069" s="54">
        <f>STOCK[[#This Row],[Precio Final]]-STOCK[[#This Row],[Costo total]]</f>
        <v>9.41</v>
      </c>
      <c r="X1069" s="54">
        <f>STOCK[[#This Row],[Ganancia Unitaria]]*STOCK[[#This Row],[Salidas]]</f>
        <v>9.41</v>
      </c>
      <c r="Y1069" s="54" t="s">
        <v>2226</v>
      </c>
      <c r="AA1069" s="54">
        <f>STOCK[[#This Row],[Costo total]]*STOCK[[#This Row],[Entradas]]</f>
        <v>10.59</v>
      </c>
      <c r="AB1069" s="54">
        <f>STOCK[[#This Row],[Stock Actual]]*STOCK[[#This Row],[Costo total]]</f>
        <v>0</v>
      </c>
    </row>
    <row r="1070" s="53" customFormat="1" ht="50" customHeight="1" spans="1:28">
      <c r="A1070" s="53" t="s">
        <v>2227</v>
      </c>
      <c r="B1070" s="66"/>
      <c r="C1070" s="53" t="s">
        <v>32</v>
      </c>
      <c r="D1070" s="53" t="s">
        <v>1808</v>
      </c>
      <c r="E1070" s="67" t="s">
        <v>2228</v>
      </c>
      <c r="F1070" s="53" t="s">
        <v>525</v>
      </c>
      <c r="G1070" s="53" t="s">
        <v>1876</v>
      </c>
      <c r="H1070" s="53">
        <f>STOCK[[#This Row],[Precio Final]]</f>
        <v>10</v>
      </c>
      <c r="I1070" s="53">
        <f>STOCK[[#This Row],[Precio Venta Ideal (x1.5)]]</f>
        <v>6.42</v>
      </c>
      <c r="J1070" s="71">
        <v>5</v>
      </c>
      <c r="K1070" s="71">
        <f>SUMIFS(VENTAS[Cantidad],VENTAS[Código del producto Vendido],STOCK[[#This Row],[Code]])</f>
        <v>5</v>
      </c>
      <c r="L1070" s="71">
        <f>STOCK[[#This Row],[Entradas]]-STOCK[[#This Row],[Salidas]]</f>
        <v>0</v>
      </c>
      <c r="M1070" s="53">
        <f>STOCK[[#This Row],[Precio Final]]*10%</f>
        <v>1</v>
      </c>
      <c r="N1070" s="53">
        <v>0</v>
      </c>
      <c r="O1070" s="53">
        <v>0</v>
      </c>
      <c r="P1070" s="53">
        <v>2.68</v>
      </c>
      <c r="Q1070" s="71">
        <v>0</v>
      </c>
      <c r="R1070" s="53">
        <v>0</v>
      </c>
      <c r="S1070" s="53">
        <v>0.6</v>
      </c>
      <c r="T1070" s="53">
        <f>STOCK[[#This Row],[Costo Unitario (USD)]]+STOCK[[#This Row],[Costo Envío (USD)]]+STOCK[[#This Row],[Comisión 10%]]</f>
        <v>4.28</v>
      </c>
      <c r="U1070" s="53">
        <f>STOCK[[#This Row],[Costo total]]*1.5</f>
        <v>6.42</v>
      </c>
      <c r="V1070" s="53">
        <v>10</v>
      </c>
      <c r="W1070" s="53">
        <f>STOCK[[#This Row],[Precio Final]]-STOCK[[#This Row],[Costo total]]</f>
        <v>5.72</v>
      </c>
      <c r="X1070" s="53">
        <f>STOCK[[#This Row],[Ganancia Unitaria]]*STOCK[[#This Row],[Salidas]]</f>
        <v>28.6</v>
      </c>
      <c r="Y1070" s="53" t="s">
        <v>2229</v>
      </c>
      <c r="AA1070" s="54">
        <f>STOCK[[#This Row],[Costo total]]*STOCK[[#This Row],[Entradas]]</f>
        <v>21.4</v>
      </c>
      <c r="AB1070" s="54">
        <f>STOCK[[#This Row],[Stock Actual]]*STOCK[[#This Row],[Costo total]]</f>
        <v>0</v>
      </c>
    </row>
    <row r="1071" s="54" customFormat="1" ht="50" customHeight="1" spans="1:28">
      <c r="A1071" s="54" t="s">
        <v>2230</v>
      </c>
      <c r="B1071" s="66"/>
      <c r="C1071" s="54" t="s">
        <v>32</v>
      </c>
      <c r="D1071" s="54" t="s">
        <v>2118</v>
      </c>
      <c r="E1071" s="68" t="s">
        <v>2231</v>
      </c>
      <c r="F1071" s="54" t="s">
        <v>46</v>
      </c>
      <c r="G1071" s="54" t="s">
        <v>1876</v>
      </c>
      <c r="H1071" s="54">
        <f>STOCK[[#This Row],[Precio Final]]</f>
        <v>25</v>
      </c>
      <c r="I1071" s="54">
        <f>STOCK[[#This Row],[Precio Venta Ideal (x1.5)]]</f>
        <v>22.035</v>
      </c>
      <c r="J1071" s="72">
        <v>1</v>
      </c>
      <c r="K1071" s="72">
        <f>SUMIFS(VENTAS[Cantidad],VENTAS[Código del producto Vendido],STOCK[[#This Row],[Code]])</f>
        <v>1</v>
      </c>
      <c r="L1071" s="72">
        <f>STOCK[[#This Row],[Entradas]]-STOCK[[#This Row],[Salidas]]</f>
        <v>0</v>
      </c>
      <c r="M1071" s="54">
        <f>STOCK[[#This Row],[Precio Final]]*10%</f>
        <v>2.5</v>
      </c>
      <c r="N1071" s="54">
        <v>0</v>
      </c>
      <c r="O1071" s="54">
        <v>0</v>
      </c>
      <c r="P1071" s="54">
        <v>11.59</v>
      </c>
      <c r="Q1071" s="72">
        <v>0</v>
      </c>
      <c r="R1071" s="54">
        <v>0</v>
      </c>
      <c r="S1071" s="54">
        <v>0.6</v>
      </c>
      <c r="T1071" s="53">
        <f>STOCK[[#This Row],[Costo Unitario (USD)]]+STOCK[[#This Row],[Costo Envío (USD)]]+STOCK[[#This Row],[Comisión 10%]]</f>
        <v>14.69</v>
      </c>
      <c r="U1071" s="54">
        <f>STOCK[[#This Row],[Costo total]]*1.5</f>
        <v>22.035</v>
      </c>
      <c r="V1071" s="54">
        <v>25</v>
      </c>
      <c r="W1071" s="54">
        <f>STOCK[[#This Row],[Precio Final]]-STOCK[[#This Row],[Costo total]]</f>
        <v>10.31</v>
      </c>
      <c r="X1071" s="54">
        <f>STOCK[[#This Row],[Ganancia Unitaria]]*STOCK[[#This Row],[Salidas]]</f>
        <v>10.31</v>
      </c>
      <c r="Y1071" s="54" t="s">
        <v>2232</v>
      </c>
      <c r="AA1071" s="54">
        <f>STOCK[[#This Row],[Costo total]]*STOCK[[#This Row],[Entradas]]</f>
        <v>14.69</v>
      </c>
      <c r="AB1071" s="54">
        <f>STOCK[[#This Row],[Stock Actual]]*STOCK[[#This Row],[Costo total]]</f>
        <v>0</v>
      </c>
    </row>
    <row r="1072" s="53" customFormat="1" ht="50" customHeight="1" spans="1:28">
      <c r="A1072" s="53" t="s">
        <v>2233</v>
      </c>
      <c r="B1072" s="66"/>
      <c r="C1072" s="53" t="s">
        <v>32</v>
      </c>
      <c r="D1072" s="53" t="s">
        <v>2118</v>
      </c>
      <c r="E1072" s="67" t="s">
        <v>2234</v>
      </c>
      <c r="F1072" s="53" t="s">
        <v>49</v>
      </c>
      <c r="G1072" s="53" t="s">
        <v>1876</v>
      </c>
      <c r="H1072" s="53">
        <f>STOCK[[#This Row],[Precio Final]]</f>
        <v>25</v>
      </c>
      <c r="I1072" s="53">
        <f>STOCK[[#This Row],[Precio Venta Ideal (x1.5)]]</f>
        <v>22.035</v>
      </c>
      <c r="J1072" s="71">
        <v>3</v>
      </c>
      <c r="K1072" s="71">
        <f>SUMIFS(VENTAS[Cantidad],VENTAS[Código del producto Vendido],STOCK[[#This Row],[Code]])</f>
        <v>3</v>
      </c>
      <c r="L1072" s="71">
        <f>STOCK[[#This Row],[Entradas]]-STOCK[[#This Row],[Salidas]]</f>
        <v>0</v>
      </c>
      <c r="M1072" s="53">
        <f>STOCK[[#This Row],[Precio Final]]*10%</f>
        <v>2.5</v>
      </c>
      <c r="N1072" s="53">
        <v>0</v>
      </c>
      <c r="O1072" s="53">
        <v>0</v>
      </c>
      <c r="P1072" s="53">
        <v>11.59</v>
      </c>
      <c r="Q1072" s="71">
        <v>0</v>
      </c>
      <c r="R1072" s="53">
        <v>0</v>
      </c>
      <c r="S1072" s="53">
        <v>0.6</v>
      </c>
      <c r="T1072" s="53">
        <f>STOCK[[#This Row],[Costo Unitario (USD)]]+STOCK[[#This Row],[Costo Envío (USD)]]+STOCK[[#This Row],[Comisión 10%]]</f>
        <v>14.69</v>
      </c>
      <c r="U1072" s="53">
        <f>STOCK[[#This Row],[Costo total]]*1.5</f>
        <v>22.035</v>
      </c>
      <c r="V1072" s="53">
        <v>25</v>
      </c>
      <c r="W1072" s="53">
        <f>STOCK[[#This Row],[Precio Final]]-STOCK[[#This Row],[Costo total]]</f>
        <v>10.31</v>
      </c>
      <c r="X1072" s="53">
        <f>STOCK[[#This Row],[Ganancia Unitaria]]*STOCK[[#This Row],[Salidas]]</f>
        <v>30.93</v>
      </c>
      <c r="Y1072" s="53" t="s">
        <v>2235</v>
      </c>
      <c r="AA1072" s="54">
        <f>STOCK[[#This Row],[Costo total]]*STOCK[[#This Row],[Entradas]]</f>
        <v>44.07</v>
      </c>
      <c r="AB1072" s="54">
        <f>STOCK[[#This Row],[Stock Actual]]*STOCK[[#This Row],[Costo total]]</f>
        <v>0</v>
      </c>
    </row>
    <row r="1073" s="54" customFormat="1" ht="50" customHeight="1" spans="1:28">
      <c r="A1073" s="54" t="s">
        <v>2236</v>
      </c>
      <c r="B1073" s="74" t="str">
        <f>_xlfn.DISPIMG("ID_D2291D47CB264014ADE660D65A2620A2",1)</f>
        <v>=DISPIMG("ID_D2291D47CB264014ADE660D65A2620A2",1)</v>
      </c>
      <c r="C1073" s="54" t="s">
        <v>32</v>
      </c>
      <c r="D1073" s="54" t="s">
        <v>38</v>
      </c>
      <c r="E1073" s="68" t="s">
        <v>2222</v>
      </c>
      <c r="F1073" s="54" t="s">
        <v>2237</v>
      </c>
      <c r="G1073" s="54" t="s">
        <v>1876</v>
      </c>
      <c r="H1073" s="54">
        <f>STOCK[[#This Row],[Precio Final]]</f>
        <v>25</v>
      </c>
      <c r="I1073" s="54">
        <f>STOCK[[#This Row],[Precio Venta Ideal (x1.5)]]</f>
        <v>21.225</v>
      </c>
      <c r="J1073" s="72">
        <v>2</v>
      </c>
      <c r="K1073" s="72">
        <f>SUMIFS(VENTAS[Cantidad],VENTAS[Código del producto Vendido],STOCK[[#This Row],[Code]])</f>
        <v>0</v>
      </c>
      <c r="L1073" s="72">
        <f>STOCK[[#This Row],[Entradas]]-STOCK[[#This Row],[Salidas]]</f>
        <v>2</v>
      </c>
      <c r="M1073" s="54">
        <f>STOCK[[#This Row],[Precio Final]]*10%</f>
        <v>2.5</v>
      </c>
      <c r="N1073" s="54">
        <v>0</v>
      </c>
      <c r="O1073" s="54">
        <v>0</v>
      </c>
      <c r="P1073" s="54">
        <v>11.05</v>
      </c>
      <c r="Q1073" s="72">
        <v>0</v>
      </c>
      <c r="R1073" s="54">
        <v>0</v>
      </c>
      <c r="S1073" s="54">
        <v>0.6</v>
      </c>
      <c r="T1073" s="53">
        <f>STOCK[[#This Row],[Costo Unitario (USD)]]+STOCK[[#This Row],[Costo Envío (USD)]]+STOCK[[#This Row],[Comisión 10%]]</f>
        <v>14.15</v>
      </c>
      <c r="U1073" s="54">
        <f>STOCK[[#This Row],[Costo total]]*1.5</f>
        <v>21.225</v>
      </c>
      <c r="V1073" s="54">
        <v>25</v>
      </c>
      <c r="W1073" s="54">
        <f>STOCK[[#This Row],[Precio Final]]-STOCK[[#This Row],[Costo total]]</f>
        <v>10.85</v>
      </c>
      <c r="X1073" s="54">
        <f>STOCK[[#This Row],[Ganancia Unitaria]]*STOCK[[#This Row],[Salidas]]</f>
        <v>0</v>
      </c>
      <c r="Y1073" s="54" t="s">
        <v>2238</v>
      </c>
      <c r="AA1073" s="54">
        <f>STOCK[[#This Row],[Costo total]]*STOCK[[#This Row],[Entradas]]</f>
        <v>28.3</v>
      </c>
      <c r="AB1073" s="54">
        <f>STOCK[[#This Row],[Stock Actual]]*STOCK[[#This Row],[Costo total]]</f>
        <v>28.3</v>
      </c>
    </row>
    <row r="1074" s="53" customFormat="1" ht="50" customHeight="1" spans="1:28">
      <c r="A1074" s="54" t="s">
        <v>2239</v>
      </c>
      <c r="B1074" s="74" t="str">
        <f>_xlfn.DISPIMG("ID_D2291D47CB264014ADE660D65A2620A2",1)</f>
        <v>=DISPIMG("ID_D2291D47CB264014ADE660D65A2620A2",1)</v>
      </c>
      <c r="C1074" s="54" t="s">
        <v>32</v>
      </c>
      <c r="D1074" s="54" t="s">
        <v>38</v>
      </c>
      <c r="E1074" s="68" t="s">
        <v>2222</v>
      </c>
      <c r="F1074" s="53" t="s">
        <v>62</v>
      </c>
      <c r="H1074" s="54">
        <f>STOCK[[#This Row],[Precio Final]]</f>
        <v>25</v>
      </c>
      <c r="I1074" s="54">
        <f>STOCK[[#This Row],[Precio Venta Ideal (x1.5)]]</f>
        <v>20.325</v>
      </c>
      <c r="J1074" s="71">
        <v>1</v>
      </c>
      <c r="K1074" s="72">
        <f>SUMIFS(VENTAS[Cantidad],VENTAS[Código del producto Vendido],STOCK[[#This Row],[Code]])</f>
        <v>0</v>
      </c>
      <c r="L1074" s="72">
        <f>STOCK[[#This Row],[Entradas]]-STOCK[[#This Row],[Salidas]]</f>
        <v>1</v>
      </c>
      <c r="M1074" s="54">
        <f>STOCK[[#This Row],[Precio Final]]*10%</f>
        <v>2.5</v>
      </c>
      <c r="N1074" s="53">
        <v>0</v>
      </c>
      <c r="O1074" s="53">
        <v>0</v>
      </c>
      <c r="P1074" s="53">
        <v>11.05</v>
      </c>
      <c r="Q1074" s="71">
        <v>0</v>
      </c>
      <c r="R1074" s="53">
        <v>0</v>
      </c>
      <c r="S1074" s="53">
        <v>0</v>
      </c>
      <c r="T1074" s="53">
        <f>STOCK[[#This Row],[Costo Unitario (USD)]]+STOCK[[#This Row],[Costo Envío (USD)]]+STOCK[[#This Row],[Comisión 10%]]</f>
        <v>13.55</v>
      </c>
      <c r="U1074" s="54">
        <f>STOCK[[#This Row],[Costo total]]*1.5</f>
        <v>20.325</v>
      </c>
      <c r="V1074" s="53">
        <v>25</v>
      </c>
      <c r="W1074" s="54">
        <f>STOCK[[#This Row],[Precio Final]]-STOCK[[#This Row],[Costo total]]</f>
        <v>11.45</v>
      </c>
      <c r="X1074" s="54">
        <f>STOCK[[#This Row],[Ganancia Unitaria]]*STOCK[[#This Row],[Salidas]]</f>
        <v>0</v>
      </c>
      <c r="Y1074" s="54" t="s">
        <v>2240</v>
      </c>
      <c r="AA1074" s="54">
        <f>STOCK[[#This Row],[Costo total]]*STOCK[[#This Row],[Entradas]]</f>
        <v>13.55</v>
      </c>
      <c r="AB1074" s="54">
        <f>STOCK[[#This Row],[Stock Actual]]*STOCK[[#This Row],[Costo total]]</f>
        <v>13.55</v>
      </c>
    </row>
    <row r="1075" s="53" customFormat="1" ht="50" customHeight="1" spans="1:28">
      <c r="A1075" s="53" t="s">
        <v>2241</v>
      </c>
      <c r="B1075" s="66"/>
      <c r="C1075" s="53" t="s">
        <v>32</v>
      </c>
      <c r="D1075" s="53" t="s">
        <v>1881</v>
      </c>
      <c r="E1075" s="67" t="s">
        <v>2242</v>
      </c>
      <c r="F1075" s="53" t="s">
        <v>2108</v>
      </c>
      <c r="G1075" s="53" t="s">
        <v>1876</v>
      </c>
      <c r="H1075" s="53">
        <f>STOCK[[#This Row],[Precio Final]]</f>
        <v>25</v>
      </c>
      <c r="I1075" s="53">
        <f>STOCK[[#This Row],[Precio Venta Ideal (x1.5)]]</f>
        <v>20.385</v>
      </c>
      <c r="J1075" s="71">
        <v>5</v>
      </c>
      <c r="K1075" s="71">
        <f>SUMIFS(VENTAS[Cantidad],VENTAS[Código del producto Vendido],STOCK[[#This Row],[Code]])</f>
        <v>5</v>
      </c>
      <c r="L1075" s="71">
        <f>STOCK[[#This Row],[Entradas]]-STOCK[[#This Row],[Salidas]]</f>
        <v>0</v>
      </c>
      <c r="M1075" s="53">
        <f>STOCK[[#This Row],[Precio Final]]*10%</f>
        <v>2.5</v>
      </c>
      <c r="N1075" s="53">
        <v>0</v>
      </c>
      <c r="O1075" s="53">
        <v>0</v>
      </c>
      <c r="P1075" s="53">
        <v>10.49</v>
      </c>
      <c r="Q1075" s="71">
        <v>0</v>
      </c>
      <c r="R1075" s="53">
        <v>0</v>
      </c>
      <c r="S1075" s="53">
        <v>0.6</v>
      </c>
      <c r="T1075" s="53">
        <f>STOCK[[#This Row],[Costo Unitario (USD)]]+STOCK[[#This Row],[Costo Envío (USD)]]+STOCK[[#This Row],[Comisión 10%]]</f>
        <v>13.59</v>
      </c>
      <c r="U1075" s="53">
        <f>STOCK[[#This Row],[Costo total]]*1.5</f>
        <v>20.385</v>
      </c>
      <c r="V1075" s="53">
        <v>25</v>
      </c>
      <c r="W1075" s="53">
        <f>STOCK[[#This Row],[Precio Final]]-STOCK[[#This Row],[Costo total]]</f>
        <v>11.41</v>
      </c>
      <c r="X1075" s="53">
        <f>STOCK[[#This Row],[Ganancia Unitaria]]*STOCK[[#This Row],[Salidas]]</f>
        <v>57.05</v>
      </c>
      <c r="Y1075" s="53" t="s">
        <v>2240</v>
      </c>
      <c r="AA1075" s="54">
        <f>STOCK[[#This Row],[Costo total]]*STOCK[[#This Row],[Entradas]]</f>
        <v>67.95</v>
      </c>
      <c r="AB1075" s="54">
        <f>STOCK[[#This Row],[Stock Actual]]*STOCK[[#This Row],[Costo total]]</f>
        <v>0</v>
      </c>
    </row>
    <row r="1076" s="54" customFormat="1" ht="50" customHeight="1" spans="1:28">
      <c r="A1076" s="54" t="s">
        <v>2243</v>
      </c>
      <c r="B1076" s="66"/>
      <c r="C1076" s="54" t="s">
        <v>32</v>
      </c>
      <c r="D1076" s="54" t="s">
        <v>38</v>
      </c>
      <c r="E1076" s="68" t="s">
        <v>2124</v>
      </c>
      <c r="F1076" s="54" t="s">
        <v>49</v>
      </c>
      <c r="G1076" s="54" t="s">
        <v>1876</v>
      </c>
      <c r="H1076" s="54">
        <f>STOCK[[#This Row],[Precio Final]]</f>
        <v>25</v>
      </c>
      <c r="I1076" s="54">
        <f>STOCK[[#This Row],[Precio Venta Ideal (x1.5)]]</f>
        <v>19.935</v>
      </c>
      <c r="J1076" s="72">
        <v>2</v>
      </c>
      <c r="K1076" s="72">
        <f>SUMIFS(VENTAS[Cantidad],VENTAS[Código del producto Vendido],STOCK[[#This Row],[Code]])</f>
        <v>2</v>
      </c>
      <c r="L1076" s="72">
        <f>STOCK[[#This Row],[Entradas]]-STOCK[[#This Row],[Salidas]]</f>
        <v>0</v>
      </c>
      <c r="M1076" s="54">
        <f>STOCK[[#This Row],[Precio Final]]*10%</f>
        <v>2.5</v>
      </c>
      <c r="N1076" s="54">
        <v>0</v>
      </c>
      <c r="O1076" s="54">
        <v>0</v>
      </c>
      <c r="P1076" s="54">
        <v>10.19</v>
      </c>
      <c r="Q1076" s="72">
        <v>0</v>
      </c>
      <c r="R1076" s="54">
        <v>0</v>
      </c>
      <c r="S1076" s="54">
        <v>0.6</v>
      </c>
      <c r="T1076" s="53">
        <f>STOCK[[#This Row],[Costo Unitario (USD)]]+STOCK[[#This Row],[Costo Envío (USD)]]+STOCK[[#This Row],[Comisión 10%]]</f>
        <v>13.29</v>
      </c>
      <c r="U1076" s="54">
        <f>STOCK[[#This Row],[Costo total]]*1.5</f>
        <v>19.935</v>
      </c>
      <c r="V1076" s="54">
        <v>25</v>
      </c>
      <c r="W1076" s="54">
        <f>STOCK[[#This Row],[Precio Final]]-STOCK[[#This Row],[Costo total]]</f>
        <v>11.71</v>
      </c>
      <c r="X1076" s="54">
        <f>STOCK[[#This Row],[Ganancia Unitaria]]*STOCK[[#This Row],[Salidas]]</f>
        <v>23.42</v>
      </c>
      <c r="Y1076" s="54" t="s">
        <v>2244</v>
      </c>
      <c r="AA1076" s="54">
        <f>STOCK[[#This Row],[Costo total]]*STOCK[[#This Row],[Entradas]]</f>
        <v>26.58</v>
      </c>
      <c r="AB1076" s="54">
        <f>STOCK[[#This Row],[Stock Actual]]*STOCK[[#This Row],[Costo total]]</f>
        <v>0</v>
      </c>
    </row>
    <row r="1077" s="53" customFormat="1" ht="50" customHeight="1" spans="1:28">
      <c r="A1077" s="53" t="s">
        <v>2245</v>
      </c>
      <c r="B1077" s="66"/>
      <c r="C1077" s="53" t="s">
        <v>32</v>
      </c>
      <c r="D1077" s="54" t="s">
        <v>38</v>
      </c>
      <c r="E1077" s="67" t="s">
        <v>2246</v>
      </c>
      <c r="F1077" s="53" t="s">
        <v>62</v>
      </c>
      <c r="G1077" s="53" t="s">
        <v>1876</v>
      </c>
      <c r="H1077" s="53">
        <f>STOCK[[#This Row],[Precio Final]]</f>
        <v>15</v>
      </c>
      <c r="I1077" s="53">
        <f>STOCK[[#This Row],[Precio Venta Ideal (x1.5)]]</f>
        <v>9.285</v>
      </c>
      <c r="J1077" s="71">
        <v>2</v>
      </c>
      <c r="K1077" s="71">
        <f>SUMIFS(VENTAS[Cantidad],VENTAS[Código del producto Vendido],STOCK[[#This Row],[Code]])</f>
        <v>0</v>
      </c>
      <c r="L1077" s="71">
        <f>STOCK[[#This Row],[Entradas]]-STOCK[[#This Row],[Salidas]]</f>
        <v>2</v>
      </c>
      <c r="M1077" s="53">
        <f>STOCK[[#This Row],[Precio Final]]*10%</f>
        <v>1.5</v>
      </c>
      <c r="N1077" s="53">
        <v>0</v>
      </c>
      <c r="O1077" s="53">
        <v>0</v>
      </c>
      <c r="P1077" s="53">
        <v>4.09</v>
      </c>
      <c r="Q1077" s="71">
        <v>0</v>
      </c>
      <c r="R1077" s="53">
        <v>0</v>
      </c>
      <c r="S1077" s="53">
        <v>0.6</v>
      </c>
      <c r="T1077" s="53">
        <f>STOCK[[#This Row],[Costo Unitario (USD)]]+STOCK[[#This Row],[Costo Envío (USD)]]+STOCK[[#This Row],[Comisión 10%]]</f>
        <v>6.19</v>
      </c>
      <c r="U1077" s="53">
        <f>STOCK[[#This Row],[Costo total]]*1.5</f>
        <v>9.285</v>
      </c>
      <c r="V1077" s="53">
        <v>15</v>
      </c>
      <c r="W1077" s="53">
        <f>STOCK[[#This Row],[Precio Final]]-STOCK[[#This Row],[Costo total]]</f>
        <v>8.81</v>
      </c>
      <c r="X1077" s="53">
        <f>STOCK[[#This Row],[Ganancia Unitaria]]*STOCK[[#This Row],[Salidas]]</f>
        <v>0</v>
      </c>
      <c r="Y1077" s="53" t="s">
        <v>2247</v>
      </c>
      <c r="AA1077" s="54">
        <f>STOCK[[#This Row],[Costo total]]*STOCK[[#This Row],[Entradas]]</f>
        <v>12.38</v>
      </c>
      <c r="AB1077" s="54">
        <f>STOCK[[#This Row],[Stock Actual]]*STOCK[[#This Row],[Costo total]]</f>
        <v>12.38</v>
      </c>
    </row>
    <row r="1078" s="54" customFormat="1" ht="50" customHeight="1" spans="1:28">
      <c r="A1078" s="54" t="s">
        <v>2248</v>
      </c>
      <c r="B1078" s="66"/>
      <c r="C1078" s="54" t="s">
        <v>32</v>
      </c>
      <c r="D1078" s="54" t="s">
        <v>38</v>
      </c>
      <c r="E1078" s="68" t="s">
        <v>2249</v>
      </c>
      <c r="F1078" s="54" t="s">
        <v>997</v>
      </c>
      <c r="G1078" s="54" t="s">
        <v>1876</v>
      </c>
      <c r="H1078" s="54">
        <f>STOCK[[#This Row],[Precio Final]]</f>
        <v>20</v>
      </c>
      <c r="I1078" s="54">
        <f>STOCK[[#This Row],[Precio Venta Ideal (x1.5)]]</f>
        <v>11.985</v>
      </c>
      <c r="J1078" s="72">
        <v>1</v>
      </c>
      <c r="K1078" s="72">
        <f>SUMIFS(VENTAS[Cantidad],VENTAS[Código del producto Vendido],STOCK[[#This Row],[Code]])</f>
        <v>1</v>
      </c>
      <c r="L1078" s="72">
        <f>STOCK[[#This Row],[Entradas]]-STOCK[[#This Row],[Salidas]]</f>
        <v>0</v>
      </c>
      <c r="M1078" s="54">
        <f>STOCK[[#This Row],[Precio Final]]*10%</f>
        <v>2</v>
      </c>
      <c r="N1078" s="54">
        <v>0</v>
      </c>
      <c r="O1078" s="54">
        <v>0</v>
      </c>
      <c r="P1078" s="54">
        <v>5.39</v>
      </c>
      <c r="Q1078" s="72">
        <v>0</v>
      </c>
      <c r="R1078" s="54">
        <v>0</v>
      </c>
      <c r="S1078" s="54">
        <v>0.6</v>
      </c>
      <c r="T1078" s="53">
        <f>STOCK[[#This Row],[Costo Unitario (USD)]]+STOCK[[#This Row],[Costo Envío (USD)]]+STOCK[[#This Row],[Comisión 10%]]</f>
        <v>7.99</v>
      </c>
      <c r="U1078" s="54">
        <f>STOCK[[#This Row],[Costo total]]*1.5</f>
        <v>11.985</v>
      </c>
      <c r="V1078" s="54">
        <v>20</v>
      </c>
      <c r="W1078" s="54">
        <f>STOCK[[#This Row],[Precio Final]]-STOCK[[#This Row],[Costo total]]</f>
        <v>12.01</v>
      </c>
      <c r="X1078" s="54">
        <f>STOCK[[#This Row],[Ganancia Unitaria]]*STOCK[[#This Row],[Salidas]]</f>
        <v>12.01</v>
      </c>
      <c r="Y1078" s="54" t="s">
        <v>2250</v>
      </c>
      <c r="AA1078" s="54">
        <f>STOCK[[#This Row],[Costo total]]*STOCK[[#This Row],[Entradas]]</f>
        <v>7.99</v>
      </c>
      <c r="AB1078" s="54">
        <f>STOCK[[#This Row],[Stock Actual]]*STOCK[[#This Row],[Costo total]]</f>
        <v>0</v>
      </c>
    </row>
    <row r="1079" s="53" customFormat="1" ht="50" customHeight="1" spans="1:28">
      <c r="A1079" s="53" t="s">
        <v>2251</v>
      </c>
      <c r="B1079" s="66"/>
      <c r="C1079" s="53" t="s">
        <v>32</v>
      </c>
      <c r="D1079" s="54" t="s">
        <v>38</v>
      </c>
      <c r="E1079" s="67" t="s">
        <v>2252</v>
      </c>
      <c r="F1079" s="53" t="s">
        <v>49</v>
      </c>
      <c r="G1079" s="53" t="s">
        <v>1876</v>
      </c>
      <c r="H1079" s="53">
        <f>STOCK[[#This Row],[Precio Final]]</f>
        <v>20</v>
      </c>
      <c r="I1079" s="53">
        <f>STOCK[[#This Row],[Precio Venta Ideal (x1.5)]]</f>
        <v>15.99</v>
      </c>
      <c r="J1079" s="71">
        <v>1</v>
      </c>
      <c r="K1079" s="71">
        <f>SUMIFS(VENTAS[Cantidad],VENTAS[Código del producto Vendido],STOCK[[#This Row],[Code]])</f>
        <v>1</v>
      </c>
      <c r="L1079" s="71">
        <f>STOCK[[#This Row],[Entradas]]-STOCK[[#This Row],[Salidas]]</f>
        <v>0</v>
      </c>
      <c r="M1079" s="53">
        <f>STOCK[[#This Row],[Precio Final]]*10%</f>
        <v>2</v>
      </c>
      <c r="N1079" s="53">
        <v>0</v>
      </c>
      <c r="O1079" s="53">
        <v>0</v>
      </c>
      <c r="P1079" s="53">
        <v>8.06</v>
      </c>
      <c r="Q1079" s="71">
        <v>0</v>
      </c>
      <c r="R1079" s="53">
        <v>0</v>
      </c>
      <c r="S1079" s="53">
        <v>0.6</v>
      </c>
      <c r="T1079" s="53">
        <f>STOCK[[#This Row],[Costo Unitario (USD)]]+STOCK[[#This Row],[Costo Envío (USD)]]+STOCK[[#This Row],[Comisión 10%]]</f>
        <v>10.66</v>
      </c>
      <c r="U1079" s="53">
        <f>STOCK[[#This Row],[Costo total]]*1.5</f>
        <v>15.99</v>
      </c>
      <c r="V1079" s="53">
        <v>20</v>
      </c>
      <c r="W1079" s="53">
        <f>STOCK[[#This Row],[Precio Final]]-STOCK[[#This Row],[Costo total]]</f>
        <v>9.34</v>
      </c>
      <c r="X1079" s="53">
        <f>STOCK[[#This Row],[Ganancia Unitaria]]*STOCK[[#This Row],[Salidas]]</f>
        <v>9.34</v>
      </c>
      <c r="Y1079" s="53" t="s">
        <v>2253</v>
      </c>
      <c r="AA1079" s="54">
        <f>STOCK[[#This Row],[Costo total]]*STOCK[[#This Row],[Entradas]]</f>
        <v>10.66</v>
      </c>
      <c r="AB1079" s="54">
        <f>STOCK[[#This Row],[Stock Actual]]*STOCK[[#This Row],[Costo total]]</f>
        <v>0</v>
      </c>
    </row>
    <row r="1080" s="54" customFormat="1" ht="50" customHeight="1" spans="1:28">
      <c r="A1080" s="54" t="s">
        <v>2254</v>
      </c>
      <c r="B1080" s="66"/>
      <c r="C1080" s="54" t="s">
        <v>32</v>
      </c>
      <c r="D1080" s="54" t="s">
        <v>2127</v>
      </c>
      <c r="E1080" s="68" t="s">
        <v>2252</v>
      </c>
      <c r="F1080" s="54" t="s">
        <v>62</v>
      </c>
      <c r="G1080" s="54" t="s">
        <v>1876</v>
      </c>
      <c r="H1080" s="54">
        <f>STOCK[[#This Row],[Precio Final]]</f>
        <v>20</v>
      </c>
      <c r="I1080" s="54">
        <f>STOCK[[#This Row],[Precio Venta Ideal (x1.5)]]</f>
        <v>15.99</v>
      </c>
      <c r="J1080" s="72">
        <v>1</v>
      </c>
      <c r="K1080" s="72">
        <f>SUMIFS(VENTAS[Cantidad],VENTAS[Código del producto Vendido],STOCK[[#This Row],[Code]])</f>
        <v>1</v>
      </c>
      <c r="L1080" s="72">
        <f>STOCK[[#This Row],[Entradas]]-STOCK[[#This Row],[Salidas]]</f>
        <v>0</v>
      </c>
      <c r="M1080" s="54">
        <f>STOCK[[#This Row],[Precio Final]]*10%</f>
        <v>2</v>
      </c>
      <c r="N1080" s="54">
        <v>0</v>
      </c>
      <c r="O1080" s="54">
        <v>0</v>
      </c>
      <c r="P1080" s="54">
        <v>8.06</v>
      </c>
      <c r="Q1080" s="72">
        <v>0</v>
      </c>
      <c r="R1080" s="54">
        <v>0</v>
      </c>
      <c r="S1080" s="54">
        <v>0.6</v>
      </c>
      <c r="T1080" s="53">
        <f>STOCK[[#This Row],[Costo Unitario (USD)]]+STOCK[[#This Row],[Costo Envío (USD)]]+STOCK[[#This Row],[Comisión 10%]]</f>
        <v>10.66</v>
      </c>
      <c r="U1080" s="54">
        <f>STOCK[[#This Row],[Costo total]]*1.5</f>
        <v>15.99</v>
      </c>
      <c r="V1080" s="54">
        <v>20</v>
      </c>
      <c r="W1080" s="54">
        <f>STOCK[[#This Row],[Precio Final]]-STOCK[[#This Row],[Costo total]]</f>
        <v>9.34</v>
      </c>
      <c r="X1080" s="54">
        <f>STOCK[[#This Row],[Ganancia Unitaria]]*STOCK[[#This Row],[Salidas]]</f>
        <v>9.34</v>
      </c>
      <c r="Y1080" s="54" t="s">
        <v>2255</v>
      </c>
      <c r="AA1080" s="54">
        <f>STOCK[[#This Row],[Costo total]]*STOCK[[#This Row],[Entradas]]</f>
        <v>10.66</v>
      </c>
      <c r="AB1080" s="54">
        <f>STOCK[[#This Row],[Stock Actual]]*STOCK[[#This Row],[Costo total]]</f>
        <v>0</v>
      </c>
    </row>
    <row r="1081" s="53" customFormat="1" ht="50" customHeight="1" spans="1:28">
      <c r="A1081" s="53" t="s">
        <v>2256</v>
      </c>
      <c r="B1081" s="66"/>
      <c r="C1081" s="53" t="s">
        <v>32</v>
      </c>
      <c r="D1081" s="53" t="s">
        <v>44</v>
      </c>
      <c r="E1081" s="67" t="s">
        <v>2212</v>
      </c>
      <c r="F1081" s="53" t="s">
        <v>40</v>
      </c>
      <c r="G1081" s="53" t="s">
        <v>1876</v>
      </c>
      <c r="H1081" s="53">
        <f>STOCK[[#This Row],[Precio Final]]</f>
        <v>35</v>
      </c>
      <c r="I1081" s="53">
        <f>STOCK[[#This Row],[Precio Venta Ideal (x1.5)]]</f>
        <v>28.335</v>
      </c>
      <c r="J1081" s="71">
        <v>2</v>
      </c>
      <c r="K1081" s="71">
        <f>SUMIFS(VENTAS[Cantidad],VENTAS[Código del producto Vendido],STOCK[[#This Row],[Code]])</f>
        <v>1</v>
      </c>
      <c r="L1081" s="71">
        <f>STOCK[[#This Row],[Entradas]]-STOCK[[#This Row],[Salidas]]</f>
        <v>1</v>
      </c>
      <c r="M1081" s="53">
        <f>STOCK[[#This Row],[Precio Final]]*10%</f>
        <v>3.5</v>
      </c>
      <c r="N1081" s="53">
        <v>0</v>
      </c>
      <c r="O1081" s="53">
        <v>0</v>
      </c>
      <c r="P1081" s="53">
        <v>14.79</v>
      </c>
      <c r="Q1081" s="71">
        <v>0</v>
      </c>
      <c r="R1081" s="53">
        <v>0</v>
      </c>
      <c r="S1081" s="53">
        <v>0.6</v>
      </c>
      <c r="T1081" s="53">
        <f>STOCK[[#This Row],[Costo Unitario (USD)]]+STOCK[[#This Row],[Costo Envío (USD)]]+STOCK[[#This Row],[Comisión 10%]]</f>
        <v>18.89</v>
      </c>
      <c r="U1081" s="53">
        <f>STOCK[[#This Row],[Costo total]]*1.5</f>
        <v>28.335</v>
      </c>
      <c r="V1081" s="53">
        <v>35</v>
      </c>
      <c r="W1081" s="53">
        <f>STOCK[[#This Row],[Precio Final]]-STOCK[[#This Row],[Costo total]]</f>
        <v>16.11</v>
      </c>
      <c r="X1081" s="53">
        <f>STOCK[[#This Row],[Ganancia Unitaria]]*STOCK[[#This Row],[Salidas]]</f>
        <v>16.11</v>
      </c>
      <c r="Y1081" s="53" t="s">
        <v>2257</v>
      </c>
      <c r="AA1081" s="54">
        <f>STOCK[[#This Row],[Costo total]]*STOCK[[#This Row],[Entradas]]</f>
        <v>37.78</v>
      </c>
      <c r="AB1081" s="54">
        <f>STOCK[[#This Row],[Stock Actual]]*STOCK[[#This Row],[Costo total]]</f>
        <v>18.89</v>
      </c>
    </row>
    <row r="1082" s="54" customFormat="1" ht="50" customHeight="1" spans="1:28">
      <c r="A1082" s="54" t="s">
        <v>2258</v>
      </c>
      <c r="B1082" s="66"/>
      <c r="C1082" s="54" t="s">
        <v>32</v>
      </c>
      <c r="D1082" s="54" t="s">
        <v>44</v>
      </c>
      <c r="E1082" s="68" t="s">
        <v>2259</v>
      </c>
      <c r="F1082" s="54" t="s">
        <v>49</v>
      </c>
      <c r="G1082" s="54" t="s">
        <v>1876</v>
      </c>
      <c r="H1082" s="54">
        <f>STOCK[[#This Row],[Precio Final]]</f>
        <v>30</v>
      </c>
      <c r="I1082" s="54">
        <f>STOCK[[#This Row],[Precio Venta Ideal (x1.5)]]</f>
        <v>22.665</v>
      </c>
      <c r="J1082" s="72">
        <v>0</v>
      </c>
      <c r="K1082" s="72">
        <f>SUMIFS(VENTAS[Cantidad],VENTAS[Código del producto Vendido],STOCK[[#This Row],[Code]])</f>
        <v>0</v>
      </c>
      <c r="L1082" s="72">
        <f>STOCK[[#This Row],[Entradas]]-STOCK[[#This Row],[Salidas]]</f>
        <v>0</v>
      </c>
      <c r="M1082" s="54">
        <f>STOCK[[#This Row],[Precio Final]]*10%</f>
        <v>3</v>
      </c>
      <c r="N1082" s="54">
        <v>0</v>
      </c>
      <c r="O1082" s="54">
        <v>0</v>
      </c>
      <c r="P1082" s="54">
        <v>11.51</v>
      </c>
      <c r="Q1082" s="72">
        <v>0</v>
      </c>
      <c r="R1082" s="54">
        <v>0</v>
      </c>
      <c r="S1082" s="54">
        <v>0.6</v>
      </c>
      <c r="T1082" s="53">
        <f>STOCK[[#This Row],[Costo Unitario (USD)]]+STOCK[[#This Row],[Costo Envío (USD)]]+STOCK[[#This Row],[Comisión 10%]]</f>
        <v>15.11</v>
      </c>
      <c r="U1082" s="54">
        <f>STOCK[[#This Row],[Costo total]]*1.5</f>
        <v>22.665</v>
      </c>
      <c r="V1082" s="54">
        <v>30</v>
      </c>
      <c r="W1082" s="54">
        <f>STOCK[[#This Row],[Precio Final]]-STOCK[[#This Row],[Costo total]]</f>
        <v>14.89</v>
      </c>
      <c r="X1082" s="54">
        <f>STOCK[[#This Row],[Ganancia Unitaria]]*STOCK[[#This Row],[Salidas]]</f>
        <v>0</v>
      </c>
      <c r="Y1082" s="54" t="s">
        <v>2260</v>
      </c>
      <c r="AA1082" s="54">
        <f>STOCK[[#This Row],[Costo total]]*STOCK[[#This Row],[Entradas]]</f>
        <v>0</v>
      </c>
      <c r="AB1082" s="54">
        <f>STOCK[[#This Row],[Stock Actual]]*STOCK[[#This Row],[Costo total]]</f>
        <v>0</v>
      </c>
    </row>
    <row r="1083" s="53" customFormat="1" ht="50" customHeight="1" spans="1:28">
      <c r="A1083" s="53" t="s">
        <v>2261</v>
      </c>
      <c r="B1083" s="66"/>
      <c r="C1083" s="53" t="s">
        <v>32</v>
      </c>
      <c r="D1083" s="53" t="s">
        <v>44</v>
      </c>
      <c r="E1083" s="67" t="s">
        <v>2259</v>
      </c>
      <c r="F1083" s="53" t="s">
        <v>46</v>
      </c>
      <c r="G1083" s="53" t="s">
        <v>1876</v>
      </c>
      <c r="H1083" s="53">
        <f>STOCK[[#This Row],[Precio Final]]</f>
        <v>30</v>
      </c>
      <c r="I1083" s="53">
        <f>STOCK[[#This Row],[Precio Venta Ideal (x1.5)]]</f>
        <v>22.665</v>
      </c>
      <c r="J1083" s="71">
        <v>0</v>
      </c>
      <c r="K1083" s="71">
        <f>SUMIFS(VENTAS[Cantidad],VENTAS[Código del producto Vendido],STOCK[[#This Row],[Code]])</f>
        <v>0</v>
      </c>
      <c r="L1083" s="71">
        <f>STOCK[[#This Row],[Entradas]]-STOCK[[#This Row],[Salidas]]</f>
        <v>0</v>
      </c>
      <c r="M1083" s="53">
        <f>STOCK[[#This Row],[Precio Final]]*10%</f>
        <v>3</v>
      </c>
      <c r="N1083" s="53">
        <v>0</v>
      </c>
      <c r="O1083" s="53">
        <v>0</v>
      </c>
      <c r="P1083" s="53">
        <v>11.51</v>
      </c>
      <c r="Q1083" s="71">
        <v>0</v>
      </c>
      <c r="R1083" s="53">
        <v>0</v>
      </c>
      <c r="S1083" s="53">
        <v>0.6</v>
      </c>
      <c r="T1083" s="53">
        <f>STOCK[[#This Row],[Costo Unitario (USD)]]+STOCK[[#This Row],[Costo Envío (USD)]]+STOCK[[#This Row],[Comisión 10%]]</f>
        <v>15.11</v>
      </c>
      <c r="U1083" s="53">
        <f>STOCK[[#This Row],[Costo total]]*1.5</f>
        <v>22.665</v>
      </c>
      <c r="V1083" s="53">
        <v>30</v>
      </c>
      <c r="W1083" s="53">
        <f>STOCK[[#This Row],[Precio Final]]-STOCK[[#This Row],[Costo total]]</f>
        <v>14.89</v>
      </c>
      <c r="X1083" s="53">
        <f>STOCK[[#This Row],[Ganancia Unitaria]]*STOCK[[#This Row],[Salidas]]</f>
        <v>0</v>
      </c>
      <c r="Y1083" s="53" t="s">
        <v>2262</v>
      </c>
      <c r="AA1083" s="54">
        <f>STOCK[[#This Row],[Costo total]]*STOCK[[#This Row],[Entradas]]</f>
        <v>0</v>
      </c>
      <c r="AB1083" s="54">
        <f>STOCK[[#This Row],[Stock Actual]]*STOCK[[#This Row],[Costo total]]</f>
        <v>0</v>
      </c>
    </row>
    <row r="1084" s="54" customFormat="1" ht="50" customHeight="1" spans="1:28">
      <c r="A1084" s="54" t="s">
        <v>2263</v>
      </c>
      <c r="B1084" s="66"/>
      <c r="C1084" s="54" t="s">
        <v>32</v>
      </c>
      <c r="D1084" s="54" t="s">
        <v>2264</v>
      </c>
      <c r="E1084" s="68" t="s">
        <v>2265</v>
      </c>
      <c r="F1084" s="54" t="s">
        <v>42</v>
      </c>
      <c r="G1084" s="54" t="s">
        <v>1876</v>
      </c>
      <c r="H1084" s="54">
        <f>STOCK[[#This Row],[Precio Final]]</f>
        <v>20</v>
      </c>
      <c r="I1084" s="54">
        <f>STOCK[[#This Row],[Precio Venta Ideal (x1.5)]]</f>
        <v>15.285</v>
      </c>
      <c r="J1084" s="72">
        <v>2</v>
      </c>
      <c r="K1084" s="72">
        <f>SUMIFS(VENTAS[Cantidad],VENTAS[Código del producto Vendido],STOCK[[#This Row],[Code]])</f>
        <v>0</v>
      </c>
      <c r="L1084" s="72">
        <f>STOCK[[#This Row],[Entradas]]-STOCK[[#This Row],[Salidas]]</f>
        <v>2</v>
      </c>
      <c r="M1084" s="54">
        <f>STOCK[[#This Row],[Precio Final]]*10%</f>
        <v>2</v>
      </c>
      <c r="N1084" s="54">
        <v>0</v>
      </c>
      <c r="O1084" s="54">
        <v>0</v>
      </c>
      <c r="P1084" s="54">
        <v>7.59</v>
      </c>
      <c r="Q1084" s="72">
        <v>0</v>
      </c>
      <c r="R1084" s="54">
        <v>0</v>
      </c>
      <c r="S1084" s="54">
        <v>0.6</v>
      </c>
      <c r="T1084" s="53">
        <f>STOCK[[#This Row],[Costo Unitario (USD)]]+STOCK[[#This Row],[Costo Envío (USD)]]+STOCK[[#This Row],[Comisión 10%]]</f>
        <v>10.19</v>
      </c>
      <c r="U1084" s="54">
        <f>STOCK[[#This Row],[Costo total]]*1.5</f>
        <v>15.285</v>
      </c>
      <c r="V1084" s="54">
        <v>20</v>
      </c>
      <c r="W1084" s="54">
        <f>STOCK[[#This Row],[Precio Final]]-STOCK[[#This Row],[Costo total]]</f>
        <v>9.81</v>
      </c>
      <c r="X1084" s="54">
        <f>STOCK[[#This Row],[Ganancia Unitaria]]*STOCK[[#This Row],[Salidas]]</f>
        <v>0</v>
      </c>
      <c r="Y1084" s="54" t="s">
        <v>2266</v>
      </c>
      <c r="AA1084" s="54">
        <f>STOCK[[#This Row],[Costo total]]*STOCK[[#This Row],[Entradas]]</f>
        <v>20.38</v>
      </c>
      <c r="AB1084" s="54">
        <f>STOCK[[#This Row],[Stock Actual]]*STOCK[[#This Row],[Costo total]]</f>
        <v>20.38</v>
      </c>
    </row>
    <row r="1085" s="53" customFormat="1" ht="50" customHeight="1" spans="1:28">
      <c r="A1085" s="53" t="s">
        <v>2267</v>
      </c>
      <c r="B1085" s="66"/>
      <c r="C1085" s="53" t="s">
        <v>32</v>
      </c>
      <c r="D1085" s="53" t="s">
        <v>2264</v>
      </c>
      <c r="E1085" s="67" t="s">
        <v>2265</v>
      </c>
      <c r="F1085" s="53" t="s">
        <v>46</v>
      </c>
      <c r="G1085" s="53" t="s">
        <v>1876</v>
      </c>
      <c r="H1085" s="53">
        <f>STOCK[[#This Row],[Precio Final]]</f>
        <v>20</v>
      </c>
      <c r="I1085" s="53">
        <f>STOCK[[#This Row],[Precio Venta Ideal (x1.5)]]</f>
        <v>15.285</v>
      </c>
      <c r="J1085" s="71">
        <v>2</v>
      </c>
      <c r="K1085" s="71">
        <f>SUMIFS(VENTAS[Cantidad],VENTAS[Código del producto Vendido],STOCK[[#This Row],[Code]])</f>
        <v>0</v>
      </c>
      <c r="L1085" s="71">
        <f>STOCK[[#This Row],[Entradas]]-STOCK[[#This Row],[Salidas]]</f>
        <v>2</v>
      </c>
      <c r="M1085" s="53">
        <f>STOCK[[#This Row],[Precio Final]]*10%</f>
        <v>2</v>
      </c>
      <c r="N1085" s="53">
        <v>0</v>
      </c>
      <c r="O1085" s="53">
        <v>0</v>
      </c>
      <c r="P1085" s="53">
        <v>7.59</v>
      </c>
      <c r="Q1085" s="71">
        <v>0</v>
      </c>
      <c r="R1085" s="53">
        <v>0</v>
      </c>
      <c r="S1085" s="53">
        <v>0.6</v>
      </c>
      <c r="T1085" s="53">
        <f>STOCK[[#This Row],[Costo Unitario (USD)]]+STOCK[[#This Row],[Costo Envío (USD)]]+STOCK[[#This Row],[Comisión 10%]]</f>
        <v>10.19</v>
      </c>
      <c r="U1085" s="53">
        <f>STOCK[[#This Row],[Costo total]]*1.5</f>
        <v>15.285</v>
      </c>
      <c r="V1085" s="53">
        <v>20</v>
      </c>
      <c r="W1085" s="53">
        <f>STOCK[[#This Row],[Precio Final]]-STOCK[[#This Row],[Costo total]]</f>
        <v>9.81</v>
      </c>
      <c r="X1085" s="53">
        <f>STOCK[[#This Row],[Ganancia Unitaria]]*STOCK[[#This Row],[Salidas]]</f>
        <v>0</v>
      </c>
      <c r="Y1085" s="53" t="s">
        <v>2268</v>
      </c>
      <c r="AA1085" s="54">
        <f>STOCK[[#This Row],[Costo total]]*STOCK[[#This Row],[Entradas]]</f>
        <v>20.38</v>
      </c>
      <c r="AB1085" s="54">
        <f>STOCK[[#This Row],[Stock Actual]]*STOCK[[#This Row],[Costo total]]</f>
        <v>20.38</v>
      </c>
    </row>
    <row r="1086" s="54" customFormat="1" ht="50" customHeight="1" spans="1:28">
      <c r="A1086" s="54" t="s">
        <v>2269</v>
      </c>
      <c r="B1086" s="66"/>
      <c r="C1086" s="54" t="s">
        <v>32</v>
      </c>
      <c r="D1086" s="54" t="s">
        <v>1212</v>
      </c>
      <c r="E1086" s="68" t="s">
        <v>2265</v>
      </c>
      <c r="F1086" s="54" t="s">
        <v>49</v>
      </c>
      <c r="G1086" s="54" t="s">
        <v>1876</v>
      </c>
      <c r="H1086" s="54">
        <f>STOCK[[#This Row],[Precio Final]]</f>
        <v>20</v>
      </c>
      <c r="I1086" s="54">
        <f>STOCK[[#This Row],[Precio Venta Ideal (x1.5)]]</f>
        <v>15.285</v>
      </c>
      <c r="J1086" s="72">
        <v>2</v>
      </c>
      <c r="K1086" s="72">
        <f>SUMIFS(VENTAS[Cantidad],VENTAS[Código del producto Vendido],STOCK[[#This Row],[Code]])</f>
        <v>0</v>
      </c>
      <c r="L1086" s="72">
        <f>STOCK[[#This Row],[Entradas]]-STOCK[[#This Row],[Salidas]]</f>
        <v>2</v>
      </c>
      <c r="M1086" s="54">
        <f>STOCK[[#This Row],[Precio Final]]*10%</f>
        <v>2</v>
      </c>
      <c r="N1086" s="54">
        <v>0</v>
      </c>
      <c r="O1086" s="54">
        <v>0</v>
      </c>
      <c r="P1086" s="54">
        <v>7.59</v>
      </c>
      <c r="Q1086" s="72">
        <v>0</v>
      </c>
      <c r="R1086" s="54">
        <v>0</v>
      </c>
      <c r="S1086" s="54">
        <v>0.6</v>
      </c>
      <c r="T1086" s="53">
        <f>STOCK[[#This Row],[Costo Unitario (USD)]]+STOCK[[#This Row],[Costo Envío (USD)]]+STOCK[[#This Row],[Comisión 10%]]</f>
        <v>10.19</v>
      </c>
      <c r="U1086" s="54">
        <f>STOCK[[#This Row],[Costo total]]*1.5</f>
        <v>15.285</v>
      </c>
      <c r="V1086" s="54">
        <v>20</v>
      </c>
      <c r="W1086" s="54">
        <f>STOCK[[#This Row],[Precio Final]]-STOCK[[#This Row],[Costo total]]</f>
        <v>9.81</v>
      </c>
      <c r="X1086" s="54">
        <f>STOCK[[#This Row],[Ganancia Unitaria]]*STOCK[[#This Row],[Salidas]]</f>
        <v>0</v>
      </c>
      <c r="Y1086" s="54" t="s">
        <v>2270</v>
      </c>
      <c r="AA1086" s="54">
        <f>STOCK[[#This Row],[Costo total]]*STOCK[[#This Row],[Entradas]]</f>
        <v>20.38</v>
      </c>
      <c r="AB1086" s="54">
        <f>STOCK[[#This Row],[Stock Actual]]*STOCK[[#This Row],[Costo total]]</f>
        <v>20.38</v>
      </c>
    </row>
    <row r="1087" s="53" customFormat="1" ht="50" customHeight="1" spans="1:28">
      <c r="A1087" s="53" t="s">
        <v>2271</v>
      </c>
      <c r="B1087" s="66"/>
      <c r="C1087" s="53" t="s">
        <v>32</v>
      </c>
      <c r="D1087" s="53" t="s">
        <v>1212</v>
      </c>
      <c r="E1087" s="67" t="s">
        <v>2265</v>
      </c>
      <c r="F1087" s="53" t="s">
        <v>62</v>
      </c>
      <c r="G1087" s="53" t="s">
        <v>1876</v>
      </c>
      <c r="H1087" s="53">
        <f>STOCK[[#This Row],[Precio Final]]</f>
        <v>20</v>
      </c>
      <c r="I1087" s="53">
        <f>STOCK[[#This Row],[Precio Venta Ideal (x1.5)]]</f>
        <v>15.285</v>
      </c>
      <c r="J1087" s="71">
        <v>2</v>
      </c>
      <c r="K1087" s="71">
        <f>SUMIFS(VENTAS[Cantidad],VENTAS[Código del producto Vendido],STOCK[[#This Row],[Code]])</f>
        <v>0</v>
      </c>
      <c r="L1087" s="71">
        <f>STOCK[[#This Row],[Entradas]]-STOCK[[#This Row],[Salidas]]</f>
        <v>2</v>
      </c>
      <c r="M1087" s="53">
        <f>STOCK[[#This Row],[Precio Final]]*10%</f>
        <v>2</v>
      </c>
      <c r="N1087" s="53">
        <v>0</v>
      </c>
      <c r="O1087" s="53">
        <v>0</v>
      </c>
      <c r="P1087" s="53">
        <v>7.59</v>
      </c>
      <c r="Q1087" s="71">
        <v>0</v>
      </c>
      <c r="R1087" s="53">
        <v>0</v>
      </c>
      <c r="S1087" s="53">
        <v>0.6</v>
      </c>
      <c r="T1087" s="53">
        <f>STOCK[[#This Row],[Costo Unitario (USD)]]+STOCK[[#This Row],[Costo Envío (USD)]]+STOCK[[#This Row],[Comisión 10%]]</f>
        <v>10.19</v>
      </c>
      <c r="U1087" s="53">
        <f>STOCK[[#This Row],[Costo total]]*1.5</f>
        <v>15.285</v>
      </c>
      <c r="V1087" s="53">
        <v>20</v>
      </c>
      <c r="W1087" s="53">
        <f>STOCK[[#This Row],[Precio Final]]-STOCK[[#This Row],[Costo total]]</f>
        <v>9.81</v>
      </c>
      <c r="X1087" s="53">
        <f>STOCK[[#This Row],[Ganancia Unitaria]]*STOCK[[#This Row],[Salidas]]</f>
        <v>0</v>
      </c>
      <c r="Y1087" s="53" t="s">
        <v>2272</v>
      </c>
      <c r="AA1087" s="54">
        <f>STOCK[[#This Row],[Costo total]]*STOCK[[#This Row],[Entradas]]</f>
        <v>20.38</v>
      </c>
      <c r="AB1087" s="54">
        <f>STOCK[[#This Row],[Stock Actual]]*STOCK[[#This Row],[Costo total]]</f>
        <v>20.38</v>
      </c>
    </row>
    <row r="1088" s="54" customFormat="1" ht="50" customHeight="1" spans="1:28">
      <c r="A1088" s="54" t="s">
        <v>2273</v>
      </c>
      <c r="B1088" s="66"/>
      <c r="C1088" s="54" t="s">
        <v>32</v>
      </c>
      <c r="D1088" s="54" t="s">
        <v>2111</v>
      </c>
      <c r="E1088" s="68" t="s">
        <v>2274</v>
      </c>
      <c r="F1088" s="54" t="s">
        <v>2108</v>
      </c>
      <c r="G1088" s="54" t="s">
        <v>1876</v>
      </c>
      <c r="H1088" s="54">
        <f>STOCK[[#This Row],[Precio Final]]</f>
        <v>15</v>
      </c>
      <c r="I1088" s="54">
        <f>STOCK[[#This Row],[Precio Venta Ideal (x1.5)]]</f>
        <v>12.585</v>
      </c>
      <c r="J1088" s="72">
        <v>3</v>
      </c>
      <c r="K1088" s="72">
        <f>SUMIFS(VENTAS[Cantidad],VENTAS[Código del producto Vendido],STOCK[[#This Row],[Code]])</f>
        <v>1</v>
      </c>
      <c r="L1088" s="72">
        <f>STOCK[[#This Row],[Entradas]]-STOCK[[#This Row],[Salidas]]</f>
        <v>2</v>
      </c>
      <c r="M1088" s="54">
        <f>STOCK[[#This Row],[Precio Final]]*10%</f>
        <v>1.5</v>
      </c>
      <c r="N1088" s="54">
        <v>0</v>
      </c>
      <c r="O1088" s="54">
        <v>0</v>
      </c>
      <c r="P1088" s="54">
        <v>6.29</v>
      </c>
      <c r="Q1088" s="72">
        <v>0</v>
      </c>
      <c r="R1088" s="54">
        <v>0</v>
      </c>
      <c r="S1088" s="54">
        <v>0.6</v>
      </c>
      <c r="T1088" s="53">
        <f>STOCK[[#This Row],[Costo Unitario (USD)]]+STOCK[[#This Row],[Costo Envío (USD)]]+STOCK[[#This Row],[Comisión 10%]]</f>
        <v>8.39</v>
      </c>
      <c r="U1088" s="54">
        <f>STOCK[[#This Row],[Costo total]]*1.5</f>
        <v>12.585</v>
      </c>
      <c r="V1088" s="54">
        <v>15</v>
      </c>
      <c r="W1088" s="54">
        <f>STOCK[[#This Row],[Precio Final]]-STOCK[[#This Row],[Costo total]]</f>
        <v>6.61</v>
      </c>
      <c r="X1088" s="54">
        <f>STOCK[[#This Row],[Ganancia Unitaria]]*STOCK[[#This Row],[Salidas]]</f>
        <v>6.61</v>
      </c>
      <c r="Y1088" s="54" t="s">
        <v>2275</v>
      </c>
      <c r="AA1088" s="54">
        <f>STOCK[[#This Row],[Costo total]]*STOCK[[#This Row],[Entradas]]</f>
        <v>25.17</v>
      </c>
      <c r="AB1088" s="54">
        <f>STOCK[[#This Row],[Stock Actual]]*STOCK[[#This Row],[Costo total]]</f>
        <v>16.78</v>
      </c>
    </row>
    <row r="1089" s="53" customFormat="1" ht="50" customHeight="1" spans="1:28">
      <c r="A1089" s="53" t="s">
        <v>2276</v>
      </c>
      <c r="B1089" s="66"/>
      <c r="C1089" s="53" t="s">
        <v>32</v>
      </c>
      <c r="D1089" s="53" t="s">
        <v>2111</v>
      </c>
      <c r="E1089" s="67" t="s">
        <v>2277</v>
      </c>
      <c r="F1089" s="53" t="s">
        <v>2108</v>
      </c>
      <c r="G1089" s="53" t="s">
        <v>1876</v>
      </c>
      <c r="H1089" s="53">
        <f>STOCK[[#This Row],[Precio Final]]</f>
        <v>15</v>
      </c>
      <c r="I1089" s="53">
        <f>STOCK[[#This Row],[Precio Venta Ideal (x1.5)]]</f>
        <v>12.585</v>
      </c>
      <c r="J1089" s="71">
        <v>3</v>
      </c>
      <c r="K1089" s="71">
        <f>SUMIFS(VENTAS[Cantidad],VENTAS[Código del producto Vendido],STOCK[[#This Row],[Code]])</f>
        <v>0</v>
      </c>
      <c r="L1089" s="71">
        <f>STOCK[[#This Row],[Entradas]]-STOCK[[#This Row],[Salidas]]</f>
        <v>3</v>
      </c>
      <c r="M1089" s="53">
        <f>STOCK[[#This Row],[Precio Final]]*10%</f>
        <v>1.5</v>
      </c>
      <c r="N1089" s="53">
        <v>0</v>
      </c>
      <c r="O1089" s="53">
        <v>0</v>
      </c>
      <c r="P1089" s="53">
        <v>6.29</v>
      </c>
      <c r="Q1089" s="71">
        <v>0</v>
      </c>
      <c r="R1089" s="53">
        <v>0</v>
      </c>
      <c r="S1089" s="53">
        <v>0.6</v>
      </c>
      <c r="T1089" s="53">
        <f>STOCK[[#This Row],[Costo Unitario (USD)]]+STOCK[[#This Row],[Costo Envío (USD)]]+STOCK[[#This Row],[Comisión 10%]]</f>
        <v>8.39</v>
      </c>
      <c r="U1089" s="53">
        <f>STOCK[[#This Row],[Costo total]]*1.5</f>
        <v>12.585</v>
      </c>
      <c r="V1089" s="53">
        <v>15</v>
      </c>
      <c r="W1089" s="53">
        <f>STOCK[[#This Row],[Precio Final]]-STOCK[[#This Row],[Costo total]]</f>
        <v>6.61</v>
      </c>
      <c r="X1089" s="53">
        <f>STOCK[[#This Row],[Ganancia Unitaria]]*STOCK[[#This Row],[Salidas]]</f>
        <v>0</v>
      </c>
      <c r="Y1089" s="53" t="s">
        <v>2278</v>
      </c>
      <c r="AA1089" s="54">
        <f>STOCK[[#This Row],[Costo total]]*STOCK[[#This Row],[Entradas]]</f>
        <v>25.17</v>
      </c>
      <c r="AB1089" s="54">
        <f>STOCK[[#This Row],[Stock Actual]]*STOCK[[#This Row],[Costo total]]</f>
        <v>25.17</v>
      </c>
    </row>
    <row r="1090" s="54" customFormat="1" ht="50" customHeight="1" spans="1:28">
      <c r="A1090" s="54" t="s">
        <v>2279</v>
      </c>
      <c r="B1090" s="66"/>
      <c r="C1090" s="54" t="s">
        <v>32</v>
      </c>
      <c r="D1090" s="54" t="s">
        <v>2111</v>
      </c>
      <c r="E1090" s="68" t="s">
        <v>2280</v>
      </c>
      <c r="F1090" s="54" t="s">
        <v>2108</v>
      </c>
      <c r="G1090" s="54" t="s">
        <v>1876</v>
      </c>
      <c r="H1090" s="54">
        <f>STOCK[[#This Row],[Precio Final]]</f>
        <v>15</v>
      </c>
      <c r="I1090" s="54">
        <f>STOCK[[#This Row],[Precio Venta Ideal (x1.5)]]</f>
        <v>8.595</v>
      </c>
      <c r="J1090" s="72">
        <v>0</v>
      </c>
      <c r="K1090" s="72">
        <f>SUMIFS(VENTAS[Cantidad],VENTAS[Código del producto Vendido],STOCK[[#This Row],[Code]])</f>
        <v>0</v>
      </c>
      <c r="L1090" s="72">
        <f>STOCK[[#This Row],[Entradas]]-STOCK[[#This Row],[Salidas]]</f>
        <v>0</v>
      </c>
      <c r="M1090" s="54">
        <f>STOCK[[#This Row],[Precio Final]]*10%</f>
        <v>1.5</v>
      </c>
      <c r="N1090" s="54">
        <v>0</v>
      </c>
      <c r="O1090" s="54">
        <v>0</v>
      </c>
      <c r="P1090" s="54">
        <v>3.63</v>
      </c>
      <c r="Q1090" s="72">
        <v>0</v>
      </c>
      <c r="R1090" s="54">
        <v>0</v>
      </c>
      <c r="S1090" s="54">
        <v>0.6</v>
      </c>
      <c r="T1090" s="53">
        <f>STOCK[[#This Row],[Costo Unitario (USD)]]+STOCK[[#This Row],[Costo Envío (USD)]]+STOCK[[#This Row],[Comisión 10%]]</f>
        <v>5.73</v>
      </c>
      <c r="U1090" s="54">
        <f>STOCK[[#This Row],[Costo total]]*1.5</f>
        <v>8.595</v>
      </c>
      <c r="V1090" s="54">
        <v>15</v>
      </c>
      <c r="W1090" s="54">
        <f>STOCK[[#This Row],[Precio Final]]-STOCK[[#This Row],[Costo total]]</f>
        <v>9.27</v>
      </c>
      <c r="X1090" s="54">
        <f>STOCK[[#This Row],[Ganancia Unitaria]]*STOCK[[#This Row],[Salidas]]</f>
        <v>0</v>
      </c>
      <c r="Y1090" s="54" t="s">
        <v>2281</v>
      </c>
      <c r="AA1090" s="54">
        <f>STOCK[[#This Row],[Costo total]]*STOCK[[#This Row],[Entradas]]</f>
        <v>0</v>
      </c>
      <c r="AB1090" s="54">
        <f>STOCK[[#This Row],[Stock Actual]]*STOCK[[#This Row],[Costo total]]</f>
        <v>0</v>
      </c>
    </row>
    <row r="1091" s="53" customFormat="1" ht="50" customHeight="1" spans="1:28">
      <c r="A1091" s="53" t="s">
        <v>2282</v>
      </c>
      <c r="B1091" s="66"/>
      <c r="C1091" s="53" t="s">
        <v>32</v>
      </c>
      <c r="D1091" s="53" t="s">
        <v>2111</v>
      </c>
      <c r="E1091" s="67" t="s">
        <v>2283</v>
      </c>
      <c r="F1091" s="53" t="s">
        <v>2108</v>
      </c>
      <c r="G1091" s="53" t="s">
        <v>1876</v>
      </c>
      <c r="H1091" s="53">
        <f>STOCK[[#This Row],[Precio Final]]</f>
        <v>10</v>
      </c>
      <c r="I1091" s="53">
        <f>STOCK[[#This Row],[Precio Venta Ideal (x1.5)]]</f>
        <v>6.57</v>
      </c>
      <c r="J1091" s="71">
        <v>0</v>
      </c>
      <c r="K1091" s="71">
        <f>SUMIFS(VENTAS[Cantidad],VENTAS[Código del producto Vendido],STOCK[[#This Row],[Code]])</f>
        <v>0</v>
      </c>
      <c r="L1091" s="71">
        <f>STOCK[[#This Row],[Entradas]]-STOCK[[#This Row],[Salidas]]</f>
        <v>0</v>
      </c>
      <c r="M1091" s="53">
        <f>STOCK[[#This Row],[Precio Final]]*10%</f>
        <v>1</v>
      </c>
      <c r="N1091" s="53">
        <v>0</v>
      </c>
      <c r="O1091" s="53">
        <v>0</v>
      </c>
      <c r="P1091" s="53">
        <v>2.78</v>
      </c>
      <c r="Q1091" s="71">
        <v>0</v>
      </c>
      <c r="R1091" s="53">
        <v>0</v>
      </c>
      <c r="S1091" s="53">
        <v>0.6</v>
      </c>
      <c r="T1091" s="53">
        <f>STOCK[[#This Row],[Costo Unitario (USD)]]+STOCK[[#This Row],[Costo Envío (USD)]]+STOCK[[#This Row],[Comisión 10%]]</f>
        <v>4.38</v>
      </c>
      <c r="U1091" s="53">
        <f>STOCK[[#This Row],[Costo total]]*1.5</f>
        <v>6.57</v>
      </c>
      <c r="V1091" s="53">
        <v>10</v>
      </c>
      <c r="W1091" s="53">
        <f>STOCK[[#This Row],[Precio Final]]-STOCK[[#This Row],[Costo total]]</f>
        <v>5.62</v>
      </c>
      <c r="X1091" s="53">
        <f>STOCK[[#This Row],[Ganancia Unitaria]]*STOCK[[#This Row],[Salidas]]</f>
        <v>0</v>
      </c>
      <c r="Y1091" s="53" t="s">
        <v>2284</v>
      </c>
      <c r="AA1091" s="54">
        <f>STOCK[[#This Row],[Costo total]]*STOCK[[#This Row],[Entradas]]</f>
        <v>0</v>
      </c>
      <c r="AB1091" s="54">
        <f>STOCK[[#This Row],[Stock Actual]]*STOCK[[#This Row],[Costo total]]</f>
        <v>0</v>
      </c>
    </row>
    <row r="1092" s="54" customFormat="1" ht="50" customHeight="1" spans="1:28">
      <c r="A1092" s="54" t="s">
        <v>2285</v>
      </c>
      <c r="B1092" s="66"/>
      <c r="C1092" s="54" t="s">
        <v>32</v>
      </c>
      <c r="D1092" s="54" t="s">
        <v>2111</v>
      </c>
      <c r="E1092" s="68" t="s">
        <v>2286</v>
      </c>
      <c r="F1092" s="54" t="s">
        <v>1534</v>
      </c>
      <c r="G1092" s="54" t="s">
        <v>1876</v>
      </c>
      <c r="H1092" s="54">
        <f>STOCK[[#This Row],[Precio Final]]</f>
        <v>12</v>
      </c>
      <c r="I1092" s="54">
        <f>STOCK[[#This Row],[Precio Venta Ideal (x1.5)]]</f>
        <v>8.145</v>
      </c>
      <c r="J1092" s="72">
        <v>3</v>
      </c>
      <c r="K1092" s="72">
        <f>SUMIFS(VENTAS[Cantidad],VENTAS[Código del producto Vendido],STOCK[[#This Row],[Code]])</f>
        <v>3</v>
      </c>
      <c r="L1092" s="72">
        <f>STOCK[[#This Row],[Entradas]]-STOCK[[#This Row],[Salidas]]</f>
        <v>0</v>
      </c>
      <c r="M1092" s="54">
        <f>STOCK[[#This Row],[Precio Final]]*10%</f>
        <v>1.2</v>
      </c>
      <c r="N1092" s="54">
        <v>0</v>
      </c>
      <c r="O1092" s="54">
        <v>0</v>
      </c>
      <c r="P1092" s="54">
        <v>3.63</v>
      </c>
      <c r="Q1092" s="72">
        <v>0</v>
      </c>
      <c r="R1092" s="54">
        <v>0</v>
      </c>
      <c r="S1092" s="54">
        <v>0.6</v>
      </c>
      <c r="T1092" s="53">
        <f>STOCK[[#This Row],[Costo Unitario (USD)]]+STOCK[[#This Row],[Costo Envío (USD)]]+STOCK[[#This Row],[Comisión 10%]]</f>
        <v>5.43</v>
      </c>
      <c r="U1092" s="54">
        <f>STOCK[[#This Row],[Costo total]]*1.5</f>
        <v>8.145</v>
      </c>
      <c r="V1092" s="54">
        <v>12</v>
      </c>
      <c r="W1092" s="54">
        <f>STOCK[[#This Row],[Precio Final]]-STOCK[[#This Row],[Costo total]]</f>
        <v>6.57</v>
      </c>
      <c r="X1092" s="54">
        <f>STOCK[[#This Row],[Ganancia Unitaria]]*STOCK[[#This Row],[Salidas]]</f>
        <v>19.71</v>
      </c>
      <c r="Y1092" s="54" t="s">
        <v>2287</v>
      </c>
      <c r="AA1092" s="54">
        <f>STOCK[[#This Row],[Costo total]]*STOCK[[#This Row],[Entradas]]</f>
        <v>16.29</v>
      </c>
      <c r="AB1092" s="54">
        <f>STOCK[[#This Row],[Stock Actual]]*STOCK[[#This Row],[Costo total]]</f>
        <v>0</v>
      </c>
    </row>
    <row r="1093" s="53" customFormat="1" ht="50" customHeight="1" spans="1:28">
      <c r="A1093" s="53" t="s">
        <v>2288</v>
      </c>
      <c r="B1093" s="66"/>
      <c r="C1093" s="53" t="s">
        <v>32</v>
      </c>
      <c r="D1093" s="53" t="s">
        <v>2111</v>
      </c>
      <c r="E1093" s="67" t="s">
        <v>2289</v>
      </c>
      <c r="F1093" s="53" t="s">
        <v>1534</v>
      </c>
      <c r="G1093" s="53" t="s">
        <v>1876</v>
      </c>
      <c r="H1093" s="53">
        <f>STOCK[[#This Row],[Precio Final]]</f>
        <v>12</v>
      </c>
      <c r="I1093" s="53">
        <f>STOCK[[#This Row],[Precio Venta Ideal (x1.5)]]</f>
        <v>10.11</v>
      </c>
      <c r="J1093" s="71">
        <v>3</v>
      </c>
      <c r="K1093" s="71">
        <f>SUMIFS(VENTAS[Cantidad],VENTAS[Código del producto Vendido],STOCK[[#This Row],[Code]])</f>
        <v>3</v>
      </c>
      <c r="L1093" s="71">
        <f>STOCK[[#This Row],[Entradas]]-STOCK[[#This Row],[Salidas]]</f>
        <v>0</v>
      </c>
      <c r="M1093" s="53">
        <f>STOCK[[#This Row],[Precio Final]]*10%</f>
        <v>1.2</v>
      </c>
      <c r="N1093" s="53">
        <v>0</v>
      </c>
      <c r="O1093" s="53">
        <v>0</v>
      </c>
      <c r="P1093" s="53">
        <v>4.94</v>
      </c>
      <c r="Q1093" s="71">
        <v>0</v>
      </c>
      <c r="R1093" s="53">
        <v>0</v>
      </c>
      <c r="S1093" s="53">
        <v>0.6</v>
      </c>
      <c r="T1093" s="53">
        <f>STOCK[[#This Row],[Costo Unitario (USD)]]+STOCK[[#This Row],[Costo Envío (USD)]]+STOCK[[#This Row],[Comisión 10%]]</f>
        <v>6.74</v>
      </c>
      <c r="U1093" s="53">
        <f>STOCK[[#This Row],[Costo total]]*1.5</f>
        <v>10.11</v>
      </c>
      <c r="V1093" s="53">
        <v>12</v>
      </c>
      <c r="W1093" s="53">
        <f>STOCK[[#This Row],[Precio Final]]-STOCK[[#This Row],[Costo total]]</f>
        <v>5.26</v>
      </c>
      <c r="X1093" s="53">
        <f>STOCK[[#This Row],[Ganancia Unitaria]]*STOCK[[#This Row],[Salidas]]</f>
        <v>15.78</v>
      </c>
      <c r="Y1093" s="53" t="s">
        <v>2290</v>
      </c>
      <c r="AA1093" s="54">
        <f>STOCK[[#This Row],[Costo total]]*STOCK[[#This Row],[Entradas]]</f>
        <v>20.22</v>
      </c>
      <c r="AB1093" s="54">
        <f>STOCK[[#This Row],[Stock Actual]]*STOCK[[#This Row],[Costo total]]</f>
        <v>0</v>
      </c>
    </row>
    <row r="1094" s="54" customFormat="1" ht="50" customHeight="1" spans="1:28">
      <c r="A1094" s="54" t="s">
        <v>2291</v>
      </c>
      <c r="B1094" s="66"/>
      <c r="C1094" s="54" t="s">
        <v>32</v>
      </c>
      <c r="D1094" s="54" t="s">
        <v>2118</v>
      </c>
      <c r="E1094" s="68" t="s">
        <v>2292</v>
      </c>
      <c r="F1094" s="54" t="s">
        <v>62</v>
      </c>
      <c r="G1094" s="54" t="s">
        <v>1876</v>
      </c>
      <c r="H1094" s="54">
        <f>STOCK[[#This Row],[Precio Final]]</f>
        <v>35</v>
      </c>
      <c r="I1094" s="54">
        <f>STOCK[[#This Row],[Precio Venta Ideal (x1.5)]]</f>
        <v>24.285</v>
      </c>
      <c r="J1094" s="72">
        <v>1</v>
      </c>
      <c r="K1094" s="72">
        <f>SUMIFS(VENTAS[Cantidad],VENTAS[Código del producto Vendido],STOCK[[#This Row],[Code]])</f>
        <v>1</v>
      </c>
      <c r="L1094" s="72">
        <f>STOCK[[#This Row],[Entradas]]-STOCK[[#This Row],[Salidas]]</f>
        <v>0</v>
      </c>
      <c r="M1094" s="54">
        <f>STOCK[[#This Row],[Precio Final]]*10%</f>
        <v>3.5</v>
      </c>
      <c r="N1094" s="54">
        <v>0</v>
      </c>
      <c r="O1094" s="54">
        <v>0</v>
      </c>
      <c r="P1094" s="54">
        <v>12.09</v>
      </c>
      <c r="Q1094" s="72">
        <v>0</v>
      </c>
      <c r="R1094" s="54">
        <v>0</v>
      </c>
      <c r="S1094" s="54">
        <v>0.6</v>
      </c>
      <c r="T1094" s="53">
        <f>STOCK[[#This Row],[Costo Unitario (USD)]]+STOCK[[#This Row],[Costo Envío (USD)]]+STOCK[[#This Row],[Comisión 10%]]</f>
        <v>16.19</v>
      </c>
      <c r="U1094" s="54">
        <f>STOCK[[#This Row],[Costo total]]*1.5</f>
        <v>24.285</v>
      </c>
      <c r="V1094" s="54">
        <v>35</v>
      </c>
      <c r="W1094" s="54">
        <f>STOCK[[#This Row],[Precio Final]]-STOCK[[#This Row],[Costo total]]</f>
        <v>18.81</v>
      </c>
      <c r="X1094" s="54">
        <f>STOCK[[#This Row],[Ganancia Unitaria]]*STOCK[[#This Row],[Salidas]]</f>
        <v>18.81</v>
      </c>
      <c r="Y1094" s="54" t="s">
        <v>2293</v>
      </c>
      <c r="AA1094" s="54">
        <f>STOCK[[#This Row],[Costo total]]*STOCK[[#This Row],[Entradas]]</f>
        <v>16.19</v>
      </c>
      <c r="AB1094" s="54">
        <f>STOCK[[#This Row],[Stock Actual]]*STOCK[[#This Row],[Costo total]]</f>
        <v>0</v>
      </c>
    </row>
    <row r="1095" s="53" customFormat="1" ht="50" customHeight="1" spans="1:28">
      <c r="A1095" s="53" t="s">
        <v>2294</v>
      </c>
      <c r="B1095" s="66"/>
      <c r="C1095" s="53" t="s">
        <v>32</v>
      </c>
      <c r="D1095" s="54" t="s">
        <v>38</v>
      </c>
      <c r="E1095" s="67" t="s">
        <v>2295</v>
      </c>
      <c r="F1095" s="53" t="s">
        <v>42</v>
      </c>
      <c r="G1095" s="53" t="s">
        <v>1876</v>
      </c>
      <c r="H1095" s="53">
        <f>STOCK[[#This Row],[Precio Final]]</f>
        <v>25</v>
      </c>
      <c r="I1095" s="53">
        <f>STOCK[[#This Row],[Precio Venta Ideal (x1.5)]]</f>
        <v>20.82</v>
      </c>
      <c r="J1095" s="71">
        <v>1</v>
      </c>
      <c r="K1095" s="71">
        <f>SUMIFS(VENTAS[Cantidad],VENTAS[Código del producto Vendido],STOCK[[#This Row],[Code]])</f>
        <v>1</v>
      </c>
      <c r="L1095" s="71">
        <f>STOCK[[#This Row],[Entradas]]-STOCK[[#This Row],[Salidas]]</f>
        <v>0</v>
      </c>
      <c r="M1095" s="53">
        <f>STOCK[[#This Row],[Precio Final]]*10%</f>
        <v>2.5</v>
      </c>
      <c r="N1095" s="53">
        <v>0</v>
      </c>
      <c r="O1095" s="53">
        <v>0</v>
      </c>
      <c r="P1095" s="53">
        <v>10.78</v>
      </c>
      <c r="Q1095" s="71">
        <v>0</v>
      </c>
      <c r="R1095" s="53">
        <v>0</v>
      </c>
      <c r="S1095" s="53">
        <v>0.6</v>
      </c>
      <c r="T1095" s="53">
        <f>STOCK[[#This Row],[Costo Unitario (USD)]]+STOCK[[#This Row],[Costo Envío (USD)]]+STOCK[[#This Row],[Comisión 10%]]</f>
        <v>13.88</v>
      </c>
      <c r="U1095" s="53">
        <f>STOCK[[#This Row],[Costo total]]*1.5</f>
        <v>20.82</v>
      </c>
      <c r="V1095" s="53">
        <v>25</v>
      </c>
      <c r="W1095" s="53">
        <f>STOCK[[#This Row],[Precio Final]]-STOCK[[#This Row],[Costo total]]</f>
        <v>11.12</v>
      </c>
      <c r="X1095" s="53">
        <f>STOCK[[#This Row],[Ganancia Unitaria]]*STOCK[[#This Row],[Salidas]]</f>
        <v>11.12</v>
      </c>
      <c r="Y1095" s="53" t="s">
        <v>2296</v>
      </c>
      <c r="AA1095" s="54">
        <f>STOCK[[#This Row],[Costo total]]*STOCK[[#This Row],[Entradas]]</f>
        <v>13.88</v>
      </c>
      <c r="AB1095" s="54">
        <f>STOCK[[#This Row],[Stock Actual]]*STOCK[[#This Row],[Costo total]]</f>
        <v>0</v>
      </c>
    </row>
    <row r="1096" s="54" customFormat="1" ht="50" customHeight="1" spans="1:28">
      <c r="A1096" s="54" t="s">
        <v>2297</v>
      </c>
      <c r="B1096" s="66"/>
      <c r="C1096" s="54" t="s">
        <v>32</v>
      </c>
      <c r="D1096" s="54" t="s">
        <v>1212</v>
      </c>
      <c r="E1096" s="68" t="s">
        <v>2298</v>
      </c>
      <c r="F1096" s="54" t="s">
        <v>62</v>
      </c>
      <c r="G1096" s="54" t="s">
        <v>1876</v>
      </c>
      <c r="H1096" s="54">
        <f>STOCK[[#This Row],[Precio Final]]</f>
        <v>20</v>
      </c>
      <c r="I1096" s="54">
        <f>STOCK[[#This Row],[Precio Venta Ideal (x1.5)]]</f>
        <v>21.12</v>
      </c>
      <c r="J1096" s="72">
        <v>1</v>
      </c>
      <c r="K1096" s="72">
        <f>SUMIFS(VENTAS[Cantidad],VENTAS[Código del producto Vendido],STOCK[[#This Row],[Code]])</f>
        <v>0</v>
      </c>
      <c r="L1096" s="72">
        <f>STOCK[[#This Row],[Entradas]]-STOCK[[#This Row],[Salidas]]</f>
        <v>1</v>
      </c>
      <c r="M1096" s="54">
        <f>STOCK[[#This Row],[Precio Final]]*10%</f>
        <v>2</v>
      </c>
      <c r="N1096" s="54">
        <v>0</v>
      </c>
      <c r="O1096" s="54">
        <v>0</v>
      </c>
      <c r="P1096" s="54">
        <v>11.48</v>
      </c>
      <c r="Q1096" s="72">
        <v>0</v>
      </c>
      <c r="R1096" s="54">
        <v>0</v>
      </c>
      <c r="S1096" s="54">
        <v>0.6</v>
      </c>
      <c r="T1096" s="53">
        <f>STOCK[[#This Row],[Costo Unitario (USD)]]+STOCK[[#This Row],[Costo Envío (USD)]]+STOCK[[#This Row],[Comisión 10%]]</f>
        <v>14.08</v>
      </c>
      <c r="U1096" s="54">
        <f>STOCK[[#This Row],[Costo total]]*1.5</f>
        <v>21.12</v>
      </c>
      <c r="V1096" s="54">
        <v>20</v>
      </c>
      <c r="W1096" s="54">
        <f>STOCK[[#This Row],[Precio Final]]-STOCK[[#This Row],[Costo total]]</f>
        <v>5.92</v>
      </c>
      <c r="X1096" s="54">
        <f>STOCK[[#This Row],[Ganancia Unitaria]]*STOCK[[#This Row],[Salidas]]</f>
        <v>0</v>
      </c>
      <c r="Y1096" s="54" t="s">
        <v>2299</v>
      </c>
      <c r="AA1096" s="54">
        <f>STOCK[[#This Row],[Costo total]]*STOCK[[#This Row],[Entradas]]</f>
        <v>14.08</v>
      </c>
      <c r="AB1096" s="54">
        <f>STOCK[[#This Row],[Stock Actual]]*STOCK[[#This Row],[Costo total]]</f>
        <v>14.08</v>
      </c>
    </row>
    <row r="1097" s="53" customFormat="1" ht="50" customHeight="1" spans="1:28">
      <c r="A1097" s="53" t="s">
        <v>2300</v>
      </c>
      <c r="B1097" s="66"/>
      <c r="C1097" s="53" t="s">
        <v>32</v>
      </c>
      <c r="D1097" s="53" t="s">
        <v>2118</v>
      </c>
      <c r="E1097" s="67" t="s">
        <v>2301</v>
      </c>
      <c r="F1097" s="53" t="s">
        <v>62</v>
      </c>
      <c r="G1097" s="53" t="s">
        <v>1876</v>
      </c>
      <c r="H1097" s="53">
        <f>STOCK[[#This Row],[Precio Final]]</f>
        <v>30</v>
      </c>
      <c r="I1097" s="53">
        <f>STOCK[[#This Row],[Precio Venta Ideal (x1.5)]]</f>
        <v>30.885</v>
      </c>
      <c r="J1097" s="71">
        <v>1</v>
      </c>
      <c r="K1097" s="71">
        <f>SUMIFS(VENTAS[Cantidad],VENTAS[Código del producto Vendido],STOCK[[#This Row],[Code]])</f>
        <v>1</v>
      </c>
      <c r="L1097" s="71">
        <f>STOCK[[#This Row],[Entradas]]-STOCK[[#This Row],[Salidas]]</f>
        <v>0</v>
      </c>
      <c r="M1097" s="53">
        <f>STOCK[[#This Row],[Precio Final]]*10%</f>
        <v>3</v>
      </c>
      <c r="N1097" s="53">
        <v>0</v>
      </c>
      <c r="O1097" s="53">
        <v>0</v>
      </c>
      <c r="P1097" s="53">
        <v>16.99</v>
      </c>
      <c r="Q1097" s="71">
        <v>0</v>
      </c>
      <c r="R1097" s="53">
        <v>0</v>
      </c>
      <c r="S1097" s="53">
        <v>0.6</v>
      </c>
      <c r="T1097" s="53">
        <f>STOCK[[#This Row],[Costo Unitario (USD)]]+STOCK[[#This Row],[Costo Envío (USD)]]+STOCK[[#This Row],[Comisión 10%]]</f>
        <v>20.59</v>
      </c>
      <c r="U1097" s="53">
        <f>STOCK[[#This Row],[Costo total]]*1.5</f>
        <v>30.885</v>
      </c>
      <c r="V1097" s="53">
        <v>30</v>
      </c>
      <c r="W1097" s="53">
        <f>STOCK[[#This Row],[Precio Final]]-STOCK[[#This Row],[Costo total]]</f>
        <v>9.41</v>
      </c>
      <c r="X1097" s="53">
        <f>STOCK[[#This Row],[Ganancia Unitaria]]*STOCK[[#This Row],[Salidas]]</f>
        <v>9.41</v>
      </c>
      <c r="Y1097" s="53" t="s">
        <v>2302</v>
      </c>
      <c r="AA1097" s="54">
        <f>STOCK[[#This Row],[Costo total]]*STOCK[[#This Row],[Entradas]]</f>
        <v>20.59</v>
      </c>
      <c r="AB1097" s="54">
        <f>STOCK[[#This Row],[Stock Actual]]*STOCK[[#This Row],[Costo total]]</f>
        <v>0</v>
      </c>
    </row>
    <row r="1098" s="54" customFormat="1" ht="50" customHeight="1" spans="1:28">
      <c r="A1098" s="54" t="s">
        <v>2303</v>
      </c>
      <c r="B1098" s="66"/>
      <c r="C1098" s="54" t="s">
        <v>32</v>
      </c>
      <c r="D1098" s="54" t="s">
        <v>38</v>
      </c>
      <c r="E1098" s="68" t="s">
        <v>2304</v>
      </c>
      <c r="F1098" s="54" t="s">
        <v>46</v>
      </c>
      <c r="G1098" s="54" t="s">
        <v>1876</v>
      </c>
      <c r="H1098" s="54">
        <f>STOCK[[#This Row],[Precio Final]]</f>
        <v>18</v>
      </c>
      <c r="I1098" s="54">
        <f>STOCK[[#This Row],[Precio Venta Ideal (x1.5)]]</f>
        <v>19.2140625</v>
      </c>
      <c r="J1098" s="72">
        <v>1</v>
      </c>
      <c r="K1098" s="72">
        <f>SUMIFS(VENTAS[Cantidad],VENTAS[Código del producto Vendido],STOCK[[#This Row],[Code]])</f>
        <v>0</v>
      </c>
      <c r="L1098" s="72">
        <f>STOCK[[#This Row],[Entradas]]-STOCK[[#This Row],[Salidas]]</f>
        <v>1</v>
      </c>
      <c r="M1098" s="54">
        <f>STOCK[[#This Row],[Precio Final]]*10%</f>
        <v>1.8</v>
      </c>
      <c r="N1098" s="54">
        <v>153.59</v>
      </c>
      <c r="O1098" s="54">
        <v>16</v>
      </c>
      <c r="P1098" s="54">
        <v>9.599375</v>
      </c>
      <c r="Q1098" s="72">
        <v>0</v>
      </c>
      <c r="R1098" s="54">
        <v>0</v>
      </c>
      <c r="S1098" s="54">
        <v>1.41</v>
      </c>
      <c r="T1098" s="53">
        <f>STOCK[[#This Row],[Costo Unitario (USD)]]+STOCK[[#This Row],[Costo Envío (USD)]]+STOCK[[#This Row],[Comisión 10%]]</f>
        <v>12.809375</v>
      </c>
      <c r="U1098" s="54">
        <f>STOCK[[#This Row],[Costo total]]*1.5</f>
        <v>19.2140625</v>
      </c>
      <c r="V1098" s="54">
        <v>18</v>
      </c>
      <c r="W1098" s="54">
        <f>STOCK[[#This Row],[Precio Final]]-STOCK[[#This Row],[Costo total]]</f>
        <v>5.190625</v>
      </c>
      <c r="X1098" s="54">
        <f>STOCK[[#This Row],[Ganancia Unitaria]]*STOCK[[#This Row],[Salidas]]</f>
        <v>0</v>
      </c>
      <c r="Y1098" s="54" t="s">
        <v>2305</v>
      </c>
      <c r="AA1098" s="54">
        <f>STOCK[[#This Row],[Costo total]]*STOCK[[#This Row],[Entradas]]</f>
        <v>12.809375</v>
      </c>
      <c r="AB1098" s="54">
        <f>STOCK[[#This Row],[Stock Actual]]*STOCK[[#This Row],[Costo total]]</f>
        <v>12.809375</v>
      </c>
    </row>
    <row r="1099" s="53" customFormat="1" ht="50" customHeight="1" spans="1:28">
      <c r="A1099" s="53" t="s">
        <v>2306</v>
      </c>
      <c r="B1099" s="66"/>
      <c r="C1099" s="53" t="s">
        <v>32</v>
      </c>
      <c r="D1099" s="54" t="s">
        <v>38</v>
      </c>
      <c r="E1099" s="67" t="s">
        <v>2304</v>
      </c>
      <c r="F1099" s="53" t="s">
        <v>62</v>
      </c>
      <c r="G1099" s="53" t="s">
        <v>1876</v>
      </c>
      <c r="H1099" s="53">
        <f>STOCK[[#This Row],[Precio Final]]</f>
        <v>18</v>
      </c>
      <c r="I1099" s="53">
        <f>STOCK[[#This Row],[Precio Venta Ideal (x1.5)]]</f>
        <v>19.2140625</v>
      </c>
      <c r="J1099" s="71">
        <v>1</v>
      </c>
      <c r="K1099" s="71">
        <f>SUMIFS(VENTAS[Cantidad],VENTAS[Código del producto Vendido],STOCK[[#This Row],[Code]])</f>
        <v>1</v>
      </c>
      <c r="L1099" s="71">
        <f>STOCK[[#This Row],[Entradas]]-STOCK[[#This Row],[Salidas]]</f>
        <v>0</v>
      </c>
      <c r="M1099" s="53">
        <f>STOCK[[#This Row],[Precio Final]]*10%</f>
        <v>1.8</v>
      </c>
      <c r="N1099" s="53">
        <v>153.59</v>
      </c>
      <c r="O1099" s="53">
        <v>16</v>
      </c>
      <c r="P1099" s="53">
        <v>9.599375</v>
      </c>
      <c r="Q1099" s="71">
        <v>0</v>
      </c>
      <c r="R1099" s="53">
        <v>0</v>
      </c>
      <c r="S1099" s="53">
        <v>1.41</v>
      </c>
      <c r="T1099" s="53">
        <f>STOCK[[#This Row],[Costo Unitario (USD)]]+STOCK[[#This Row],[Costo Envío (USD)]]+STOCK[[#This Row],[Comisión 10%]]</f>
        <v>12.809375</v>
      </c>
      <c r="U1099" s="53">
        <f>STOCK[[#This Row],[Costo total]]*1.5</f>
        <v>19.2140625</v>
      </c>
      <c r="V1099" s="53">
        <v>18</v>
      </c>
      <c r="W1099" s="53">
        <f>STOCK[[#This Row],[Precio Final]]-STOCK[[#This Row],[Costo total]]</f>
        <v>5.190625</v>
      </c>
      <c r="X1099" s="53">
        <f>STOCK[[#This Row],[Ganancia Unitaria]]*STOCK[[#This Row],[Salidas]]</f>
        <v>5.190625</v>
      </c>
      <c r="Y1099" s="53" t="s">
        <v>2307</v>
      </c>
      <c r="AA1099" s="54">
        <f>STOCK[[#This Row],[Costo total]]*STOCK[[#This Row],[Entradas]]</f>
        <v>12.809375</v>
      </c>
      <c r="AB1099" s="54">
        <f>STOCK[[#This Row],[Stock Actual]]*STOCK[[#This Row],[Costo total]]</f>
        <v>0</v>
      </c>
    </row>
    <row r="1100" s="54" customFormat="1" ht="50" customHeight="1" spans="1:28">
      <c r="A1100" s="54" t="s">
        <v>2308</v>
      </c>
      <c r="B1100" s="66"/>
      <c r="C1100" s="54" t="s">
        <v>32</v>
      </c>
      <c r="D1100" s="54" t="s">
        <v>38</v>
      </c>
      <c r="E1100" s="68" t="s">
        <v>2304</v>
      </c>
      <c r="F1100" s="54" t="s">
        <v>49</v>
      </c>
      <c r="G1100" s="54" t="s">
        <v>1876</v>
      </c>
      <c r="H1100" s="54">
        <f>STOCK[[#This Row],[Precio Final]]</f>
        <v>18</v>
      </c>
      <c r="I1100" s="54">
        <f>STOCK[[#This Row],[Precio Venta Ideal (x1.5)]]</f>
        <v>19.2140625</v>
      </c>
      <c r="J1100" s="72">
        <v>1</v>
      </c>
      <c r="K1100" s="72">
        <f>SUMIFS(VENTAS[Cantidad],VENTAS[Código del producto Vendido],STOCK[[#This Row],[Code]])</f>
        <v>0</v>
      </c>
      <c r="L1100" s="72">
        <f>STOCK[[#This Row],[Entradas]]-STOCK[[#This Row],[Salidas]]</f>
        <v>1</v>
      </c>
      <c r="M1100" s="54">
        <f>STOCK[[#This Row],[Precio Final]]*10%</f>
        <v>1.8</v>
      </c>
      <c r="N1100" s="54">
        <v>153.59</v>
      </c>
      <c r="O1100" s="54">
        <v>16</v>
      </c>
      <c r="P1100" s="54">
        <v>9.599375</v>
      </c>
      <c r="Q1100" s="72">
        <v>0</v>
      </c>
      <c r="R1100" s="54">
        <v>0</v>
      </c>
      <c r="S1100" s="54">
        <v>1.41</v>
      </c>
      <c r="T1100" s="53">
        <f>STOCK[[#This Row],[Costo Unitario (USD)]]+STOCK[[#This Row],[Costo Envío (USD)]]+STOCK[[#This Row],[Comisión 10%]]</f>
        <v>12.809375</v>
      </c>
      <c r="U1100" s="54">
        <f>STOCK[[#This Row],[Costo total]]*1.5</f>
        <v>19.2140625</v>
      </c>
      <c r="V1100" s="54">
        <v>18</v>
      </c>
      <c r="W1100" s="54">
        <f>STOCK[[#This Row],[Precio Final]]-STOCK[[#This Row],[Costo total]]</f>
        <v>5.190625</v>
      </c>
      <c r="X1100" s="54">
        <f>STOCK[[#This Row],[Ganancia Unitaria]]*STOCK[[#This Row],[Salidas]]</f>
        <v>0</v>
      </c>
      <c r="Y1100" s="54" t="s">
        <v>2309</v>
      </c>
      <c r="AA1100" s="54">
        <f>STOCK[[#This Row],[Costo total]]*STOCK[[#This Row],[Entradas]]</f>
        <v>12.809375</v>
      </c>
      <c r="AB1100" s="54">
        <f>STOCK[[#This Row],[Stock Actual]]*STOCK[[#This Row],[Costo total]]</f>
        <v>12.809375</v>
      </c>
    </row>
    <row r="1101" s="53" customFormat="1" ht="50" customHeight="1" spans="1:28">
      <c r="A1101" s="53" t="s">
        <v>2310</v>
      </c>
      <c r="B1101" s="66"/>
      <c r="C1101" s="53" t="s">
        <v>32</v>
      </c>
      <c r="D1101" s="53" t="s">
        <v>1190</v>
      </c>
      <c r="E1101" s="67" t="s">
        <v>2311</v>
      </c>
      <c r="F1101" s="53" t="s">
        <v>49</v>
      </c>
      <c r="G1101" s="53" t="s">
        <v>1876</v>
      </c>
      <c r="H1101" s="53">
        <f>STOCK[[#This Row],[Precio Final]]</f>
        <v>15</v>
      </c>
      <c r="I1101" s="53">
        <f>STOCK[[#This Row],[Precio Venta Ideal (x1.5)]]</f>
        <v>15.3496875</v>
      </c>
      <c r="J1101" s="71">
        <v>1</v>
      </c>
      <c r="K1101" s="71">
        <f>SUMIFS(VENTAS[Cantidad],VENTAS[Código del producto Vendido],STOCK[[#This Row],[Code]])</f>
        <v>1</v>
      </c>
      <c r="L1101" s="71">
        <f>STOCK[[#This Row],[Entradas]]-STOCK[[#This Row],[Salidas]]</f>
        <v>0</v>
      </c>
      <c r="M1101" s="53">
        <f>STOCK[[#This Row],[Precio Final]]*10%</f>
        <v>1.5</v>
      </c>
      <c r="N1101" s="53">
        <v>117.17</v>
      </c>
      <c r="O1101" s="53">
        <v>16</v>
      </c>
      <c r="P1101" s="53">
        <v>7.323125</v>
      </c>
      <c r="Q1101" s="71">
        <v>0</v>
      </c>
      <c r="R1101" s="53">
        <v>0</v>
      </c>
      <c r="S1101" s="53">
        <v>1.41</v>
      </c>
      <c r="T1101" s="53">
        <f>STOCK[[#This Row],[Costo Unitario (USD)]]+STOCK[[#This Row],[Costo Envío (USD)]]+STOCK[[#This Row],[Comisión 10%]]</f>
        <v>10.233125</v>
      </c>
      <c r="U1101" s="53">
        <f>STOCK[[#This Row],[Costo total]]*1.5</f>
        <v>15.3496875</v>
      </c>
      <c r="V1101" s="53">
        <v>15</v>
      </c>
      <c r="W1101" s="53">
        <f>STOCK[[#This Row],[Precio Final]]-STOCK[[#This Row],[Costo total]]</f>
        <v>4.766875</v>
      </c>
      <c r="X1101" s="53">
        <f>STOCK[[#This Row],[Ganancia Unitaria]]*STOCK[[#This Row],[Salidas]]</f>
        <v>4.766875</v>
      </c>
      <c r="Y1101" s="53" t="s">
        <v>2312</v>
      </c>
      <c r="AA1101" s="54">
        <f>STOCK[[#This Row],[Costo total]]*STOCK[[#This Row],[Entradas]]</f>
        <v>10.233125</v>
      </c>
      <c r="AB1101" s="54">
        <f>STOCK[[#This Row],[Stock Actual]]*STOCK[[#This Row],[Costo total]]</f>
        <v>0</v>
      </c>
    </row>
    <row r="1102" s="54" customFormat="1" ht="50" customHeight="1" spans="1:28">
      <c r="A1102" s="54" t="s">
        <v>2313</v>
      </c>
      <c r="B1102" s="66"/>
      <c r="C1102" s="54" t="s">
        <v>32</v>
      </c>
      <c r="D1102" s="54" t="s">
        <v>1190</v>
      </c>
      <c r="E1102" s="68" t="s">
        <v>2311</v>
      </c>
      <c r="F1102" s="54" t="s">
        <v>46</v>
      </c>
      <c r="G1102" s="54" t="s">
        <v>1876</v>
      </c>
      <c r="H1102" s="54">
        <f>STOCK[[#This Row],[Precio Final]]</f>
        <v>15</v>
      </c>
      <c r="I1102" s="54">
        <f>STOCK[[#This Row],[Precio Venta Ideal (x1.5)]]</f>
        <v>15.3496875</v>
      </c>
      <c r="J1102" s="72">
        <v>1</v>
      </c>
      <c r="K1102" s="72">
        <f>SUMIFS(VENTAS[Cantidad],VENTAS[Código del producto Vendido],STOCK[[#This Row],[Code]])</f>
        <v>1</v>
      </c>
      <c r="L1102" s="72">
        <f>STOCK[[#This Row],[Entradas]]-STOCK[[#This Row],[Salidas]]</f>
        <v>0</v>
      </c>
      <c r="M1102" s="54">
        <f>STOCK[[#This Row],[Precio Final]]*10%</f>
        <v>1.5</v>
      </c>
      <c r="N1102" s="54">
        <v>117.17</v>
      </c>
      <c r="O1102" s="54">
        <v>16</v>
      </c>
      <c r="P1102" s="54">
        <v>7.323125</v>
      </c>
      <c r="Q1102" s="72">
        <v>0</v>
      </c>
      <c r="R1102" s="54">
        <v>0</v>
      </c>
      <c r="S1102" s="54">
        <v>1.41</v>
      </c>
      <c r="T1102" s="53">
        <f>STOCK[[#This Row],[Costo Unitario (USD)]]+STOCK[[#This Row],[Costo Envío (USD)]]+STOCK[[#This Row],[Comisión 10%]]</f>
        <v>10.233125</v>
      </c>
      <c r="U1102" s="54">
        <f>STOCK[[#This Row],[Costo total]]*1.5</f>
        <v>15.3496875</v>
      </c>
      <c r="V1102" s="54">
        <v>15</v>
      </c>
      <c r="W1102" s="54">
        <f>STOCK[[#This Row],[Precio Final]]-STOCK[[#This Row],[Costo total]]</f>
        <v>4.766875</v>
      </c>
      <c r="X1102" s="54">
        <f>STOCK[[#This Row],[Ganancia Unitaria]]*STOCK[[#This Row],[Salidas]]</f>
        <v>4.766875</v>
      </c>
      <c r="Y1102" s="54" t="s">
        <v>2314</v>
      </c>
      <c r="AA1102" s="54">
        <f>STOCK[[#This Row],[Costo total]]*STOCK[[#This Row],[Entradas]]</f>
        <v>10.233125</v>
      </c>
      <c r="AB1102" s="54">
        <f>STOCK[[#This Row],[Stock Actual]]*STOCK[[#This Row],[Costo total]]</f>
        <v>0</v>
      </c>
    </row>
    <row r="1103" s="53" customFormat="1" ht="50" customHeight="1" spans="1:28">
      <c r="A1103" s="53" t="s">
        <v>2315</v>
      </c>
      <c r="B1103" s="66"/>
      <c r="C1103" s="53" t="s">
        <v>32</v>
      </c>
      <c r="D1103" s="53" t="s">
        <v>1190</v>
      </c>
      <c r="E1103" s="67" t="s">
        <v>2311</v>
      </c>
      <c r="F1103" s="53" t="s">
        <v>62</v>
      </c>
      <c r="G1103" s="53" t="s">
        <v>1876</v>
      </c>
      <c r="H1103" s="53">
        <f>STOCK[[#This Row],[Precio Final]]</f>
        <v>15</v>
      </c>
      <c r="I1103" s="53">
        <f>STOCK[[#This Row],[Precio Venta Ideal (x1.5)]]</f>
        <v>15.3496875</v>
      </c>
      <c r="J1103" s="71">
        <v>1</v>
      </c>
      <c r="K1103" s="71">
        <f>SUMIFS(VENTAS[Cantidad],VENTAS[Código del producto Vendido],STOCK[[#This Row],[Code]])</f>
        <v>1</v>
      </c>
      <c r="L1103" s="71">
        <f>STOCK[[#This Row],[Entradas]]-STOCK[[#This Row],[Salidas]]</f>
        <v>0</v>
      </c>
      <c r="M1103" s="53">
        <f>STOCK[[#This Row],[Precio Final]]*10%</f>
        <v>1.5</v>
      </c>
      <c r="N1103" s="53">
        <v>117.17</v>
      </c>
      <c r="O1103" s="53">
        <v>16</v>
      </c>
      <c r="P1103" s="53">
        <v>7.323125</v>
      </c>
      <c r="Q1103" s="71">
        <v>0</v>
      </c>
      <c r="R1103" s="53">
        <v>0</v>
      </c>
      <c r="S1103" s="53">
        <v>1.41</v>
      </c>
      <c r="T1103" s="53">
        <f>STOCK[[#This Row],[Costo Unitario (USD)]]+STOCK[[#This Row],[Costo Envío (USD)]]+STOCK[[#This Row],[Comisión 10%]]</f>
        <v>10.233125</v>
      </c>
      <c r="U1103" s="53">
        <f>STOCK[[#This Row],[Costo total]]*1.5</f>
        <v>15.3496875</v>
      </c>
      <c r="V1103" s="53">
        <v>15</v>
      </c>
      <c r="W1103" s="53">
        <f>STOCK[[#This Row],[Precio Final]]-STOCK[[#This Row],[Costo total]]</f>
        <v>4.766875</v>
      </c>
      <c r="X1103" s="53">
        <f>STOCK[[#This Row],[Ganancia Unitaria]]*STOCK[[#This Row],[Salidas]]</f>
        <v>4.766875</v>
      </c>
      <c r="Y1103" s="53" t="s">
        <v>2316</v>
      </c>
      <c r="AA1103" s="54">
        <f>STOCK[[#This Row],[Costo total]]*STOCK[[#This Row],[Entradas]]</f>
        <v>10.233125</v>
      </c>
      <c r="AB1103" s="54">
        <f>STOCK[[#This Row],[Stock Actual]]*STOCK[[#This Row],[Costo total]]</f>
        <v>0</v>
      </c>
    </row>
    <row r="1104" s="54" customFormat="1" ht="50" customHeight="1" spans="1:28">
      <c r="A1104" s="54" t="s">
        <v>2317</v>
      </c>
      <c r="B1104" s="66"/>
      <c r="C1104" s="54" t="s">
        <v>32</v>
      </c>
      <c r="D1104" s="54" t="s">
        <v>2318</v>
      </c>
      <c r="E1104" s="68" t="s">
        <v>2319</v>
      </c>
      <c r="F1104" s="54" t="s">
        <v>42</v>
      </c>
      <c r="G1104" s="54" t="s">
        <v>1876</v>
      </c>
      <c r="H1104" s="54">
        <f>STOCK[[#This Row],[Precio Final]]</f>
        <v>30</v>
      </c>
      <c r="I1104" s="54">
        <f>STOCK[[#This Row],[Precio Venta Ideal (x1.5)]]</f>
        <v>26.5265625</v>
      </c>
      <c r="J1104" s="72">
        <v>2</v>
      </c>
      <c r="K1104" s="72">
        <f>SUMIFS(VENTAS[Cantidad],VENTAS[Código del producto Vendido],STOCK[[#This Row],[Code]])</f>
        <v>1</v>
      </c>
      <c r="L1104" s="72">
        <f>STOCK[[#This Row],[Entradas]]-STOCK[[#This Row],[Salidas]]</f>
        <v>1</v>
      </c>
      <c r="M1104" s="54">
        <f>STOCK[[#This Row],[Precio Final]]*10%</f>
        <v>3</v>
      </c>
      <c r="N1104" s="54">
        <v>212.39</v>
      </c>
      <c r="O1104" s="54">
        <v>16</v>
      </c>
      <c r="P1104" s="54">
        <v>13.274375</v>
      </c>
      <c r="Q1104" s="72">
        <v>0</v>
      </c>
      <c r="R1104" s="54">
        <v>0</v>
      </c>
      <c r="S1104" s="54">
        <v>1.41</v>
      </c>
      <c r="T1104" s="53">
        <f>STOCK[[#This Row],[Costo Unitario (USD)]]+STOCK[[#This Row],[Costo Envío (USD)]]+STOCK[[#This Row],[Comisión 10%]]</f>
        <v>17.684375</v>
      </c>
      <c r="U1104" s="54">
        <f>STOCK[[#This Row],[Costo total]]*1.5</f>
        <v>26.5265625</v>
      </c>
      <c r="V1104" s="54">
        <v>30</v>
      </c>
      <c r="W1104" s="54">
        <f>STOCK[[#This Row],[Precio Final]]-STOCK[[#This Row],[Costo total]]</f>
        <v>12.315625</v>
      </c>
      <c r="X1104" s="54">
        <f>STOCK[[#This Row],[Ganancia Unitaria]]*STOCK[[#This Row],[Salidas]]</f>
        <v>12.315625</v>
      </c>
      <c r="Y1104" s="54" t="s">
        <v>2320</v>
      </c>
      <c r="AA1104" s="54">
        <f>STOCK[[#This Row],[Costo total]]*STOCK[[#This Row],[Entradas]]</f>
        <v>35.36875</v>
      </c>
      <c r="AB1104" s="54">
        <f>STOCK[[#This Row],[Stock Actual]]*STOCK[[#This Row],[Costo total]]</f>
        <v>17.684375</v>
      </c>
    </row>
    <row r="1105" s="53" customFormat="1" ht="50" customHeight="1" spans="1:28">
      <c r="A1105" s="53" t="s">
        <v>2321</v>
      </c>
      <c r="B1105" s="66"/>
      <c r="C1105" s="53" t="s">
        <v>32</v>
      </c>
      <c r="D1105" s="53" t="s">
        <v>2118</v>
      </c>
      <c r="E1105" s="67" t="s">
        <v>2322</v>
      </c>
      <c r="F1105" s="53" t="s">
        <v>62</v>
      </c>
      <c r="G1105" s="53" t="s">
        <v>1876</v>
      </c>
      <c r="H1105" s="53">
        <f>STOCK[[#This Row],[Precio Final]]</f>
        <v>30</v>
      </c>
      <c r="I1105" s="53">
        <f>STOCK[[#This Row],[Precio Venta Ideal (x1.5)]]</f>
        <v>30.3215625</v>
      </c>
      <c r="J1105" s="71">
        <v>1</v>
      </c>
      <c r="K1105" s="71">
        <f>SUMIFS(VENTAS[Cantidad],VENTAS[Código del producto Vendido],STOCK[[#This Row],[Code]])</f>
        <v>1</v>
      </c>
      <c r="L1105" s="71">
        <f>STOCK[[#This Row],[Entradas]]-STOCK[[#This Row],[Salidas]]</f>
        <v>0</v>
      </c>
      <c r="M1105" s="53">
        <f>STOCK[[#This Row],[Precio Final]]*10%</f>
        <v>3</v>
      </c>
      <c r="N1105" s="53">
        <v>252.87</v>
      </c>
      <c r="O1105" s="53">
        <v>16</v>
      </c>
      <c r="P1105" s="53">
        <v>15.804375</v>
      </c>
      <c r="Q1105" s="71">
        <v>0</v>
      </c>
      <c r="R1105" s="53">
        <v>0</v>
      </c>
      <c r="S1105" s="53">
        <v>1.41</v>
      </c>
      <c r="T1105" s="53">
        <f>STOCK[[#This Row],[Costo Unitario (USD)]]+STOCK[[#This Row],[Costo Envío (USD)]]+STOCK[[#This Row],[Comisión 10%]]</f>
        <v>20.214375</v>
      </c>
      <c r="U1105" s="53">
        <f>STOCK[[#This Row],[Costo total]]*1.5</f>
        <v>30.3215625</v>
      </c>
      <c r="V1105" s="53">
        <v>30</v>
      </c>
      <c r="W1105" s="53">
        <f>STOCK[[#This Row],[Precio Final]]-STOCK[[#This Row],[Costo total]]</f>
        <v>9.785625</v>
      </c>
      <c r="X1105" s="53">
        <f>STOCK[[#This Row],[Ganancia Unitaria]]*STOCK[[#This Row],[Salidas]]</f>
        <v>9.785625</v>
      </c>
      <c r="Y1105" s="53" t="s">
        <v>2323</v>
      </c>
      <c r="AA1105" s="54">
        <f>STOCK[[#This Row],[Costo total]]*STOCK[[#This Row],[Entradas]]</f>
        <v>20.214375</v>
      </c>
      <c r="AB1105" s="54">
        <f>STOCK[[#This Row],[Stock Actual]]*STOCK[[#This Row],[Costo total]]</f>
        <v>0</v>
      </c>
    </row>
    <row r="1106" s="54" customFormat="1" ht="50" customHeight="1" spans="1:28">
      <c r="A1106" s="54" t="s">
        <v>2324</v>
      </c>
      <c r="B1106" s="66"/>
      <c r="C1106" s="54" t="s">
        <v>32</v>
      </c>
      <c r="D1106" s="54" t="s">
        <v>2137</v>
      </c>
      <c r="E1106" s="68" t="s">
        <v>2325</v>
      </c>
      <c r="F1106" s="54" t="s">
        <v>62</v>
      </c>
      <c r="G1106" s="54" t="s">
        <v>1876</v>
      </c>
      <c r="H1106" s="54">
        <f>STOCK[[#This Row],[Precio Final]]</f>
        <v>20</v>
      </c>
      <c r="I1106" s="54">
        <f>STOCK[[#This Row],[Precio Venta Ideal (x1.5)]]</f>
        <v>19.3715625</v>
      </c>
      <c r="J1106" s="72">
        <v>1</v>
      </c>
      <c r="K1106" s="72">
        <f>SUMIFS(VENTAS[Cantidad],VENTAS[Código del producto Vendido],STOCK[[#This Row],[Code]])</f>
        <v>1</v>
      </c>
      <c r="L1106" s="72">
        <f>STOCK[[#This Row],[Entradas]]-STOCK[[#This Row],[Salidas]]</f>
        <v>0</v>
      </c>
      <c r="M1106" s="54">
        <f>STOCK[[#This Row],[Precio Final]]*10%</f>
        <v>2</v>
      </c>
      <c r="N1106" s="54">
        <v>152.07</v>
      </c>
      <c r="O1106" s="54">
        <v>16</v>
      </c>
      <c r="P1106" s="54">
        <v>9.504375</v>
      </c>
      <c r="Q1106" s="72">
        <v>0</v>
      </c>
      <c r="R1106" s="54">
        <v>0</v>
      </c>
      <c r="S1106" s="54">
        <v>1.41</v>
      </c>
      <c r="T1106" s="53">
        <f>STOCK[[#This Row],[Costo Unitario (USD)]]+STOCK[[#This Row],[Costo Envío (USD)]]+STOCK[[#This Row],[Comisión 10%]]</f>
        <v>12.914375</v>
      </c>
      <c r="U1106" s="54">
        <f>STOCK[[#This Row],[Costo total]]*1.5</f>
        <v>19.3715625</v>
      </c>
      <c r="V1106" s="54">
        <v>20</v>
      </c>
      <c r="W1106" s="54">
        <f>STOCK[[#This Row],[Precio Final]]-STOCK[[#This Row],[Costo total]]</f>
        <v>7.085625</v>
      </c>
      <c r="X1106" s="54">
        <f>STOCK[[#This Row],[Ganancia Unitaria]]*STOCK[[#This Row],[Salidas]]</f>
        <v>7.085625</v>
      </c>
      <c r="Y1106" s="54" t="s">
        <v>2326</v>
      </c>
      <c r="AA1106" s="54">
        <f>STOCK[[#This Row],[Costo total]]*STOCK[[#This Row],[Entradas]]</f>
        <v>12.914375</v>
      </c>
      <c r="AB1106" s="54">
        <f>STOCK[[#This Row],[Stock Actual]]*STOCK[[#This Row],[Costo total]]</f>
        <v>0</v>
      </c>
    </row>
    <row r="1107" s="53" customFormat="1" ht="50" customHeight="1" spans="1:28">
      <c r="A1107" s="53" t="s">
        <v>2327</v>
      </c>
      <c r="B1107" s="66"/>
      <c r="C1107" s="53" t="s">
        <v>32</v>
      </c>
      <c r="D1107" s="53" t="s">
        <v>2137</v>
      </c>
      <c r="E1107" s="67" t="s">
        <v>2325</v>
      </c>
      <c r="F1107" s="53" t="s">
        <v>49</v>
      </c>
      <c r="G1107" s="53" t="s">
        <v>1876</v>
      </c>
      <c r="H1107" s="53">
        <f>STOCK[[#This Row],[Precio Final]]</f>
        <v>20</v>
      </c>
      <c r="I1107" s="53">
        <f>STOCK[[#This Row],[Precio Venta Ideal (x1.5)]]</f>
        <v>19.3715625</v>
      </c>
      <c r="J1107" s="71">
        <v>1</v>
      </c>
      <c r="K1107" s="71">
        <f>SUMIFS(VENTAS[Cantidad],VENTAS[Código del producto Vendido],STOCK[[#This Row],[Code]])</f>
        <v>1</v>
      </c>
      <c r="L1107" s="71">
        <f>STOCK[[#This Row],[Entradas]]-STOCK[[#This Row],[Salidas]]</f>
        <v>0</v>
      </c>
      <c r="M1107" s="53">
        <f>STOCK[[#This Row],[Precio Final]]*10%</f>
        <v>2</v>
      </c>
      <c r="N1107" s="53">
        <v>152.07</v>
      </c>
      <c r="O1107" s="53">
        <v>16</v>
      </c>
      <c r="P1107" s="53">
        <v>9.504375</v>
      </c>
      <c r="Q1107" s="71">
        <v>0</v>
      </c>
      <c r="R1107" s="53">
        <v>0</v>
      </c>
      <c r="S1107" s="53">
        <v>1.41</v>
      </c>
      <c r="T1107" s="53">
        <f>STOCK[[#This Row],[Costo Unitario (USD)]]+STOCK[[#This Row],[Costo Envío (USD)]]+STOCK[[#This Row],[Comisión 10%]]</f>
        <v>12.914375</v>
      </c>
      <c r="U1107" s="53">
        <f>STOCK[[#This Row],[Costo total]]*1.5</f>
        <v>19.3715625</v>
      </c>
      <c r="V1107" s="53">
        <v>20</v>
      </c>
      <c r="W1107" s="53">
        <f>STOCK[[#This Row],[Precio Final]]-STOCK[[#This Row],[Costo total]]</f>
        <v>7.085625</v>
      </c>
      <c r="X1107" s="53">
        <f>STOCK[[#This Row],[Ganancia Unitaria]]*STOCK[[#This Row],[Salidas]]</f>
        <v>7.085625</v>
      </c>
      <c r="Y1107" s="53" t="s">
        <v>2328</v>
      </c>
      <c r="AA1107" s="54">
        <f>STOCK[[#This Row],[Costo total]]*STOCK[[#This Row],[Entradas]]</f>
        <v>12.914375</v>
      </c>
      <c r="AB1107" s="54">
        <f>STOCK[[#This Row],[Stock Actual]]*STOCK[[#This Row],[Costo total]]</f>
        <v>0</v>
      </c>
    </row>
    <row r="1108" s="54" customFormat="1" ht="50" customHeight="1" spans="1:28">
      <c r="A1108" s="54" t="s">
        <v>2329</v>
      </c>
      <c r="B1108" s="66"/>
      <c r="C1108" s="54" t="s">
        <v>32</v>
      </c>
      <c r="D1108" s="54" t="s">
        <v>1212</v>
      </c>
      <c r="E1108" s="68" t="s">
        <v>2325</v>
      </c>
      <c r="F1108" s="54" t="s">
        <v>46</v>
      </c>
      <c r="G1108" s="54" t="s">
        <v>1876</v>
      </c>
      <c r="H1108" s="54">
        <f>STOCK[[#This Row],[Precio Final]]</f>
        <v>20</v>
      </c>
      <c r="I1108" s="54">
        <f>STOCK[[#This Row],[Precio Venta Ideal (x1.5)]]</f>
        <v>19.3715625</v>
      </c>
      <c r="J1108" s="72">
        <v>1</v>
      </c>
      <c r="K1108" s="72">
        <f>SUMIFS(VENTAS[Cantidad],VENTAS[Código del producto Vendido],STOCK[[#This Row],[Code]])</f>
        <v>1</v>
      </c>
      <c r="L1108" s="72">
        <f>STOCK[[#This Row],[Entradas]]-STOCK[[#This Row],[Salidas]]</f>
        <v>0</v>
      </c>
      <c r="M1108" s="54">
        <f>STOCK[[#This Row],[Precio Final]]*10%</f>
        <v>2</v>
      </c>
      <c r="N1108" s="54">
        <v>152.07</v>
      </c>
      <c r="O1108" s="54">
        <v>16</v>
      </c>
      <c r="P1108" s="54">
        <v>9.504375</v>
      </c>
      <c r="Q1108" s="72">
        <v>0</v>
      </c>
      <c r="R1108" s="54">
        <v>0</v>
      </c>
      <c r="S1108" s="54">
        <v>1.41</v>
      </c>
      <c r="T1108" s="53">
        <f>STOCK[[#This Row],[Costo Unitario (USD)]]+STOCK[[#This Row],[Costo Envío (USD)]]+STOCK[[#This Row],[Comisión 10%]]</f>
        <v>12.914375</v>
      </c>
      <c r="U1108" s="54">
        <f>STOCK[[#This Row],[Costo total]]*1.5</f>
        <v>19.3715625</v>
      </c>
      <c r="V1108" s="54">
        <v>20</v>
      </c>
      <c r="W1108" s="54">
        <f>STOCK[[#This Row],[Precio Final]]-STOCK[[#This Row],[Costo total]]</f>
        <v>7.085625</v>
      </c>
      <c r="X1108" s="54">
        <f>STOCK[[#This Row],[Ganancia Unitaria]]*STOCK[[#This Row],[Salidas]]</f>
        <v>7.085625</v>
      </c>
      <c r="Y1108" s="54" t="s">
        <v>2330</v>
      </c>
      <c r="AA1108" s="54">
        <f>STOCK[[#This Row],[Costo total]]*STOCK[[#This Row],[Entradas]]</f>
        <v>12.914375</v>
      </c>
      <c r="AB1108" s="54">
        <f>STOCK[[#This Row],[Stock Actual]]*STOCK[[#This Row],[Costo total]]</f>
        <v>0</v>
      </c>
    </row>
    <row r="1109" s="53" customFormat="1" ht="50" customHeight="1" spans="1:28">
      <c r="A1109" s="53" t="s">
        <v>2331</v>
      </c>
      <c r="B1109" s="66"/>
      <c r="C1109" s="53" t="s">
        <v>32</v>
      </c>
      <c r="D1109" s="53" t="s">
        <v>1212</v>
      </c>
      <c r="E1109" s="67" t="s">
        <v>2325</v>
      </c>
      <c r="F1109" s="53" t="s">
        <v>42</v>
      </c>
      <c r="G1109" s="53" t="s">
        <v>1876</v>
      </c>
      <c r="H1109" s="53">
        <f>STOCK[[#This Row],[Precio Final]]</f>
        <v>20</v>
      </c>
      <c r="I1109" s="53">
        <f>STOCK[[#This Row],[Precio Venta Ideal (x1.5)]]</f>
        <v>19.3715625</v>
      </c>
      <c r="J1109" s="71">
        <v>1</v>
      </c>
      <c r="K1109" s="71">
        <f>SUMIFS(VENTAS[Cantidad],VENTAS[Código del producto Vendido],STOCK[[#This Row],[Code]])</f>
        <v>1</v>
      </c>
      <c r="L1109" s="71">
        <f>STOCK[[#This Row],[Entradas]]-STOCK[[#This Row],[Salidas]]</f>
        <v>0</v>
      </c>
      <c r="M1109" s="53">
        <f>STOCK[[#This Row],[Precio Final]]*10%</f>
        <v>2</v>
      </c>
      <c r="N1109" s="53">
        <v>152.07</v>
      </c>
      <c r="O1109" s="53">
        <v>16</v>
      </c>
      <c r="P1109" s="53">
        <v>9.504375</v>
      </c>
      <c r="Q1109" s="71">
        <v>0</v>
      </c>
      <c r="R1109" s="53">
        <v>0</v>
      </c>
      <c r="S1109" s="53">
        <v>1.41</v>
      </c>
      <c r="T1109" s="53">
        <f>STOCK[[#This Row],[Costo Unitario (USD)]]+STOCK[[#This Row],[Costo Envío (USD)]]+STOCK[[#This Row],[Comisión 10%]]</f>
        <v>12.914375</v>
      </c>
      <c r="U1109" s="53">
        <f>STOCK[[#This Row],[Costo total]]*1.5</f>
        <v>19.3715625</v>
      </c>
      <c r="V1109" s="53">
        <v>20</v>
      </c>
      <c r="W1109" s="53">
        <f>STOCK[[#This Row],[Precio Final]]-STOCK[[#This Row],[Costo total]]</f>
        <v>7.085625</v>
      </c>
      <c r="X1109" s="53">
        <f>STOCK[[#This Row],[Ganancia Unitaria]]*STOCK[[#This Row],[Salidas]]</f>
        <v>7.085625</v>
      </c>
      <c r="Y1109" s="53" t="s">
        <v>2332</v>
      </c>
      <c r="AA1109" s="54">
        <f>STOCK[[#This Row],[Costo total]]*STOCK[[#This Row],[Entradas]]</f>
        <v>12.914375</v>
      </c>
      <c r="AB1109" s="54">
        <f>STOCK[[#This Row],[Stock Actual]]*STOCK[[#This Row],[Costo total]]</f>
        <v>0</v>
      </c>
    </row>
    <row r="1110" s="54" customFormat="1" ht="50" customHeight="1" spans="1:28">
      <c r="A1110" s="54" t="s">
        <v>2333</v>
      </c>
      <c r="B1110" s="66"/>
      <c r="C1110" s="54" t="s">
        <v>32</v>
      </c>
      <c r="D1110" s="54" t="s">
        <v>2334</v>
      </c>
      <c r="E1110" s="68" t="s">
        <v>2335</v>
      </c>
      <c r="F1110" s="54" t="s">
        <v>62</v>
      </c>
      <c r="G1110" s="54" t="s">
        <v>1876</v>
      </c>
      <c r="H1110" s="54">
        <f>STOCK[[#This Row],[Precio Final]]</f>
        <v>20</v>
      </c>
      <c r="I1110" s="54">
        <f>STOCK[[#This Row],[Precio Venta Ideal (x1.5)]]</f>
        <v>23.1140625</v>
      </c>
      <c r="J1110" s="72">
        <v>2</v>
      </c>
      <c r="K1110" s="72">
        <f>SUMIFS(VENTAS[Cantidad],VENTAS[Código del producto Vendido],STOCK[[#This Row],[Code]])</f>
        <v>2</v>
      </c>
      <c r="L1110" s="72">
        <f>STOCK[[#This Row],[Entradas]]-STOCK[[#This Row],[Salidas]]</f>
        <v>0</v>
      </c>
      <c r="M1110" s="54">
        <f>STOCK[[#This Row],[Precio Final]]*10%</f>
        <v>2</v>
      </c>
      <c r="N1110" s="54">
        <v>191.99</v>
      </c>
      <c r="O1110" s="54">
        <v>16</v>
      </c>
      <c r="P1110" s="54">
        <v>11.999375</v>
      </c>
      <c r="Q1110" s="72">
        <v>0</v>
      </c>
      <c r="R1110" s="54">
        <v>0</v>
      </c>
      <c r="S1110" s="54">
        <v>1.41</v>
      </c>
      <c r="T1110" s="53">
        <f>STOCK[[#This Row],[Costo Unitario (USD)]]+STOCK[[#This Row],[Costo Envío (USD)]]+STOCK[[#This Row],[Comisión 10%]]</f>
        <v>15.409375</v>
      </c>
      <c r="U1110" s="54">
        <f>STOCK[[#This Row],[Costo total]]*1.5</f>
        <v>23.1140625</v>
      </c>
      <c r="V1110" s="54">
        <v>20</v>
      </c>
      <c r="W1110" s="54">
        <f>STOCK[[#This Row],[Precio Final]]-STOCK[[#This Row],[Costo total]]</f>
        <v>4.590625</v>
      </c>
      <c r="X1110" s="54">
        <f>STOCK[[#This Row],[Ganancia Unitaria]]*STOCK[[#This Row],[Salidas]]</f>
        <v>9.18125</v>
      </c>
      <c r="Y1110" s="54" t="s">
        <v>2336</v>
      </c>
      <c r="AA1110" s="54">
        <f>STOCK[[#This Row],[Costo total]]*STOCK[[#This Row],[Entradas]]</f>
        <v>30.81875</v>
      </c>
      <c r="AB1110" s="54">
        <f>STOCK[[#This Row],[Stock Actual]]*STOCK[[#This Row],[Costo total]]</f>
        <v>0</v>
      </c>
    </row>
    <row r="1111" s="53" customFormat="1" ht="50" customHeight="1" spans="1:28">
      <c r="A1111" s="53" t="s">
        <v>2337</v>
      </c>
      <c r="B1111" s="66"/>
      <c r="C1111" s="53" t="s">
        <v>32</v>
      </c>
      <c r="D1111" s="54" t="s">
        <v>38</v>
      </c>
      <c r="E1111" s="67" t="s">
        <v>2338</v>
      </c>
      <c r="F1111" s="53" t="s">
        <v>46</v>
      </c>
      <c r="G1111" s="53" t="s">
        <v>1876</v>
      </c>
      <c r="H1111" s="53">
        <f>STOCK[[#This Row],[Precio Final]]</f>
        <v>18</v>
      </c>
      <c r="I1111" s="53">
        <f>STOCK[[#This Row],[Precio Venta Ideal (x1.5)]]</f>
        <v>15.3515625</v>
      </c>
      <c r="J1111" s="71">
        <v>2</v>
      </c>
      <c r="K1111" s="71">
        <f>SUMIFS(VENTAS[Cantidad],VENTAS[Código del producto Vendido],STOCK[[#This Row],[Code]])</f>
        <v>0</v>
      </c>
      <c r="L1111" s="71">
        <f>STOCK[[#This Row],[Entradas]]-STOCK[[#This Row],[Salidas]]</f>
        <v>2</v>
      </c>
      <c r="M1111" s="53">
        <f>STOCK[[#This Row],[Precio Final]]*10%</f>
        <v>1.8</v>
      </c>
      <c r="N1111" s="53">
        <v>112.39</v>
      </c>
      <c r="O1111" s="53">
        <v>16</v>
      </c>
      <c r="P1111" s="53">
        <v>7.024375</v>
      </c>
      <c r="Q1111" s="71">
        <v>0</v>
      </c>
      <c r="R1111" s="53">
        <v>0</v>
      </c>
      <c r="S1111" s="53">
        <v>1.41</v>
      </c>
      <c r="T1111" s="53">
        <f>STOCK[[#This Row],[Costo Unitario (USD)]]+STOCK[[#This Row],[Costo Envío (USD)]]+STOCK[[#This Row],[Comisión 10%]]</f>
        <v>10.234375</v>
      </c>
      <c r="U1111" s="53">
        <f>STOCK[[#This Row],[Costo total]]*1.5</f>
        <v>15.3515625</v>
      </c>
      <c r="V1111" s="53">
        <v>18</v>
      </c>
      <c r="W1111" s="53">
        <f>STOCK[[#This Row],[Precio Final]]-STOCK[[#This Row],[Costo total]]</f>
        <v>7.765625</v>
      </c>
      <c r="X1111" s="53">
        <f>STOCK[[#This Row],[Ganancia Unitaria]]*STOCK[[#This Row],[Salidas]]</f>
        <v>0</v>
      </c>
      <c r="Y1111" s="53" t="s">
        <v>2339</v>
      </c>
      <c r="AA1111" s="54">
        <f>STOCK[[#This Row],[Costo total]]*STOCK[[#This Row],[Entradas]]</f>
        <v>20.46875</v>
      </c>
      <c r="AB1111" s="54">
        <f>STOCK[[#This Row],[Stock Actual]]*STOCK[[#This Row],[Costo total]]</f>
        <v>20.46875</v>
      </c>
    </row>
    <row r="1112" s="54" customFormat="1" ht="50" customHeight="1" spans="1:28">
      <c r="A1112" s="54" t="s">
        <v>2340</v>
      </c>
      <c r="B1112" s="66"/>
      <c r="C1112" s="54" t="s">
        <v>32</v>
      </c>
      <c r="D1112" s="54" t="s">
        <v>38</v>
      </c>
      <c r="E1112" s="68" t="s">
        <v>2338</v>
      </c>
      <c r="F1112" s="54" t="s">
        <v>62</v>
      </c>
      <c r="G1112" s="54" t="s">
        <v>1876</v>
      </c>
      <c r="H1112" s="54">
        <f>STOCK[[#This Row],[Precio Final]]</f>
        <v>18</v>
      </c>
      <c r="I1112" s="54">
        <f>STOCK[[#This Row],[Precio Venta Ideal (x1.5)]]</f>
        <v>15.3515625</v>
      </c>
      <c r="J1112" s="72">
        <v>2</v>
      </c>
      <c r="K1112" s="72">
        <f>SUMIFS(VENTAS[Cantidad],VENTAS[Código del producto Vendido],STOCK[[#This Row],[Code]])</f>
        <v>0</v>
      </c>
      <c r="L1112" s="72">
        <f>STOCK[[#This Row],[Entradas]]-STOCK[[#This Row],[Salidas]]</f>
        <v>2</v>
      </c>
      <c r="M1112" s="54">
        <f>STOCK[[#This Row],[Precio Final]]*10%</f>
        <v>1.8</v>
      </c>
      <c r="N1112" s="54">
        <v>112.39</v>
      </c>
      <c r="O1112" s="54">
        <v>16</v>
      </c>
      <c r="P1112" s="54">
        <v>7.024375</v>
      </c>
      <c r="Q1112" s="72">
        <v>0</v>
      </c>
      <c r="R1112" s="54">
        <v>0</v>
      </c>
      <c r="S1112" s="54">
        <v>1.41</v>
      </c>
      <c r="T1112" s="53">
        <f>STOCK[[#This Row],[Costo Unitario (USD)]]+STOCK[[#This Row],[Costo Envío (USD)]]+STOCK[[#This Row],[Comisión 10%]]</f>
        <v>10.234375</v>
      </c>
      <c r="U1112" s="54">
        <f>STOCK[[#This Row],[Costo total]]*1.5</f>
        <v>15.3515625</v>
      </c>
      <c r="V1112" s="54">
        <v>18</v>
      </c>
      <c r="W1112" s="54">
        <f>STOCK[[#This Row],[Precio Final]]-STOCK[[#This Row],[Costo total]]</f>
        <v>7.765625</v>
      </c>
      <c r="X1112" s="54">
        <f>STOCK[[#This Row],[Ganancia Unitaria]]*STOCK[[#This Row],[Salidas]]</f>
        <v>0</v>
      </c>
      <c r="Y1112" s="54" t="s">
        <v>2341</v>
      </c>
      <c r="AA1112" s="54">
        <f>STOCK[[#This Row],[Costo total]]*STOCK[[#This Row],[Entradas]]</f>
        <v>20.46875</v>
      </c>
      <c r="AB1112" s="54">
        <f>STOCK[[#This Row],[Stock Actual]]*STOCK[[#This Row],[Costo total]]</f>
        <v>20.46875</v>
      </c>
    </row>
    <row r="1113" s="53" customFormat="1" ht="50" customHeight="1" spans="1:28">
      <c r="A1113" s="53" t="s">
        <v>2342</v>
      </c>
      <c r="B1113" s="66"/>
      <c r="C1113" s="53" t="s">
        <v>32</v>
      </c>
      <c r="D1113" s="54" t="s">
        <v>38</v>
      </c>
      <c r="E1113" s="67" t="s">
        <v>2338</v>
      </c>
      <c r="F1113" s="53" t="s">
        <v>49</v>
      </c>
      <c r="G1113" s="53" t="s">
        <v>1876</v>
      </c>
      <c r="H1113" s="53">
        <f>STOCK[[#This Row],[Precio Final]]</f>
        <v>18</v>
      </c>
      <c r="I1113" s="53">
        <f>STOCK[[#This Row],[Precio Venta Ideal (x1.5)]]</f>
        <v>15.3515625</v>
      </c>
      <c r="J1113" s="71">
        <v>2</v>
      </c>
      <c r="K1113" s="71">
        <f>SUMIFS(VENTAS[Cantidad],VENTAS[Código del producto Vendido],STOCK[[#This Row],[Code]])</f>
        <v>0</v>
      </c>
      <c r="L1113" s="71">
        <f>STOCK[[#This Row],[Entradas]]-STOCK[[#This Row],[Salidas]]</f>
        <v>2</v>
      </c>
      <c r="M1113" s="53">
        <f>STOCK[[#This Row],[Precio Final]]*10%</f>
        <v>1.8</v>
      </c>
      <c r="N1113" s="53">
        <v>112.39</v>
      </c>
      <c r="O1113" s="53">
        <v>16</v>
      </c>
      <c r="P1113" s="53">
        <v>7.024375</v>
      </c>
      <c r="Q1113" s="71">
        <v>0</v>
      </c>
      <c r="R1113" s="53">
        <v>0</v>
      </c>
      <c r="S1113" s="53">
        <v>1.41</v>
      </c>
      <c r="T1113" s="53">
        <f>STOCK[[#This Row],[Costo Unitario (USD)]]+STOCK[[#This Row],[Costo Envío (USD)]]+STOCK[[#This Row],[Comisión 10%]]</f>
        <v>10.234375</v>
      </c>
      <c r="U1113" s="53">
        <f>STOCK[[#This Row],[Costo total]]*1.5</f>
        <v>15.3515625</v>
      </c>
      <c r="V1113" s="53">
        <v>18</v>
      </c>
      <c r="W1113" s="53">
        <f>STOCK[[#This Row],[Precio Final]]-STOCK[[#This Row],[Costo total]]</f>
        <v>7.765625</v>
      </c>
      <c r="X1113" s="53">
        <f>STOCK[[#This Row],[Ganancia Unitaria]]*STOCK[[#This Row],[Salidas]]</f>
        <v>0</v>
      </c>
      <c r="Y1113" s="53" t="s">
        <v>2343</v>
      </c>
      <c r="AA1113" s="54">
        <f>STOCK[[#This Row],[Costo total]]*STOCK[[#This Row],[Entradas]]</f>
        <v>20.46875</v>
      </c>
      <c r="AB1113" s="54">
        <f>STOCK[[#This Row],[Stock Actual]]*STOCK[[#This Row],[Costo total]]</f>
        <v>20.46875</v>
      </c>
    </row>
    <row r="1114" s="54" customFormat="1" ht="50" customHeight="1" spans="1:28">
      <c r="A1114" s="54" t="s">
        <v>2344</v>
      </c>
      <c r="B1114" s="66"/>
      <c r="C1114" s="54" t="s">
        <v>32</v>
      </c>
      <c r="D1114" s="54" t="s">
        <v>38</v>
      </c>
      <c r="E1114" s="68" t="s">
        <v>2345</v>
      </c>
      <c r="F1114" s="54" t="s">
        <v>46</v>
      </c>
      <c r="G1114" s="54" t="s">
        <v>1876</v>
      </c>
      <c r="H1114" s="54">
        <f>STOCK[[#This Row],[Precio Final]]</f>
        <v>28</v>
      </c>
      <c r="I1114" s="54">
        <f>STOCK[[#This Row],[Precio Venta Ideal (x1.5)]]</f>
        <v>30.6984375</v>
      </c>
      <c r="J1114" s="72">
        <v>1</v>
      </c>
      <c r="K1114" s="72">
        <f>SUMIFS(VENTAS[Cantidad],VENTAS[Código del producto Vendido],STOCK[[#This Row],[Code]])</f>
        <v>0</v>
      </c>
      <c r="L1114" s="72">
        <f>STOCK[[#This Row],[Entradas]]-STOCK[[#This Row],[Salidas]]</f>
        <v>1</v>
      </c>
      <c r="M1114" s="54">
        <f>STOCK[[#This Row],[Precio Final]]*10%</f>
        <v>2.8</v>
      </c>
      <c r="N1114" s="54">
        <v>260.09</v>
      </c>
      <c r="O1114" s="54">
        <v>16</v>
      </c>
      <c r="P1114" s="54">
        <v>16.255625</v>
      </c>
      <c r="Q1114" s="72">
        <v>0</v>
      </c>
      <c r="R1114" s="54">
        <v>0</v>
      </c>
      <c r="S1114" s="54">
        <v>1.41</v>
      </c>
      <c r="T1114" s="53">
        <f>STOCK[[#This Row],[Costo Unitario (USD)]]+STOCK[[#This Row],[Costo Envío (USD)]]+STOCK[[#This Row],[Comisión 10%]]</f>
        <v>20.465625</v>
      </c>
      <c r="U1114" s="54">
        <f>STOCK[[#This Row],[Costo total]]*1.5</f>
        <v>30.6984375</v>
      </c>
      <c r="V1114" s="54">
        <v>28</v>
      </c>
      <c r="W1114" s="54">
        <f>STOCK[[#This Row],[Precio Final]]-STOCK[[#This Row],[Costo total]]</f>
        <v>7.534375</v>
      </c>
      <c r="X1114" s="54">
        <f>STOCK[[#This Row],[Ganancia Unitaria]]*STOCK[[#This Row],[Salidas]]</f>
        <v>0</v>
      </c>
      <c r="Y1114" s="54" t="s">
        <v>2346</v>
      </c>
      <c r="AA1114" s="54">
        <f>STOCK[[#This Row],[Costo total]]*STOCK[[#This Row],[Entradas]]</f>
        <v>20.465625</v>
      </c>
      <c r="AB1114" s="54">
        <f>STOCK[[#This Row],[Stock Actual]]*STOCK[[#This Row],[Costo total]]</f>
        <v>20.465625</v>
      </c>
    </row>
    <row r="1115" s="53" customFormat="1" ht="50" customHeight="1" spans="1:28">
      <c r="A1115" s="53" t="s">
        <v>2347</v>
      </c>
      <c r="B1115" s="66"/>
      <c r="C1115" s="53" t="s">
        <v>32</v>
      </c>
      <c r="D1115" s="54" t="s">
        <v>38</v>
      </c>
      <c r="E1115" s="67" t="s">
        <v>2345</v>
      </c>
      <c r="F1115" s="53" t="s">
        <v>49</v>
      </c>
      <c r="G1115" s="53" t="s">
        <v>1876</v>
      </c>
      <c r="H1115" s="53">
        <f>STOCK[[#This Row],[Precio Final]]</f>
        <v>28</v>
      </c>
      <c r="I1115" s="53">
        <f>STOCK[[#This Row],[Precio Venta Ideal (x1.5)]]</f>
        <v>30.6984375</v>
      </c>
      <c r="J1115" s="71">
        <v>1</v>
      </c>
      <c r="K1115" s="71">
        <f>SUMIFS(VENTAS[Cantidad],VENTAS[Código del producto Vendido],STOCK[[#This Row],[Code]])</f>
        <v>0</v>
      </c>
      <c r="L1115" s="71">
        <f>STOCK[[#This Row],[Entradas]]-STOCK[[#This Row],[Salidas]]</f>
        <v>1</v>
      </c>
      <c r="M1115" s="53">
        <f>STOCK[[#This Row],[Precio Final]]*10%</f>
        <v>2.8</v>
      </c>
      <c r="N1115" s="53">
        <v>260.09</v>
      </c>
      <c r="O1115" s="53">
        <v>16</v>
      </c>
      <c r="P1115" s="53">
        <v>16.255625</v>
      </c>
      <c r="Q1115" s="71">
        <v>0</v>
      </c>
      <c r="R1115" s="53">
        <v>0</v>
      </c>
      <c r="S1115" s="53">
        <v>1.41</v>
      </c>
      <c r="T1115" s="53">
        <f>STOCK[[#This Row],[Costo Unitario (USD)]]+STOCK[[#This Row],[Costo Envío (USD)]]+STOCK[[#This Row],[Comisión 10%]]</f>
        <v>20.465625</v>
      </c>
      <c r="U1115" s="53">
        <f>STOCK[[#This Row],[Costo total]]*1.5</f>
        <v>30.6984375</v>
      </c>
      <c r="V1115" s="53">
        <v>28</v>
      </c>
      <c r="W1115" s="53">
        <f>STOCK[[#This Row],[Precio Final]]-STOCK[[#This Row],[Costo total]]</f>
        <v>7.534375</v>
      </c>
      <c r="X1115" s="53">
        <f>STOCK[[#This Row],[Ganancia Unitaria]]*STOCK[[#This Row],[Salidas]]</f>
        <v>0</v>
      </c>
      <c r="Y1115" s="53" t="s">
        <v>2348</v>
      </c>
      <c r="AA1115" s="54">
        <f>STOCK[[#This Row],[Costo total]]*STOCK[[#This Row],[Entradas]]</f>
        <v>20.465625</v>
      </c>
      <c r="AB1115" s="54">
        <f>STOCK[[#This Row],[Stock Actual]]*STOCK[[#This Row],[Costo total]]</f>
        <v>20.465625</v>
      </c>
    </row>
    <row r="1116" s="54" customFormat="1" ht="50" customHeight="1" spans="1:28">
      <c r="A1116" s="54" t="s">
        <v>2349</v>
      </c>
      <c r="B1116" s="66"/>
      <c r="C1116" s="54" t="s">
        <v>32</v>
      </c>
      <c r="D1116" s="54" t="s">
        <v>38</v>
      </c>
      <c r="E1116" s="68" t="s">
        <v>2345</v>
      </c>
      <c r="F1116" s="54" t="s">
        <v>62</v>
      </c>
      <c r="G1116" s="54" t="s">
        <v>1876</v>
      </c>
      <c r="H1116" s="54">
        <f>STOCK[[#This Row],[Precio Final]]</f>
        <v>28</v>
      </c>
      <c r="I1116" s="54">
        <f>STOCK[[#This Row],[Precio Venta Ideal (x1.5)]]</f>
        <v>30.6984375</v>
      </c>
      <c r="J1116" s="72">
        <v>1</v>
      </c>
      <c r="K1116" s="72">
        <f>SUMIFS(VENTAS[Cantidad],VENTAS[Código del producto Vendido],STOCK[[#This Row],[Code]])</f>
        <v>0</v>
      </c>
      <c r="L1116" s="72">
        <f>STOCK[[#This Row],[Entradas]]-STOCK[[#This Row],[Salidas]]</f>
        <v>1</v>
      </c>
      <c r="M1116" s="54">
        <f>STOCK[[#This Row],[Precio Final]]*10%</f>
        <v>2.8</v>
      </c>
      <c r="N1116" s="54">
        <v>260.09</v>
      </c>
      <c r="O1116" s="54">
        <v>16</v>
      </c>
      <c r="P1116" s="54">
        <v>16.255625</v>
      </c>
      <c r="Q1116" s="72">
        <v>0</v>
      </c>
      <c r="R1116" s="54">
        <v>0</v>
      </c>
      <c r="S1116" s="54">
        <v>1.41</v>
      </c>
      <c r="T1116" s="53">
        <f>STOCK[[#This Row],[Costo Unitario (USD)]]+STOCK[[#This Row],[Costo Envío (USD)]]+STOCK[[#This Row],[Comisión 10%]]</f>
        <v>20.465625</v>
      </c>
      <c r="U1116" s="54">
        <f>STOCK[[#This Row],[Costo total]]*1.5</f>
        <v>30.6984375</v>
      </c>
      <c r="V1116" s="54">
        <v>28</v>
      </c>
      <c r="W1116" s="54">
        <f>STOCK[[#This Row],[Precio Final]]-STOCK[[#This Row],[Costo total]]</f>
        <v>7.534375</v>
      </c>
      <c r="X1116" s="54">
        <f>STOCK[[#This Row],[Ganancia Unitaria]]*STOCK[[#This Row],[Salidas]]</f>
        <v>0</v>
      </c>
      <c r="Y1116" s="54" t="s">
        <v>2350</v>
      </c>
      <c r="AA1116" s="54">
        <f>STOCK[[#This Row],[Costo total]]*STOCK[[#This Row],[Entradas]]</f>
        <v>20.465625</v>
      </c>
      <c r="AB1116" s="54">
        <f>STOCK[[#This Row],[Stock Actual]]*STOCK[[#This Row],[Costo total]]</f>
        <v>20.465625</v>
      </c>
    </row>
    <row r="1117" s="53" customFormat="1" ht="50" customHeight="1" spans="1:28">
      <c r="A1117" s="53" t="s">
        <v>2351</v>
      </c>
      <c r="B1117" s="66"/>
      <c r="C1117" s="53" t="s">
        <v>32</v>
      </c>
      <c r="D1117" s="53" t="s">
        <v>2334</v>
      </c>
      <c r="E1117" s="67" t="s">
        <v>2345</v>
      </c>
      <c r="F1117" s="53" t="s">
        <v>40</v>
      </c>
      <c r="G1117" s="53" t="s">
        <v>1876</v>
      </c>
      <c r="H1117" s="53">
        <f>STOCK[[#This Row],[Precio Final]]</f>
        <v>28</v>
      </c>
      <c r="I1117" s="53">
        <f>STOCK[[#This Row],[Precio Venta Ideal (x1.5)]]</f>
        <v>30.6984375</v>
      </c>
      <c r="J1117" s="71">
        <v>1</v>
      </c>
      <c r="K1117" s="71">
        <f>SUMIFS(VENTAS[Cantidad],VENTAS[Código del producto Vendido],STOCK[[#This Row],[Code]])</f>
        <v>1</v>
      </c>
      <c r="L1117" s="71">
        <f>STOCK[[#This Row],[Entradas]]-STOCK[[#This Row],[Salidas]]</f>
        <v>0</v>
      </c>
      <c r="M1117" s="53">
        <f>STOCK[[#This Row],[Precio Final]]*10%</f>
        <v>2.8</v>
      </c>
      <c r="N1117" s="53">
        <v>260.09</v>
      </c>
      <c r="O1117" s="53">
        <v>16</v>
      </c>
      <c r="P1117" s="53">
        <v>16.255625</v>
      </c>
      <c r="Q1117" s="71">
        <v>0</v>
      </c>
      <c r="R1117" s="53">
        <v>0</v>
      </c>
      <c r="S1117" s="53">
        <v>1.41</v>
      </c>
      <c r="T1117" s="53">
        <f>STOCK[[#This Row],[Costo Unitario (USD)]]+STOCK[[#This Row],[Costo Envío (USD)]]+STOCK[[#This Row],[Comisión 10%]]</f>
        <v>20.465625</v>
      </c>
      <c r="U1117" s="53">
        <f>STOCK[[#This Row],[Costo total]]*1.5</f>
        <v>30.6984375</v>
      </c>
      <c r="V1117" s="53">
        <v>28</v>
      </c>
      <c r="W1117" s="53">
        <f>STOCK[[#This Row],[Precio Final]]-STOCK[[#This Row],[Costo total]]</f>
        <v>7.534375</v>
      </c>
      <c r="X1117" s="53">
        <f>STOCK[[#This Row],[Ganancia Unitaria]]*STOCK[[#This Row],[Salidas]]</f>
        <v>7.534375</v>
      </c>
      <c r="Y1117" s="53" t="s">
        <v>2352</v>
      </c>
      <c r="AA1117" s="54">
        <f>STOCK[[#This Row],[Costo total]]*STOCK[[#This Row],[Entradas]]</f>
        <v>20.465625</v>
      </c>
      <c r="AB1117" s="54">
        <f>STOCK[[#This Row],[Stock Actual]]*STOCK[[#This Row],[Costo total]]</f>
        <v>0</v>
      </c>
    </row>
    <row r="1118" s="54" customFormat="1" ht="50" customHeight="1" spans="1:28">
      <c r="A1118" s="54" t="s">
        <v>2353</v>
      </c>
      <c r="B1118" s="66"/>
      <c r="C1118" s="54" t="s">
        <v>32</v>
      </c>
      <c r="D1118" s="54" t="s">
        <v>1808</v>
      </c>
      <c r="E1118" s="68" t="s">
        <v>2354</v>
      </c>
      <c r="F1118" s="54" t="s">
        <v>525</v>
      </c>
      <c r="G1118" s="54" t="s">
        <v>1876</v>
      </c>
      <c r="H1118" s="54">
        <f>STOCK[[#This Row],[Precio Final]]</f>
        <v>10</v>
      </c>
      <c r="I1118" s="54">
        <f>STOCK[[#This Row],[Precio Venta Ideal (x1.5)]]</f>
        <v>10.996875</v>
      </c>
      <c r="J1118" s="72">
        <v>1</v>
      </c>
      <c r="K1118" s="72">
        <f>SUMIFS(VENTAS[Cantidad],VENTAS[Código del producto Vendido],STOCK[[#This Row],[Code]])</f>
        <v>0</v>
      </c>
      <c r="L1118" s="72">
        <f>STOCK[[#This Row],[Entradas]]-STOCK[[#This Row],[Salidas]]</f>
        <v>1</v>
      </c>
      <c r="M1118" s="54">
        <f>STOCK[[#This Row],[Precio Final]]*10%</f>
        <v>1</v>
      </c>
      <c r="N1118" s="54">
        <v>78.74</v>
      </c>
      <c r="O1118" s="54">
        <v>16</v>
      </c>
      <c r="P1118" s="54">
        <v>4.92125</v>
      </c>
      <c r="Q1118" s="72">
        <v>0</v>
      </c>
      <c r="R1118" s="54">
        <v>0</v>
      </c>
      <c r="S1118" s="54">
        <v>1.41</v>
      </c>
      <c r="T1118" s="53">
        <f>STOCK[[#This Row],[Costo Unitario (USD)]]+STOCK[[#This Row],[Costo Envío (USD)]]+STOCK[[#This Row],[Comisión 10%]]</f>
        <v>7.33125</v>
      </c>
      <c r="U1118" s="54">
        <f>STOCK[[#This Row],[Costo total]]*1.5</f>
        <v>10.996875</v>
      </c>
      <c r="V1118" s="54">
        <v>10</v>
      </c>
      <c r="W1118" s="54">
        <f>STOCK[[#This Row],[Precio Final]]-STOCK[[#This Row],[Costo total]]</f>
        <v>2.66875</v>
      </c>
      <c r="X1118" s="54">
        <f>STOCK[[#This Row],[Ganancia Unitaria]]*STOCK[[#This Row],[Salidas]]</f>
        <v>0</v>
      </c>
      <c r="Y1118" s="54" t="s">
        <v>2355</v>
      </c>
      <c r="AA1118" s="54">
        <f>STOCK[[#This Row],[Costo total]]*STOCK[[#This Row],[Entradas]]</f>
        <v>7.33125</v>
      </c>
      <c r="AB1118" s="54">
        <f>STOCK[[#This Row],[Stock Actual]]*STOCK[[#This Row],[Costo total]]</f>
        <v>7.33125</v>
      </c>
    </row>
    <row r="1119" s="53" customFormat="1" ht="50" customHeight="1" spans="1:28">
      <c r="A1119" s="53" t="s">
        <v>2356</v>
      </c>
      <c r="B1119" s="66"/>
      <c r="C1119" s="53" t="s">
        <v>32</v>
      </c>
      <c r="D1119" s="53" t="s">
        <v>1808</v>
      </c>
      <c r="E1119" s="67" t="s">
        <v>2357</v>
      </c>
      <c r="F1119" s="53" t="s">
        <v>525</v>
      </c>
      <c r="G1119" s="53" t="s">
        <v>1876</v>
      </c>
      <c r="H1119" s="53">
        <f>STOCK[[#This Row],[Precio Final]]</f>
        <v>10</v>
      </c>
      <c r="I1119" s="53">
        <f>STOCK[[#This Row],[Precio Venta Ideal (x1.5)]]</f>
        <v>10.321875</v>
      </c>
      <c r="J1119" s="71">
        <v>2</v>
      </c>
      <c r="K1119" s="71">
        <f>SUMIFS(VENTAS[Cantidad],VENTAS[Código del producto Vendido],STOCK[[#This Row],[Code]])</f>
        <v>0</v>
      </c>
      <c r="L1119" s="71">
        <f>STOCK[[#This Row],[Entradas]]-STOCK[[#This Row],[Salidas]]</f>
        <v>2</v>
      </c>
      <c r="M1119" s="53">
        <f>STOCK[[#This Row],[Precio Final]]*10%</f>
        <v>1</v>
      </c>
      <c r="N1119" s="53">
        <v>71.54</v>
      </c>
      <c r="O1119" s="53">
        <v>16</v>
      </c>
      <c r="P1119" s="53">
        <v>4.47125</v>
      </c>
      <c r="Q1119" s="71">
        <v>0</v>
      </c>
      <c r="R1119" s="53">
        <v>0</v>
      </c>
      <c r="S1119" s="53">
        <v>1.41</v>
      </c>
      <c r="T1119" s="53">
        <f>STOCK[[#This Row],[Costo Unitario (USD)]]+STOCK[[#This Row],[Costo Envío (USD)]]+STOCK[[#This Row],[Comisión 10%]]</f>
        <v>6.88125</v>
      </c>
      <c r="U1119" s="53">
        <f>STOCK[[#This Row],[Costo total]]*1.5</f>
        <v>10.321875</v>
      </c>
      <c r="V1119" s="53">
        <v>10</v>
      </c>
      <c r="W1119" s="53">
        <f>STOCK[[#This Row],[Precio Final]]-STOCK[[#This Row],[Costo total]]</f>
        <v>3.11875</v>
      </c>
      <c r="X1119" s="53">
        <f>STOCK[[#This Row],[Ganancia Unitaria]]*STOCK[[#This Row],[Salidas]]</f>
        <v>0</v>
      </c>
      <c r="Y1119" s="53" t="s">
        <v>2358</v>
      </c>
      <c r="AA1119" s="54">
        <f>STOCK[[#This Row],[Costo total]]*STOCK[[#This Row],[Entradas]]</f>
        <v>13.7625</v>
      </c>
      <c r="AB1119" s="54">
        <f>STOCK[[#This Row],[Stock Actual]]*STOCK[[#This Row],[Costo total]]</f>
        <v>13.7625</v>
      </c>
    </row>
    <row r="1120" s="54" customFormat="1" ht="50" customHeight="1" spans="1:28">
      <c r="A1120" s="54" t="s">
        <v>2359</v>
      </c>
      <c r="B1120" s="66"/>
      <c r="C1120" s="54" t="s">
        <v>32</v>
      </c>
      <c r="D1120" s="54" t="s">
        <v>1808</v>
      </c>
      <c r="E1120" s="68" t="s">
        <v>2360</v>
      </c>
      <c r="F1120" s="54" t="s">
        <v>525</v>
      </c>
      <c r="G1120" s="54" t="s">
        <v>1876</v>
      </c>
      <c r="H1120" s="54">
        <f>STOCK[[#This Row],[Precio Final]]</f>
        <v>10</v>
      </c>
      <c r="I1120" s="54">
        <f>STOCK[[#This Row],[Precio Venta Ideal (x1.5)]]</f>
        <v>10.996875</v>
      </c>
      <c r="J1120" s="72">
        <v>2</v>
      </c>
      <c r="K1120" s="72">
        <f>SUMIFS(VENTAS[Cantidad],VENTAS[Código del producto Vendido],STOCK[[#This Row],[Code]])</f>
        <v>2</v>
      </c>
      <c r="L1120" s="72">
        <f>STOCK[[#This Row],[Entradas]]-STOCK[[#This Row],[Salidas]]</f>
        <v>0</v>
      </c>
      <c r="M1120" s="54">
        <f>STOCK[[#This Row],[Precio Final]]*10%</f>
        <v>1</v>
      </c>
      <c r="N1120" s="54">
        <v>78.74</v>
      </c>
      <c r="O1120" s="54">
        <v>16</v>
      </c>
      <c r="P1120" s="54">
        <v>4.92125</v>
      </c>
      <c r="Q1120" s="72">
        <v>0</v>
      </c>
      <c r="R1120" s="54">
        <v>0</v>
      </c>
      <c r="S1120" s="54">
        <v>1.41</v>
      </c>
      <c r="T1120" s="53">
        <f>STOCK[[#This Row],[Costo Unitario (USD)]]+STOCK[[#This Row],[Costo Envío (USD)]]+STOCK[[#This Row],[Comisión 10%]]</f>
        <v>7.33125</v>
      </c>
      <c r="U1120" s="54">
        <f>STOCK[[#This Row],[Costo total]]*1.5</f>
        <v>10.996875</v>
      </c>
      <c r="V1120" s="54">
        <v>10</v>
      </c>
      <c r="W1120" s="54">
        <f>STOCK[[#This Row],[Precio Final]]-STOCK[[#This Row],[Costo total]]</f>
        <v>2.66875</v>
      </c>
      <c r="X1120" s="54">
        <f>STOCK[[#This Row],[Ganancia Unitaria]]*STOCK[[#This Row],[Salidas]]</f>
        <v>5.3375</v>
      </c>
      <c r="Y1120" s="54" t="s">
        <v>2361</v>
      </c>
      <c r="AA1120" s="54">
        <f>STOCK[[#This Row],[Costo total]]*STOCK[[#This Row],[Entradas]]</f>
        <v>14.6625</v>
      </c>
      <c r="AB1120" s="54">
        <f>STOCK[[#This Row],[Stock Actual]]*STOCK[[#This Row],[Costo total]]</f>
        <v>0</v>
      </c>
    </row>
    <row r="1121" s="53" customFormat="1" ht="50" customHeight="1" spans="1:28">
      <c r="A1121" s="53" t="s">
        <v>2362</v>
      </c>
      <c r="B1121" s="66"/>
      <c r="C1121" s="53" t="s">
        <v>32</v>
      </c>
      <c r="D1121" s="53" t="s">
        <v>1808</v>
      </c>
      <c r="E1121" s="67" t="s">
        <v>2363</v>
      </c>
      <c r="F1121" s="53" t="s">
        <v>525</v>
      </c>
      <c r="G1121" s="53" t="s">
        <v>1876</v>
      </c>
      <c r="H1121" s="53">
        <f>STOCK[[#This Row],[Precio Final]]</f>
        <v>10</v>
      </c>
      <c r="I1121" s="53">
        <f>STOCK[[#This Row],[Precio Venta Ideal (x1.5)]]</f>
        <v>9.1828125</v>
      </c>
      <c r="J1121" s="71">
        <v>2</v>
      </c>
      <c r="K1121" s="71">
        <f>SUMIFS(VENTAS[Cantidad],VENTAS[Código del producto Vendido],STOCK[[#This Row],[Code]])</f>
        <v>2</v>
      </c>
      <c r="L1121" s="71">
        <f>STOCK[[#This Row],[Entradas]]-STOCK[[#This Row],[Salidas]]</f>
        <v>0</v>
      </c>
      <c r="M1121" s="53">
        <f>STOCK[[#This Row],[Precio Final]]*10%</f>
        <v>1</v>
      </c>
      <c r="N1121" s="53">
        <v>59.39</v>
      </c>
      <c r="O1121" s="53">
        <v>16</v>
      </c>
      <c r="P1121" s="53">
        <v>3.711875</v>
      </c>
      <c r="Q1121" s="71">
        <v>0</v>
      </c>
      <c r="R1121" s="53">
        <v>0</v>
      </c>
      <c r="S1121" s="53">
        <v>1.41</v>
      </c>
      <c r="T1121" s="53">
        <f>STOCK[[#This Row],[Costo Unitario (USD)]]+STOCK[[#This Row],[Costo Envío (USD)]]+STOCK[[#This Row],[Comisión 10%]]</f>
        <v>6.121875</v>
      </c>
      <c r="U1121" s="53">
        <f>STOCK[[#This Row],[Costo total]]*1.5</f>
        <v>9.1828125</v>
      </c>
      <c r="V1121" s="53">
        <v>10</v>
      </c>
      <c r="W1121" s="53">
        <f>STOCK[[#This Row],[Precio Final]]-STOCK[[#This Row],[Costo total]]</f>
        <v>3.878125</v>
      </c>
      <c r="X1121" s="53">
        <f>STOCK[[#This Row],[Ganancia Unitaria]]*STOCK[[#This Row],[Salidas]]</f>
        <v>7.75625</v>
      </c>
      <c r="Y1121" s="53" t="s">
        <v>2364</v>
      </c>
      <c r="AA1121" s="54">
        <f>STOCK[[#This Row],[Costo total]]*STOCK[[#This Row],[Entradas]]</f>
        <v>12.24375</v>
      </c>
      <c r="AB1121" s="54">
        <f>STOCK[[#This Row],[Stock Actual]]*STOCK[[#This Row],[Costo total]]</f>
        <v>0</v>
      </c>
    </row>
    <row r="1122" s="54" customFormat="1" ht="50" customHeight="1" spans="1:28">
      <c r="A1122" s="54" t="s">
        <v>2365</v>
      </c>
      <c r="B1122" s="66"/>
      <c r="C1122" s="54" t="s">
        <v>32</v>
      </c>
      <c r="D1122" s="54" t="s">
        <v>546</v>
      </c>
      <c r="E1122" s="68" t="s">
        <v>2366</v>
      </c>
      <c r="F1122" s="54" t="s">
        <v>525</v>
      </c>
      <c r="G1122" s="54" t="s">
        <v>1876</v>
      </c>
      <c r="H1122" s="54">
        <f>STOCK[[#This Row],[Precio Final]]</f>
        <v>5</v>
      </c>
      <c r="I1122" s="54">
        <f>STOCK[[#This Row],[Precio Venta Ideal (x1.5)]]</f>
        <v>5.7534375</v>
      </c>
      <c r="J1122" s="72">
        <v>3</v>
      </c>
      <c r="K1122" s="72">
        <f>SUMIFS(VENTAS[Cantidad],VENTAS[Código del producto Vendido],STOCK[[#This Row],[Code]])</f>
        <v>2</v>
      </c>
      <c r="L1122" s="72">
        <f>STOCK[[#This Row],[Entradas]]-STOCK[[#This Row],[Salidas]]</f>
        <v>1</v>
      </c>
      <c r="M1122" s="54">
        <f>STOCK[[#This Row],[Precio Final]]*10%</f>
        <v>0.5</v>
      </c>
      <c r="N1122" s="54">
        <v>30.81</v>
      </c>
      <c r="O1122" s="54">
        <v>16</v>
      </c>
      <c r="P1122" s="54">
        <v>1.925625</v>
      </c>
      <c r="Q1122" s="72">
        <v>0</v>
      </c>
      <c r="R1122" s="54">
        <v>0</v>
      </c>
      <c r="S1122" s="54">
        <v>1.41</v>
      </c>
      <c r="T1122" s="53">
        <f>STOCK[[#This Row],[Costo Unitario (USD)]]+STOCK[[#This Row],[Costo Envío (USD)]]+STOCK[[#This Row],[Comisión 10%]]</f>
        <v>3.835625</v>
      </c>
      <c r="U1122" s="54">
        <f>STOCK[[#This Row],[Costo total]]*1.5</f>
        <v>5.7534375</v>
      </c>
      <c r="V1122" s="54">
        <v>5</v>
      </c>
      <c r="W1122" s="54">
        <f>STOCK[[#This Row],[Precio Final]]-STOCK[[#This Row],[Costo total]]</f>
        <v>1.164375</v>
      </c>
      <c r="X1122" s="54">
        <f>STOCK[[#This Row],[Ganancia Unitaria]]*STOCK[[#This Row],[Salidas]]</f>
        <v>2.32875</v>
      </c>
      <c r="Y1122" s="54" t="s">
        <v>2367</v>
      </c>
      <c r="AA1122" s="54">
        <f>STOCK[[#This Row],[Costo total]]*STOCK[[#This Row],[Entradas]]</f>
        <v>11.506875</v>
      </c>
      <c r="AB1122" s="54">
        <f>STOCK[[#This Row],[Stock Actual]]*STOCK[[#This Row],[Costo total]]</f>
        <v>3.835625</v>
      </c>
    </row>
    <row r="1123" s="53" customFormat="1" ht="50" customHeight="1" spans="1:28">
      <c r="A1123" s="53" t="s">
        <v>2368</v>
      </c>
      <c r="B1123" s="66"/>
      <c r="C1123" s="53" t="s">
        <v>32</v>
      </c>
      <c r="D1123" s="53" t="s">
        <v>1808</v>
      </c>
      <c r="E1123" s="67" t="s">
        <v>2369</v>
      </c>
      <c r="F1123" s="53" t="s">
        <v>525</v>
      </c>
      <c r="G1123" s="53" t="s">
        <v>1876</v>
      </c>
      <c r="H1123" s="53">
        <f>STOCK[[#This Row],[Precio Final]]</f>
        <v>15</v>
      </c>
      <c r="I1123" s="53">
        <f>STOCK[[#This Row],[Precio Venta Ideal (x1.5)]]</f>
        <v>15.0778125</v>
      </c>
      <c r="J1123" s="71">
        <v>4</v>
      </c>
      <c r="K1123" s="71">
        <f>SUMIFS(VENTAS[Cantidad],VENTAS[Código del producto Vendido],STOCK[[#This Row],[Code]])</f>
        <v>4</v>
      </c>
      <c r="L1123" s="71">
        <f>STOCK[[#This Row],[Entradas]]-STOCK[[#This Row],[Salidas]]</f>
        <v>0</v>
      </c>
      <c r="M1123" s="53">
        <f>STOCK[[#This Row],[Precio Final]]*10%</f>
        <v>1.5</v>
      </c>
      <c r="N1123" s="53">
        <v>114.27</v>
      </c>
      <c r="O1123" s="53">
        <v>16</v>
      </c>
      <c r="P1123" s="53">
        <v>7.141875</v>
      </c>
      <c r="Q1123" s="71">
        <v>0</v>
      </c>
      <c r="R1123" s="53">
        <v>0</v>
      </c>
      <c r="S1123" s="53">
        <v>1.41</v>
      </c>
      <c r="T1123" s="53">
        <f>STOCK[[#This Row],[Costo Unitario (USD)]]+STOCK[[#This Row],[Costo Envío (USD)]]+STOCK[[#This Row],[Comisión 10%]]</f>
        <v>10.051875</v>
      </c>
      <c r="U1123" s="53">
        <f>STOCK[[#This Row],[Costo total]]*1.5</f>
        <v>15.0778125</v>
      </c>
      <c r="V1123" s="53">
        <v>15</v>
      </c>
      <c r="W1123" s="53">
        <f>STOCK[[#This Row],[Precio Final]]-STOCK[[#This Row],[Costo total]]</f>
        <v>4.948125</v>
      </c>
      <c r="X1123" s="53">
        <f>STOCK[[#This Row],[Ganancia Unitaria]]*STOCK[[#This Row],[Salidas]]</f>
        <v>19.7925</v>
      </c>
      <c r="Y1123" s="53" t="s">
        <v>2370</v>
      </c>
      <c r="AA1123" s="54">
        <f>STOCK[[#This Row],[Costo total]]*STOCK[[#This Row],[Entradas]]</f>
        <v>40.2075</v>
      </c>
      <c r="AB1123" s="54">
        <f>STOCK[[#This Row],[Stock Actual]]*STOCK[[#This Row],[Costo total]]</f>
        <v>0</v>
      </c>
    </row>
    <row r="1124" s="54" customFormat="1" ht="50" customHeight="1" spans="1:28">
      <c r="A1124" s="54" t="s">
        <v>2371</v>
      </c>
      <c r="B1124" s="66"/>
      <c r="C1124" s="54" t="s">
        <v>32</v>
      </c>
      <c r="D1124" s="54" t="s">
        <v>2372</v>
      </c>
      <c r="E1124" s="68" t="s">
        <v>2373</v>
      </c>
      <c r="F1124" s="54" t="s">
        <v>46</v>
      </c>
      <c r="G1124" s="54" t="s">
        <v>1876</v>
      </c>
      <c r="H1124" s="54">
        <f>STOCK[[#This Row],[Precio Final]]</f>
        <v>17</v>
      </c>
      <c r="I1124" s="54">
        <f>STOCK[[#This Row],[Precio Venta Ideal (x1.5)]]</f>
        <v>18.7828125</v>
      </c>
      <c r="J1124" s="72">
        <v>1</v>
      </c>
      <c r="K1124" s="72">
        <f>SUMIFS(VENTAS[Cantidad],VENTAS[Código del producto Vendido],STOCK[[#This Row],[Code]])</f>
        <v>1</v>
      </c>
      <c r="L1124" s="72">
        <f>STOCK[[#This Row],[Entradas]]-STOCK[[#This Row],[Salidas]]</f>
        <v>0</v>
      </c>
      <c r="M1124" s="54">
        <f>STOCK[[#This Row],[Precio Final]]*10%</f>
        <v>1.7</v>
      </c>
      <c r="N1124" s="54">
        <v>150.59</v>
      </c>
      <c r="O1124" s="54">
        <v>16</v>
      </c>
      <c r="P1124" s="54">
        <v>9.411875</v>
      </c>
      <c r="Q1124" s="72">
        <v>0</v>
      </c>
      <c r="R1124" s="54">
        <v>0</v>
      </c>
      <c r="S1124" s="54">
        <v>1.41</v>
      </c>
      <c r="T1124" s="53">
        <f>STOCK[[#This Row],[Costo Unitario (USD)]]+STOCK[[#This Row],[Costo Envío (USD)]]+STOCK[[#This Row],[Comisión 10%]]</f>
        <v>12.521875</v>
      </c>
      <c r="U1124" s="54">
        <f>STOCK[[#This Row],[Costo total]]*1.5</f>
        <v>18.7828125</v>
      </c>
      <c r="V1124" s="54">
        <v>17</v>
      </c>
      <c r="W1124" s="54">
        <f>STOCK[[#This Row],[Precio Final]]-STOCK[[#This Row],[Costo total]]</f>
        <v>4.478125</v>
      </c>
      <c r="X1124" s="54">
        <f>STOCK[[#This Row],[Ganancia Unitaria]]*STOCK[[#This Row],[Salidas]]</f>
        <v>4.478125</v>
      </c>
      <c r="Y1124" s="54" t="s">
        <v>2374</v>
      </c>
      <c r="AA1124" s="54">
        <f>STOCK[[#This Row],[Costo total]]*STOCK[[#This Row],[Entradas]]</f>
        <v>12.521875</v>
      </c>
      <c r="AB1124" s="54">
        <f>STOCK[[#This Row],[Stock Actual]]*STOCK[[#This Row],[Costo total]]</f>
        <v>0</v>
      </c>
    </row>
    <row r="1125" s="53" customFormat="1" ht="50" customHeight="1" spans="1:28">
      <c r="A1125" s="53" t="s">
        <v>2375</v>
      </c>
      <c r="B1125" s="66"/>
      <c r="C1125" s="53" t="s">
        <v>32</v>
      </c>
      <c r="D1125" s="53" t="s">
        <v>1190</v>
      </c>
      <c r="E1125" s="67" t="s">
        <v>2373</v>
      </c>
      <c r="F1125" s="53" t="s">
        <v>49</v>
      </c>
      <c r="G1125" s="53" t="s">
        <v>1876</v>
      </c>
      <c r="H1125" s="53">
        <f>STOCK[[#This Row],[Precio Final]]</f>
        <v>17</v>
      </c>
      <c r="I1125" s="53">
        <f>STOCK[[#This Row],[Precio Venta Ideal (x1.5)]]</f>
        <v>18.7828125</v>
      </c>
      <c r="J1125" s="71">
        <v>1</v>
      </c>
      <c r="K1125" s="71">
        <f>SUMIFS(VENTAS[Cantidad],VENTAS[Código del producto Vendido],STOCK[[#This Row],[Code]])</f>
        <v>1</v>
      </c>
      <c r="L1125" s="71">
        <f>STOCK[[#This Row],[Entradas]]-STOCK[[#This Row],[Salidas]]</f>
        <v>0</v>
      </c>
      <c r="M1125" s="53">
        <f>STOCK[[#This Row],[Precio Final]]*10%</f>
        <v>1.7</v>
      </c>
      <c r="N1125" s="53">
        <v>150.59</v>
      </c>
      <c r="O1125" s="53">
        <v>16</v>
      </c>
      <c r="P1125" s="53">
        <v>9.411875</v>
      </c>
      <c r="Q1125" s="71">
        <v>0</v>
      </c>
      <c r="R1125" s="53">
        <v>0</v>
      </c>
      <c r="S1125" s="53">
        <v>1.41</v>
      </c>
      <c r="T1125" s="53">
        <f>STOCK[[#This Row],[Costo Unitario (USD)]]+STOCK[[#This Row],[Costo Envío (USD)]]+STOCK[[#This Row],[Comisión 10%]]</f>
        <v>12.521875</v>
      </c>
      <c r="U1125" s="53">
        <f>STOCK[[#This Row],[Costo total]]*1.5</f>
        <v>18.7828125</v>
      </c>
      <c r="V1125" s="53">
        <v>17</v>
      </c>
      <c r="W1125" s="53">
        <f>STOCK[[#This Row],[Precio Final]]-STOCK[[#This Row],[Costo total]]</f>
        <v>4.478125</v>
      </c>
      <c r="X1125" s="53">
        <f>STOCK[[#This Row],[Ganancia Unitaria]]*STOCK[[#This Row],[Salidas]]</f>
        <v>4.478125</v>
      </c>
      <c r="Y1125" s="53" t="s">
        <v>2376</v>
      </c>
      <c r="AA1125" s="54">
        <f>STOCK[[#This Row],[Costo total]]*STOCK[[#This Row],[Entradas]]</f>
        <v>12.521875</v>
      </c>
      <c r="AB1125" s="54">
        <f>STOCK[[#This Row],[Stock Actual]]*STOCK[[#This Row],[Costo total]]</f>
        <v>0</v>
      </c>
    </row>
    <row r="1126" s="54" customFormat="1" ht="50" customHeight="1" spans="1:28">
      <c r="A1126" s="54" t="s">
        <v>2377</v>
      </c>
      <c r="B1126" s="66"/>
      <c r="C1126" s="54" t="s">
        <v>32</v>
      </c>
      <c r="D1126" s="54" t="s">
        <v>2378</v>
      </c>
      <c r="E1126" s="68" t="s">
        <v>2379</v>
      </c>
      <c r="F1126" s="54" t="s">
        <v>42</v>
      </c>
      <c r="G1126" s="54" t="s">
        <v>1876</v>
      </c>
      <c r="H1126" s="54">
        <f>STOCK[[#This Row],[Precio Final]]</f>
        <v>35</v>
      </c>
      <c r="I1126" s="54">
        <f>STOCK[[#This Row],[Precio Venta Ideal (x1.5)]]</f>
        <v>42.1640625</v>
      </c>
      <c r="J1126" s="72">
        <v>1</v>
      </c>
      <c r="K1126" s="72">
        <f>SUMIFS(VENTAS[Cantidad],VENTAS[Código del producto Vendido],STOCK[[#This Row],[Code]])</f>
        <v>1</v>
      </c>
      <c r="L1126" s="72">
        <f>STOCK[[#This Row],[Entradas]]-STOCK[[#This Row],[Salidas]]</f>
        <v>0</v>
      </c>
      <c r="M1126" s="54">
        <f>STOCK[[#This Row],[Precio Final]]*10%</f>
        <v>3.5</v>
      </c>
      <c r="N1126" s="54">
        <v>371.19</v>
      </c>
      <c r="O1126" s="54">
        <v>16</v>
      </c>
      <c r="P1126" s="54">
        <v>23.199375</v>
      </c>
      <c r="Q1126" s="72">
        <v>0</v>
      </c>
      <c r="R1126" s="54">
        <v>0</v>
      </c>
      <c r="S1126" s="54">
        <v>1.41</v>
      </c>
      <c r="T1126" s="53">
        <f>STOCK[[#This Row],[Costo Unitario (USD)]]+STOCK[[#This Row],[Costo Envío (USD)]]+STOCK[[#This Row],[Comisión 10%]]</f>
        <v>28.109375</v>
      </c>
      <c r="U1126" s="54">
        <f>STOCK[[#This Row],[Costo total]]*1.5</f>
        <v>42.1640625</v>
      </c>
      <c r="V1126" s="54">
        <v>35</v>
      </c>
      <c r="W1126" s="54">
        <f>STOCK[[#This Row],[Precio Final]]-STOCK[[#This Row],[Costo total]]</f>
        <v>6.890625</v>
      </c>
      <c r="X1126" s="54">
        <f>STOCK[[#This Row],[Ganancia Unitaria]]*STOCK[[#This Row],[Salidas]]</f>
        <v>6.890625</v>
      </c>
      <c r="Y1126" s="54" t="s">
        <v>2380</v>
      </c>
      <c r="AA1126" s="54">
        <f>STOCK[[#This Row],[Costo total]]*STOCK[[#This Row],[Entradas]]</f>
        <v>28.109375</v>
      </c>
      <c r="AB1126" s="54">
        <f>STOCK[[#This Row],[Stock Actual]]*STOCK[[#This Row],[Costo total]]</f>
        <v>0</v>
      </c>
    </row>
    <row r="1127" s="53" customFormat="1" ht="50" customHeight="1" spans="1:28">
      <c r="A1127" s="53" t="s">
        <v>2381</v>
      </c>
      <c r="B1127" s="66"/>
      <c r="C1127" s="53" t="s">
        <v>32</v>
      </c>
      <c r="D1127" s="53" t="s">
        <v>2118</v>
      </c>
      <c r="E1127" s="67" t="s">
        <v>2379</v>
      </c>
      <c r="F1127" s="53" t="s">
        <v>49</v>
      </c>
      <c r="G1127" s="53" t="s">
        <v>1876</v>
      </c>
      <c r="H1127" s="53">
        <f>STOCK[[#This Row],[Precio Final]]</f>
        <v>35</v>
      </c>
      <c r="I1127" s="53">
        <f>STOCK[[#This Row],[Precio Venta Ideal (x1.5)]]</f>
        <v>42.1640625</v>
      </c>
      <c r="J1127" s="71">
        <v>1</v>
      </c>
      <c r="K1127" s="71">
        <f>SUMIFS(VENTAS[Cantidad],VENTAS[Código del producto Vendido],STOCK[[#This Row],[Code]])</f>
        <v>1</v>
      </c>
      <c r="L1127" s="71">
        <f>STOCK[[#This Row],[Entradas]]-STOCK[[#This Row],[Salidas]]</f>
        <v>0</v>
      </c>
      <c r="M1127" s="53">
        <f>STOCK[[#This Row],[Precio Final]]*10%</f>
        <v>3.5</v>
      </c>
      <c r="N1127" s="53">
        <v>371.19</v>
      </c>
      <c r="O1127" s="53">
        <v>16</v>
      </c>
      <c r="P1127" s="53">
        <v>23.199375</v>
      </c>
      <c r="Q1127" s="71">
        <v>0</v>
      </c>
      <c r="R1127" s="53">
        <v>0</v>
      </c>
      <c r="S1127" s="53">
        <v>1.41</v>
      </c>
      <c r="T1127" s="53">
        <f>STOCK[[#This Row],[Costo Unitario (USD)]]+STOCK[[#This Row],[Costo Envío (USD)]]+STOCK[[#This Row],[Comisión 10%]]</f>
        <v>28.109375</v>
      </c>
      <c r="U1127" s="53">
        <f>STOCK[[#This Row],[Costo total]]*1.5</f>
        <v>42.1640625</v>
      </c>
      <c r="V1127" s="53">
        <v>35</v>
      </c>
      <c r="W1127" s="53">
        <f>STOCK[[#This Row],[Precio Final]]-STOCK[[#This Row],[Costo total]]</f>
        <v>6.890625</v>
      </c>
      <c r="X1127" s="53">
        <f>STOCK[[#This Row],[Ganancia Unitaria]]*STOCK[[#This Row],[Salidas]]</f>
        <v>6.890625</v>
      </c>
      <c r="Y1127" s="53" t="s">
        <v>2382</v>
      </c>
      <c r="AA1127" s="54">
        <f>STOCK[[#This Row],[Costo total]]*STOCK[[#This Row],[Entradas]]</f>
        <v>28.109375</v>
      </c>
      <c r="AB1127" s="54">
        <f>STOCK[[#This Row],[Stock Actual]]*STOCK[[#This Row],[Costo total]]</f>
        <v>0</v>
      </c>
    </row>
    <row r="1128" s="54" customFormat="1" ht="50" customHeight="1" spans="1:28">
      <c r="A1128" s="54" t="s">
        <v>2383</v>
      </c>
      <c r="B1128" s="66"/>
      <c r="C1128" s="54" t="s">
        <v>32</v>
      </c>
      <c r="D1128" s="54" t="s">
        <v>2118</v>
      </c>
      <c r="E1128" s="68" t="s">
        <v>2379</v>
      </c>
      <c r="F1128" s="54" t="s">
        <v>62</v>
      </c>
      <c r="G1128" s="54" t="s">
        <v>1876</v>
      </c>
      <c r="H1128" s="54">
        <f>STOCK[[#This Row],[Precio Final]]</f>
        <v>35</v>
      </c>
      <c r="I1128" s="54">
        <f>STOCK[[#This Row],[Precio Venta Ideal (x1.5)]]</f>
        <v>42.1640625</v>
      </c>
      <c r="J1128" s="72">
        <v>1</v>
      </c>
      <c r="K1128" s="72">
        <f>SUMIFS(VENTAS[Cantidad],VENTAS[Código del producto Vendido],STOCK[[#This Row],[Code]])</f>
        <v>1</v>
      </c>
      <c r="L1128" s="72">
        <f>STOCK[[#This Row],[Entradas]]-STOCK[[#This Row],[Salidas]]</f>
        <v>0</v>
      </c>
      <c r="M1128" s="54">
        <f>STOCK[[#This Row],[Precio Final]]*10%</f>
        <v>3.5</v>
      </c>
      <c r="N1128" s="54">
        <v>371.19</v>
      </c>
      <c r="O1128" s="54">
        <v>16</v>
      </c>
      <c r="P1128" s="54">
        <v>23.199375</v>
      </c>
      <c r="Q1128" s="72">
        <v>0</v>
      </c>
      <c r="R1128" s="54">
        <v>0</v>
      </c>
      <c r="S1128" s="54">
        <v>1.41</v>
      </c>
      <c r="T1128" s="53">
        <f>STOCK[[#This Row],[Costo Unitario (USD)]]+STOCK[[#This Row],[Costo Envío (USD)]]+STOCK[[#This Row],[Comisión 10%]]</f>
        <v>28.109375</v>
      </c>
      <c r="U1128" s="54">
        <f>STOCK[[#This Row],[Costo total]]*1.5</f>
        <v>42.1640625</v>
      </c>
      <c r="V1128" s="54">
        <v>35</v>
      </c>
      <c r="W1128" s="54">
        <f>STOCK[[#This Row],[Precio Final]]-STOCK[[#This Row],[Costo total]]</f>
        <v>6.890625</v>
      </c>
      <c r="X1128" s="54">
        <f>STOCK[[#This Row],[Ganancia Unitaria]]*STOCK[[#This Row],[Salidas]]</f>
        <v>6.890625</v>
      </c>
      <c r="Y1128" s="54" t="s">
        <v>2384</v>
      </c>
      <c r="AA1128" s="54">
        <f>STOCK[[#This Row],[Costo total]]*STOCK[[#This Row],[Entradas]]</f>
        <v>28.109375</v>
      </c>
      <c r="AB1128" s="54">
        <f>STOCK[[#This Row],[Stock Actual]]*STOCK[[#This Row],[Costo total]]</f>
        <v>0</v>
      </c>
    </row>
    <row r="1129" s="53" customFormat="1" ht="50" customHeight="1" spans="1:28">
      <c r="A1129" s="53" t="s">
        <v>2385</v>
      </c>
      <c r="B1129" s="66"/>
      <c r="C1129" s="53" t="s">
        <v>32</v>
      </c>
      <c r="D1129" s="53" t="s">
        <v>1808</v>
      </c>
      <c r="E1129" s="67" t="s">
        <v>2386</v>
      </c>
      <c r="F1129" s="53" t="s">
        <v>525</v>
      </c>
      <c r="G1129" s="53" t="s">
        <v>1876</v>
      </c>
      <c r="H1129" s="53">
        <f>STOCK[[#This Row],[Precio Final]]</f>
        <v>10</v>
      </c>
      <c r="I1129" s="53">
        <f>STOCK[[#This Row],[Precio Venta Ideal (x1.5)]]</f>
        <v>8.59125</v>
      </c>
      <c r="J1129" s="71">
        <v>3</v>
      </c>
      <c r="K1129" s="71">
        <f>SUMIFS(VENTAS[Cantidad],VENTAS[Código del producto Vendido],STOCK[[#This Row],[Code]])</f>
        <v>1</v>
      </c>
      <c r="L1129" s="71">
        <f>STOCK[[#This Row],[Entradas]]-STOCK[[#This Row],[Salidas]]</f>
        <v>2</v>
      </c>
      <c r="M1129" s="53">
        <f>STOCK[[#This Row],[Precio Final]]*10%</f>
        <v>1</v>
      </c>
      <c r="N1129" s="53">
        <v>53.08</v>
      </c>
      <c r="O1129" s="53">
        <v>16</v>
      </c>
      <c r="P1129" s="53">
        <v>3.3175</v>
      </c>
      <c r="Q1129" s="71">
        <v>0</v>
      </c>
      <c r="R1129" s="53">
        <v>0</v>
      </c>
      <c r="S1129" s="53">
        <v>1.41</v>
      </c>
      <c r="T1129" s="53">
        <f>STOCK[[#This Row],[Costo Unitario (USD)]]+STOCK[[#This Row],[Costo Envío (USD)]]+STOCK[[#This Row],[Comisión 10%]]</f>
        <v>5.7275</v>
      </c>
      <c r="U1129" s="53">
        <f>STOCK[[#This Row],[Costo total]]*1.5</f>
        <v>8.59125</v>
      </c>
      <c r="V1129" s="53">
        <v>10</v>
      </c>
      <c r="W1129" s="53">
        <f>STOCK[[#This Row],[Precio Final]]-STOCK[[#This Row],[Costo total]]</f>
        <v>4.2725</v>
      </c>
      <c r="X1129" s="53">
        <f>STOCK[[#This Row],[Ganancia Unitaria]]*STOCK[[#This Row],[Salidas]]</f>
        <v>4.2725</v>
      </c>
      <c r="Y1129" s="53" t="s">
        <v>2387</v>
      </c>
      <c r="AA1129" s="54">
        <f>STOCK[[#This Row],[Costo total]]*STOCK[[#This Row],[Entradas]]</f>
        <v>17.1825</v>
      </c>
      <c r="AB1129" s="54">
        <f>STOCK[[#This Row],[Stock Actual]]*STOCK[[#This Row],[Costo total]]</f>
        <v>11.455</v>
      </c>
    </row>
    <row r="1130" s="54" customFormat="1" ht="50" customHeight="1" spans="1:28">
      <c r="A1130" s="54" t="s">
        <v>2388</v>
      </c>
      <c r="B1130" s="66"/>
      <c r="C1130" s="54" t="s">
        <v>32</v>
      </c>
      <c r="D1130" s="54" t="s">
        <v>515</v>
      </c>
      <c r="E1130" s="68" t="s">
        <v>2389</v>
      </c>
      <c r="F1130" s="54" t="s">
        <v>540</v>
      </c>
      <c r="G1130" s="54" t="s">
        <v>1296</v>
      </c>
      <c r="H1130" s="54">
        <f>STOCK[[#This Row],[Precio Final]]</f>
        <v>30</v>
      </c>
      <c r="I1130" s="54">
        <f>STOCK[[#This Row],[Precio Venta Ideal (x1.5)]]</f>
        <v>23.25</v>
      </c>
      <c r="J1130" s="72">
        <v>1</v>
      </c>
      <c r="K1130" s="72">
        <f>SUMIFS(VENTAS[Cantidad],VENTAS[Código del producto Vendido],STOCK[[#This Row],[Code]])</f>
        <v>1</v>
      </c>
      <c r="L1130" s="72">
        <f>STOCK[[#This Row],[Entradas]]-STOCK[[#This Row],[Salidas]]</f>
        <v>0</v>
      </c>
      <c r="M1130" s="54">
        <f>STOCK[[#This Row],[Precio Final]]*10%</f>
        <v>3</v>
      </c>
      <c r="N1130" s="54">
        <v>200</v>
      </c>
      <c r="O1130" s="54">
        <v>16</v>
      </c>
      <c r="P1130" s="54">
        <v>12.5</v>
      </c>
      <c r="Q1130" s="72"/>
      <c r="S1130" s="54">
        <v>0</v>
      </c>
      <c r="T1130" s="53">
        <f>STOCK[[#This Row],[Costo Unitario (USD)]]+STOCK[[#This Row],[Costo Envío (USD)]]+STOCK[[#This Row],[Comisión 10%]]</f>
        <v>15.5</v>
      </c>
      <c r="U1130" s="54">
        <f>STOCK[[#This Row],[Costo total]]*1.5</f>
        <v>23.25</v>
      </c>
      <c r="V1130" s="54">
        <v>30</v>
      </c>
      <c r="W1130" s="54">
        <f>STOCK[[#This Row],[Precio Final]]-STOCK[[#This Row],[Costo total]]</f>
        <v>14.5</v>
      </c>
      <c r="X1130" s="54">
        <f>STOCK[[#This Row],[Ganancia Unitaria]]*STOCK[[#This Row],[Salidas]]</f>
        <v>14.5</v>
      </c>
      <c r="AA1130" s="54">
        <f>STOCK[[#This Row],[Costo total]]*STOCK[[#This Row],[Entradas]]</f>
        <v>15.5</v>
      </c>
      <c r="AB1130" s="54">
        <f>STOCK[[#This Row],[Stock Actual]]*STOCK[[#This Row],[Costo total]]</f>
        <v>0</v>
      </c>
    </row>
    <row r="1131" s="53" customFormat="1" ht="50" customHeight="1" spans="1:28">
      <c r="A1131" s="53" t="s">
        <v>2390</v>
      </c>
      <c r="B1131" s="76"/>
      <c r="C1131" s="53" t="s">
        <v>32</v>
      </c>
      <c r="D1131" s="53" t="s">
        <v>174</v>
      </c>
      <c r="E1131" s="67" t="s">
        <v>1171</v>
      </c>
      <c r="F1131" s="53" t="s">
        <v>211</v>
      </c>
      <c r="G1131" s="53" t="s">
        <v>36</v>
      </c>
      <c r="H1131" s="53">
        <f>STOCK[[#This Row],[Precio Final]]</f>
        <v>13</v>
      </c>
      <c r="I1131" s="53">
        <f>STOCK[[#This Row],[Precio Venta Ideal (x1.5)]]</f>
        <v>14.865</v>
      </c>
      <c r="J1131" s="71">
        <v>2</v>
      </c>
      <c r="K1131" s="71">
        <f>SUMIFS(VENTAS[Cantidad],VENTAS[Código del producto Vendido],STOCK[[#This Row],[Code]])</f>
        <v>2</v>
      </c>
      <c r="L1131" s="71">
        <f>STOCK[[#This Row],[Entradas]]-STOCK[[#This Row],[Salidas]]</f>
        <v>0</v>
      </c>
      <c r="M1131" s="53">
        <f>STOCK[[#This Row],[Precio Final]]*10%</f>
        <v>1.3</v>
      </c>
      <c r="N1131" s="53">
        <v>4.72</v>
      </c>
      <c r="O1131" s="53">
        <v>0</v>
      </c>
      <c r="P1131" s="53">
        <v>7.61</v>
      </c>
      <c r="Q1131" s="71">
        <v>0</v>
      </c>
      <c r="R1131" s="53">
        <v>0</v>
      </c>
      <c r="S1131" s="53">
        <v>1</v>
      </c>
      <c r="T1131" s="53">
        <f>STOCK[[#This Row],[Costo Unitario (USD)]]+STOCK[[#This Row],[Costo Envío (USD)]]+STOCK[[#This Row],[Comisión 10%]]</f>
        <v>9.91</v>
      </c>
      <c r="U1131" s="53">
        <f>STOCK[[#This Row],[Costo total]]*1.5</f>
        <v>14.865</v>
      </c>
      <c r="V1131" s="53">
        <v>13</v>
      </c>
      <c r="W1131" s="53">
        <f>STOCK[[#This Row],[Precio Final]]-STOCK[[#This Row],[Costo total]]</f>
        <v>3.09</v>
      </c>
      <c r="X1131" s="53">
        <f>STOCK[[#This Row],[Ganancia Unitaria]]*STOCK[[#This Row],[Salidas]]</f>
        <v>6.18</v>
      </c>
      <c r="Y1131" s="53" t="s">
        <v>1159</v>
      </c>
      <c r="AA1131" s="54">
        <f>STOCK[[#This Row],[Costo total]]*STOCK[[#This Row],[Entradas]]</f>
        <v>19.82</v>
      </c>
      <c r="AB1131" s="54">
        <f>STOCK[[#This Row],[Stock Actual]]*STOCK[[#This Row],[Costo total]]</f>
        <v>0</v>
      </c>
    </row>
    <row r="1132" s="54" customFormat="1" ht="50" customHeight="1" spans="1:28">
      <c r="A1132" s="54" t="s">
        <v>2391</v>
      </c>
      <c r="B1132" s="66"/>
      <c r="C1132" s="54" t="s">
        <v>32</v>
      </c>
      <c r="D1132" s="54" t="s">
        <v>174</v>
      </c>
      <c r="E1132" s="68" t="s">
        <v>1500</v>
      </c>
      <c r="F1132" s="54" t="s">
        <v>88</v>
      </c>
      <c r="G1132" s="54" t="s">
        <v>36</v>
      </c>
      <c r="H1132" s="54">
        <f>STOCK[[#This Row],[Precio Final]]</f>
        <v>13</v>
      </c>
      <c r="I1132" s="54">
        <f>STOCK[[#This Row],[Precio Venta Ideal (x1.5)]]</f>
        <v>13.365</v>
      </c>
      <c r="J1132" s="72">
        <v>2</v>
      </c>
      <c r="K1132" s="72">
        <f>SUMIFS(VENTAS[Cantidad],VENTAS[Código del producto Vendido],STOCK[[#This Row],[Code]])</f>
        <v>2</v>
      </c>
      <c r="L1132" s="72">
        <f>STOCK[[#This Row],[Entradas]]-STOCK[[#This Row],[Salidas]]</f>
        <v>0</v>
      </c>
      <c r="M1132" s="54">
        <f>STOCK[[#This Row],[Precio Final]]*10%</f>
        <v>1.3</v>
      </c>
      <c r="N1132" s="54">
        <v>4.72</v>
      </c>
      <c r="O1132" s="54">
        <v>0</v>
      </c>
      <c r="P1132" s="54">
        <v>7.61</v>
      </c>
      <c r="Q1132" s="72">
        <v>0</v>
      </c>
      <c r="R1132" s="54">
        <v>0</v>
      </c>
      <c r="S1132" s="54">
        <v>0</v>
      </c>
      <c r="T1132" s="53">
        <f>STOCK[[#This Row],[Costo Unitario (USD)]]+STOCK[[#This Row],[Costo Envío (USD)]]+STOCK[[#This Row],[Comisión 10%]]</f>
        <v>8.91</v>
      </c>
      <c r="U1132" s="54">
        <f>STOCK[[#This Row],[Costo total]]*1.5</f>
        <v>13.365</v>
      </c>
      <c r="V1132" s="54">
        <v>13</v>
      </c>
      <c r="W1132" s="54">
        <f>STOCK[[#This Row],[Precio Final]]-STOCK[[#This Row],[Costo total]]</f>
        <v>4.09</v>
      </c>
      <c r="X1132" s="54">
        <f>STOCK[[#This Row],[Ganancia Unitaria]]*STOCK[[#This Row],[Salidas]]</f>
        <v>8.18</v>
      </c>
      <c r="AA1132" s="54">
        <f>STOCK[[#This Row],[Costo total]]*STOCK[[#This Row],[Entradas]]</f>
        <v>17.82</v>
      </c>
      <c r="AB1132" s="54">
        <f>STOCK[[#This Row],[Stock Actual]]*STOCK[[#This Row],[Costo total]]</f>
        <v>0</v>
      </c>
    </row>
    <row r="1133" s="53" customFormat="1" ht="50" customHeight="1" spans="1:28">
      <c r="A1133" s="53" t="s">
        <v>2392</v>
      </c>
      <c r="B1133" s="66"/>
      <c r="C1133" s="53" t="s">
        <v>32</v>
      </c>
      <c r="D1133" s="53" t="s">
        <v>2393</v>
      </c>
      <c r="E1133" s="67" t="s">
        <v>2394</v>
      </c>
      <c r="F1133" s="53" t="s">
        <v>517</v>
      </c>
      <c r="G1133" s="53" t="s">
        <v>2395</v>
      </c>
      <c r="H1133" s="53">
        <f>STOCK[[#This Row],[Precio Final]]</f>
        <v>35</v>
      </c>
      <c r="I1133" s="53">
        <f>STOCK[[#This Row],[Precio Venta Ideal (x1.5)]]</f>
        <v>31.1280317273796</v>
      </c>
      <c r="J1133" s="71">
        <v>1</v>
      </c>
      <c r="K1133" s="71">
        <f>SUMIFS(VENTAS[Cantidad],VENTAS[Código del producto Vendido],STOCK[[#This Row],[Code]])</f>
        <v>1</v>
      </c>
      <c r="L1133" s="71">
        <f>STOCK[[#This Row],[Entradas]]-STOCK[[#This Row],[Salidas]]</f>
        <v>0</v>
      </c>
      <c r="M1133" s="53">
        <f>STOCK[[#This Row],[Precio Final]]*10%</f>
        <v>3.5</v>
      </c>
      <c r="N1133" s="53">
        <v>260.1</v>
      </c>
      <c r="O1133" s="53">
        <v>17.02</v>
      </c>
      <c r="P1133" s="53">
        <v>15.2820211515864</v>
      </c>
      <c r="Q1133" s="71">
        <v>0</v>
      </c>
      <c r="R1133" s="53">
        <v>0</v>
      </c>
      <c r="S1133" s="53">
        <v>1.97</v>
      </c>
      <c r="T1133" s="53">
        <f>STOCK[[#This Row],[Costo Unitario (USD)]]+STOCK[[#This Row],[Costo Envío (USD)]]+STOCK[[#This Row],[Comisión 10%]]</f>
        <v>20.7520211515864</v>
      </c>
      <c r="U1133" s="53">
        <f>STOCK[[#This Row],[Costo total]]*1.5</f>
        <v>31.1280317273796</v>
      </c>
      <c r="V1133" s="53">
        <v>35</v>
      </c>
      <c r="W1133" s="53">
        <f>STOCK[[#This Row],[Precio Final]]-STOCK[[#This Row],[Costo total]]</f>
        <v>14.2479788484136</v>
      </c>
      <c r="X1133" s="53">
        <f>STOCK[[#This Row],[Ganancia Unitaria]]*STOCK[[#This Row],[Salidas]]</f>
        <v>14.2479788484136</v>
      </c>
      <c r="Y1133" s="53" t="s">
        <v>2396</v>
      </c>
      <c r="AA1133" s="54">
        <f>STOCK[[#This Row],[Costo total]]*STOCK[[#This Row],[Entradas]]</f>
        <v>20.7520211515864</v>
      </c>
      <c r="AB1133" s="54">
        <f>STOCK[[#This Row],[Stock Actual]]*STOCK[[#This Row],[Costo total]]</f>
        <v>0</v>
      </c>
    </row>
    <row r="1134" s="54" customFormat="1" ht="50" customHeight="1" spans="1:28">
      <c r="A1134" s="54" t="s">
        <v>2397</v>
      </c>
      <c r="B1134" s="66"/>
      <c r="C1134" s="54" t="s">
        <v>32</v>
      </c>
      <c r="D1134" s="53" t="s">
        <v>2393</v>
      </c>
      <c r="E1134" s="68" t="s">
        <v>2398</v>
      </c>
      <c r="F1134" s="54" t="s">
        <v>766</v>
      </c>
      <c r="G1134" s="54" t="s">
        <v>2395</v>
      </c>
      <c r="H1134" s="54">
        <f>STOCK[[#This Row],[Precio Final]]</f>
        <v>35</v>
      </c>
      <c r="I1134" s="54">
        <f>STOCK[[#This Row],[Precio Venta Ideal (x1.5)]]</f>
        <v>31.1280317273796</v>
      </c>
      <c r="J1134" s="72">
        <v>1</v>
      </c>
      <c r="K1134" s="72">
        <f>SUMIFS(VENTAS[Cantidad],VENTAS[Código del producto Vendido],STOCK[[#This Row],[Code]])</f>
        <v>1</v>
      </c>
      <c r="L1134" s="72">
        <f>STOCK[[#This Row],[Entradas]]-STOCK[[#This Row],[Salidas]]</f>
        <v>0</v>
      </c>
      <c r="M1134" s="54">
        <f>STOCK[[#This Row],[Precio Final]]*10%</f>
        <v>3.5</v>
      </c>
      <c r="N1134" s="54">
        <v>260.1</v>
      </c>
      <c r="O1134" s="54">
        <v>17.02</v>
      </c>
      <c r="P1134" s="54">
        <v>15.2820211515864</v>
      </c>
      <c r="Q1134" s="72">
        <v>0</v>
      </c>
      <c r="R1134" s="54">
        <v>0</v>
      </c>
      <c r="S1134" s="54">
        <v>1.97</v>
      </c>
      <c r="T1134" s="53">
        <f>STOCK[[#This Row],[Costo Unitario (USD)]]+STOCK[[#This Row],[Costo Envío (USD)]]+STOCK[[#This Row],[Comisión 10%]]</f>
        <v>20.7520211515864</v>
      </c>
      <c r="U1134" s="54">
        <f>STOCK[[#This Row],[Costo total]]*1.5</f>
        <v>31.1280317273796</v>
      </c>
      <c r="V1134" s="54">
        <v>35</v>
      </c>
      <c r="W1134" s="54">
        <f>STOCK[[#This Row],[Precio Final]]-STOCK[[#This Row],[Costo total]]</f>
        <v>14.2479788484136</v>
      </c>
      <c r="X1134" s="54">
        <f>STOCK[[#This Row],[Ganancia Unitaria]]*STOCK[[#This Row],[Salidas]]</f>
        <v>14.2479788484136</v>
      </c>
      <c r="Y1134" s="54" t="s">
        <v>2399</v>
      </c>
      <c r="AA1134" s="54">
        <f>STOCK[[#This Row],[Costo total]]*STOCK[[#This Row],[Entradas]]</f>
        <v>20.7520211515864</v>
      </c>
      <c r="AB1134" s="54">
        <f>STOCK[[#This Row],[Stock Actual]]*STOCK[[#This Row],[Costo total]]</f>
        <v>0</v>
      </c>
    </row>
    <row r="1135" s="53" customFormat="1" ht="50" customHeight="1" spans="1:28">
      <c r="A1135" s="53" t="s">
        <v>2400</v>
      </c>
      <c r="B1135" s="66"/>
      <c r="C1135" s="53" t="s">
        <v>32</v>
      </c>
      <c r="D1135" s="53" t="s">
        <v>2393</v>
      </c>
      <c r="E1135" s="67" t="s">
        <v>2398</v>
      </c>
      <c r="F1135" s="53" t="s">
        <v>540</v>
      </c>
      <c r="G1135" s="53" t="s">
        <v>2395</v>
      </c>
      <c r="H1135" s="53">
        <f>STOCK[[#This Row],[Precio Final]]</f>
        <v>35</v>
      </c>
      <c r="I1135" s="53">
        <f>STOCK[[#This Row],[Precio Venta Ideal (x1.5)]]</f>
        <v>31.1280317273796</v>
      </c>
      <c r="J1135" s="71">
        <v>1</v>
      </c>
      <c r="K1135" s="71">
        <f>SUMIFS(VENTAS[Cantidad],VENTAS[Código del producto Vendido],STOCK[[#This Row],[Code]])</f>
        <v>1</v>
      </c>
      <c r="L1135" s="71">
        <f>STOCK[[#This Row],[Entradas]]-STOCK[[#This Row],[Salidas]]</f>
        <v>0</v>
      </c>
      <c r="M1135" s="53">
        <f>STOCK[[#This Row],[Precio Final]]*10%</f>
        <v>3.5</v>
      </c>
      <c r="N1135" s="53">
        <v>260.1</v>
      </c>
      <c r="O1135" s="53">
        <v>17.02</v>
      </c>
      <c r="P1135" s="53">
        <v>15.2820211515864</v>
      </c>
      <c r="Q1135" s="71">
        <v>0</v>
      </c>
      <c r="R1135" s="53">
        <v>0</v>
      </c>
      <c r="S1135" s="53">
        <v>1.97</v>
      </c>
      <c r="T1135" s="53">
        <f>STOCK[[#This Row],[Costo Unitario (USD)]]+STOCK[[#This Row],[Costo Envío (USD)]]+STOCK[[#This Row],[Comisión 10%]]</f>
        <v>20.7520211515864</v>
      </c>
      <c r="U1135" s="53">
        <f>STOCK[[#This Row],[Costo total]]*1.5</f>
        <v>31.1280317273796</v>
      </c>
      <c r="V1135" s="53">
        <v>35</v>
      </c>
      <c r="W1135" s="53">
        <f>STOCK[[#This Row],[Precio Final]]-STOCK[[#This Row],[Costo total]]</f>
        <v>14.2479788484136</v>
      </c>
      <c r="X1135" s="53">
        <f>STOCK[[#This Row],[Ganancia Unitaria]]*STOCK[[#This Row],[Salidas]]</f>
        <v>14.2479788484136</v>
      </c>
      <c r="Y1135" s="53" t="s">
        <v>2401</v>
      </c>
      <c r="AA1135" s="54">
        <f>STOCK[[#This Row],[Costo total]]*STOCK[[#This Row],[Entradas]]</f>
        <v>20.7520211515864</v>
      </c>
      <c r="AB1135" s="54">
        <f>STOCK[[#This Row],[Stock Actual]]*STOCK[[#This Row],[Costo total]]</f>
        <v>0</v>
      </c>
    </row>
    <row r="1136" s="54" customFormat="1" ht="50" customHeight="1" spans="1:28">
      <c r="A1136" s="54" t="s">
        <v>2402</v>
      </c>
      <c r="B1136" s="66"/>
      <c r="C1136" s="54" t="s">
        <v>32</v>
      </c>
      <c r="D1136" s="53" t="s">
        <v>2393</v>
      </c>
      <c r="E1136" s="68" t="s">
        <v>2398</v>
      </c>
      <c r="F1136" s="54" t="s">
        <v>764</v>
      </c>
      <c r="G1136" s="54" t="s">
        <v>2395</v>
      </c>
      <c r="H1136" s="54">
        <f>STOCK[[#This Row],[Precio Final]]</f>
        <v>35</v>
      </c>
      <c r="I1136" s="54">
        <f>STOCK[[#This Row],[Precio Venta Ideal (x1.5)]]</f>
        <v>31.1280317273796</v>
      </c>
      <c r="J1136" s="72">
        <v>1</v>
      </c>
      <c r="K1136" s="72">
        <f>SUMIFS(VENTAS[Cantidad],VENTAS[Código del producto Vendido],STOCK[[#This Row],[Code]])</f>
        <v>1</v>
      </c>
      <c r="L1136" s="72">
        <f>STOCK[[#This Row],[Entradas]]-STOCK[[#This Row],[Salidas]]</f>
        <v>0</v>
      </c>
      <c r="M1136" s="54">
        <f>STOCK[[#This Row],[Precio Final]]*10%</f>
        <v>3.5</v>
      </c>
      <c r="N1136" s="54">
        <v>260.1</v>
      </c>
      <c r="O1136" s="54">
        <v>17.02</v>
      </c>
      <c r="P1136" s="54">
        <v>15.2820211515864</v>
      </c>
      <c r="Q1136" s="72">
        <v>0</v>
      </c>
      <c r="R1136" s="54">
        <v>0</v>
      </c>
      <c r="S1136" s="54">
        <v>1.97</v>
      </c>
      <c r="T1136" s="53">
        <f>STOCK[[#This Row],[Costo Unitario (USD)]]+STOCK[[#This Row],[Costo Envío (USD)]]+STOCK[[#This Row],[Comisión 10%]]</f>
        <v>20.7520211515864</v>
      </c>
      <c r="U1136" s="54">
        <f>STOCK[[#This Row],[Costo total]]*1.5</f>
        <v>31.1280317273796</v>
      </c>
      <c r="V1136" s="54">
        <v>35</v>
      </c>
      <c r="W1136" s="54">
        <f>STOCK[[#This Row],[Precio Final]]-STOCK[[#This Row],[Costo total]]</f>
        <v>14.2479788484136</v>
      </c>
      <c r="X1136" s="54">
        <f>STOCK[[#This Row],[Ganancia Unitaria]]*STOCK[[#This Row],[Salidas]]</f>
        <v>14.2479788484136</v>
      </c>
      <c r="Y1136" s="54" t="s">
        <v>2403</v>
      </c>
      <c r="AA1136" s="54">
        <f>STOCK[[#This Row],[Costo total]]*STOCK[[#This Row],[Entradas]]</f>
        <v>20.7520211515864</v>
      </c>
      <c r="AB1136" s="54">
        <f>STOCK[[#This Row],[Stock Actual]]*STOCK[[#This Row],[Costo total]]</f>
        <v>0</v>
      </c>
    </row>
    <row r="1137" s="53" customFormat="1" ht="50" customHeight="1" spans="1:28">
      <c r="A1137" s="53" t="s">
        <v>2404</v>
      </c>
      <c r="B1137" s="66"/>
      <c r="C1137" s="53" t="s">
        <v>32</v>
      </c>
      <c r="D1137" s="53" t="s">
        <v>2393</v>
      </c>
      <c r="E1137" s="67" t="s">
        <v>2398</v>
      </c>
      <c r="F1137" s="53" t="s">
        <v>759</v>
      </c>
      <c r="G1137" s="53" t="s">
        <v>2395</v>
      </c>
      <c r="H1137" s="53">
        <f>STOCK[[#This Row],[Precio Final]]</f>
        <v>35</v>
      </c>
      <c r="I1137" s="53">
        <f>STOCK[[#This Row],[Precio Venta Ideal (x1.5)]]</f>
        <v>31.1280317273796</v>
      </c>
      <c r="J1137" s="71">
        <v>1</v>
      </c>
      <c r="K1137" s="71">
        <f>SUMIFS(VENTAS[Cantidad],VENTAS[Código del producto Vendido],STOCK[[#This Row],[Code]])</f>
        <v>1</v>
      </c>
      <c r="L1137" s="71">
        <f>STOCK[[#This Row],[Entradas]]-STOCK[[#This Row],[Salidas]]</f>
        <v>0</v>
      </c>
      <c r="M1137" s="53">
        <f>STOCK[[#This Row],[Precio Final]]*10%</f>
        <v>3.5</v>
      </c>
      <c r="N1137" s="53">
        <v>260.1</v>
      </c>
      <c r="O1137" s="53">
        <v>17.02</v>
      </c>
      <c r="P1137" s="53">
        <v>15.2820211515864</v>
      </c>
      <c r="Q1137" s="71">
        <v>0</v>
      </c>
      <c r="R1137" s="53">
        <v>0</v>
      </c>
      <c r="S1137" s="53">
        <v>1.97</v>
      </c>
      <c r="T1137" s="53">
        <f>STOCK[[#This Row],[Costo Unitario (USD)]]+STOCK[[#This Row],[Costo Envío (USD)]]+STOCK[[#This Row],[Comisión 10%]]</f>
        <v>20.7520211515864</v>
      </c>
      <c r="U1137" s="53">
        <f>STOCK[[#This Row],[Costo total]]*1.5</f>
        <v>31.1280317273796</v>
      </c>
      <c r="V1137" s="53">
        <v>35</v>
      </c>
      <c r="W1137" s="53">
        <f>STOCK[[#This Row],[Precio Final]]-STOCK[[#This Row],[Costo total]]</f>
        <v>14.2479788484136</v>
      </c>
      <c r="X1137" s="53">
        <f>STOCK[[#This Row],[Ganancia Unitaria]]*STOCK[[#This Row],[Salidas]]</f>
        <v>14.2479788484136</v>
      </c>
      <c r="Y1137" s="53" t="s">
        <v>2405</v>
      </c>
      <c r="AA1137" s="54">
        <f>STOCK[[#This Row],[Costo total]]*STOCK[[#This Row],[Entradas]]</f>
        <v>20.7520211515864</v>
      </c>
      <c r="AB1137" s="54">
        <f>STOCK[[#This Row],[Stock Actual]]*STOCK[[#This Row],[Costo total]]</f>
        <v>0</v>
      </c>
    </row>
    <row r="1138" s="54" customFormat="1" ht="50" customHeight="1" spans="1:28">
      <c r="A1138" s="54" t="s">
        <v>2406</v>
      </c>
      <c r="B1138" s="66"/>
      <c r="C1138" s="54" t="s">
        <v>32</v>
      </c>
      <c r="D1138" s="53" t="s">
        <v>1388</v>
      </c>
      <c r="E1138" s="68" t="s">
        <v>2407</v>
      </c>
      <c r="F1138" s="54" t="s">
        <v>40</v>
      </c>
      <c r="G1138" s="54" t="s">
        <v>2395</v>
      </c>
      <c r="H1138" s="54">
        <f>STOCK[[#This Row],[Precio Final]]</f>
        <v>35</v>
      </c>
      <c r="I1138" s="54">
        <f>STOCK[[#This Row],[Precio Venta Ideal (x1.5)]]</f>
        <v>31.1280317273796</v>
      </c>
      <c r="J1138" s="72">
        <v>2</v>
      </c>
      <c r="K1138" s="72">
        <f>SUMIFS(VENTAS[Cantidad],VENTAS[Código del producto Vendido],STOCK[[#This Row],[Code]])</f>
        <v>2</v>
      </c>
      <c r="L1138" s="72">
        <f>STOCK[[#This Row],[Entradas]]-STOCK[[#This Row],[Salidas]]</f>
        <v>0</v>
      </c>
      <c r="M1138" s="54">
        <f>STOCK[[#This Row],[Precio Final]]*10%</f>
        <v>3.5</v>
      </c>
      <c r="N1138" s="54">
        <v>260.1</v>
      </c>
      <c r="O1138" s="54">
        <v>17.02</v>
      </c>
      <c r="P1138" s="54">
        <v>15.2820211515864</v>
      </c>
      <c r="Q1138" s="72">
        <v>0</v>
      </c>
      <c r="R1138" s="54">
        <v>0</v>
      </c>
      <c r="S1138" s="54">
        <v>1.97</v>
      </c>
      <c r="T1138" s="53">
        <f>STOCK[[#This Row],[Costo Unitario (USD)]]+STOCK[[#This Row],[Costo Envío (USD)]]+STOCK[[#This Row],[Comisión 10%]]</f>
        <v>20.7520211515864</v>
      </c>
      <c r="U1138" s="54">
        <f>STOCK[[#This Row],[Costo total]]*1.5</f>
        <v>31.1280317273796</v>
      </c>
      <c r="V1138" s="54">
        <v>35</v>
      </c>
      <c r="W1138" s="54">
        <f>STOCK[[#This Row],[Precio Final]]-STOCK[[#This Row],[Costo total]]</f>
        <v>14.2479788484136</v>
      </c>
      <c r="X1138" s="54">
        <f>STOCK[[#This Row],[Ganancia Unitaria]]*STOCK[[#This Row],[Salidas]]</f>
        <v>28.4959576968272</v>
      </c>
      <c r="Y1138" s="54" t="s">
        <v>2408</v>
      </c>
      <c r="AA1138" s="54">
        <f>STOCK[[#This Row],[Costo total]]*STOCK[[#This Row],[Entradas]]</f>
        <v>41.5040423031728</v>
      </c>
      <c r="AB1138" s="54">
        <f>STOCK[[#This Row],[Stock Actual]]*STOCK[[#This Row],[Costo total]]</f>
        <v>0</v>
      </c>
    </row>
    <row r="1139" s="53" customFormat="1" ht="50" customHeight="1" spans="1:28">
      <c r="A1139" s="53" t="s">
        <v>2409</v>
      </c>
      <c r="B1139" s="66"/>
      <c r="C1139" s="53" t="s">
        <v>32</v>
      </c>
      <c r="D1139" s="53" t="s">
        <v>1388</v>
      </c>
      <c r="E1139" s="67" t="s">
        <v>2407</v>
      </c>
      <c r="F1139" s="53" t="s">
        <v>62</v>
      </c>
      <c r="G1139" s="53" t="s">
        <v>2395</v>
      </c>
      <c r="H1139" s="53">
        <f>STOCK[[#This Row],[Precio Final]]</f>
        <v>35</v>
      </c>
      <c r="I1139" s="53">
        <f>STOCK[[#This Row],[Precio Venta Ideal (x1.5)]]</f>
        <v>31.1280317273796</v>
      </c>
      <c r="J1139" s="71">
        <v>2</v>
      </c>
      <c r="K1139" s="71">
        <f>SUMIFS(VENTAS[Cantidad],VENTAS[Código del producto Vendido],STOCK[[#This Row],[Code]])</f>
        <v>2</v>
      </c>
      <c r="L1139" s="71">
        <f>STOCK[[#This Row],[Entradas]]-STOCK[[#This Row],[Salidas]]</f>
        <v>0</v>
      </c>
      <c r="M1139" s="53">
        <f>STOCK[[#This Row],[Precio Final]]*10%</f>
        <v>3.5</v>
      </c>
      <c r="N1139" s="53">
        <v>260.1</v>
      </c>
      <c r="O1139" s="53">
        <v>17.02</v>
      </c>
      <c r="P1139" s="53">
        <v>15.2820211515864</v>
      </c>
      <c r="Q1139" s="71">
        <v>0</v>
      </c>
      <c r="R1139" s="53">
        <v>0</v>
      </c>
      <c r="S1139" s="53">
        <v>1.97</v>
      </c>
      <c r="T1139" s="53">
        <f>STOCK[[#This Row],[Costo Unitario (USD)]]+STOCK[[#This Row],[Costo Envío (USD)]]+STOCK[[#This Row],[Comisión 10%]]</f>
        <v>20.7520211515864</v>
      </c>
      <c r="U1139" s="53">
        <f>STOCK[[#This Row],[Costo total]]*1.5</f>
        <v>31.1280317273796</v>
      </c>
      <c r="V1139" s="53">
        <v>35</v>
      </c>
      <c r="W1139" s="53">
        <f>STOCK[[#This Row],[Precio Final]]-STOCK[[#This Row],[Costo total]]</f>
        <v>14.2479788484136</v>
      </c>
      <c r="X1139" s="53">
        <f>STOCK[[#This Row],[Ganancia Unitaria]]*STOCK[[#This Row],[Salidas]]</f>
        <v>28.4959576968272</v>
      </c>
      <c r="Y1139" s="53" t="s">
        <v>2410</v>
      </c>
      <c r="AA1139" s="54">
        <f>STOCK[[#This Row],[Costo total]]*STOCK[[#This Row],[Entradas]]</f>
        <v>41.5040423031728</v>
      </c>
      <c r="AB1139" s="54">
        <f>STOCK[[#This Row],[Stock Actual]]*STOCK[[#This Row],[Costo total]]</f>
        <v>0</v>
      </c>
    </row>
    <row r="1140" s="54" customFormat="1" ht="50" customHeight="1" spans="1:28">
      <c r="A1140" s="54" t="s">
        <v>2411</v>
      </c>
      <c r="B1140" s="66"/>
      <c r="C1140" s="54" t="s">
        <v>32</v>
      </c>
      <c r="D1140" s="53" t="s">
        <v>1388</v>
      </c>
      <c r="E1140" s="68" t="s">
        <v>2407</v>
      </c>
      <c r="F1140" s="54" t="s">
        <v>49</v>
      </c>
      <c r="G1140" s="54" t="s">
        <v>2395</v>
      </c>
      <c r="H1140" s="54">
        <f>STOCK[[#This Row],[Precio Final]]</f>
        <v>35</v>
      </c>
      <c r="I1140" s="54">
        <f>STOCK[[#This Row],[Precio Venta Ideal (x1.5)]]</f>
        <v>31.1280317273796</v>
      </c>
      <c r="J1140" s="72">
        <v>3</v>
      </c>
      <c r="K1140" s="72">
        <f>SUMIFS(VENTAS[Cantidad],VENTAS[Código del producto Vendido],STOCK[[#This Row],[Code]])</f>
        <v>3</v>
      </c>
      <c r="L1140" s="72">
        <f>STOCK[[#This Row],[Entradas]]-STOCK[[#This Row],[Salidas]]</f>
        <v>0</v>
      </c>
      <c r="M1140" s="54">
        <f>STOCK[[#This Row],[Precio Final]]*10%</f>
        <v>3.5</v>
      </c>
      <c r="N1140" s="54">
        <v>260.1</v>
      </c>
      <c r="O1140" s="54">
        <v>17.02</v>
      </c>
      <c r="P1140" s="54">
        <v>15.2820211515864</v>
      </c>
      <c r="Q1140" s="72">
        <v>0</v>
      </c>
      <c r="R1140" s="54">
        <v>0</v>
      </c>
      <c r="S1140" s="54">
        <v>1.97</v>
      </c>
      <c r="T1140" s="53">
        <f>STOCK[[#This Row],[Costo Unitario (USD)]]+STOCK[[#This Row],[Costo Envío (USD)]]+STOCK[[#This Row],[Comisión 10%]]</f>
        <v>20.7520211515864</v>
      </c>
      <c r="U1140" s="54">
        <f>STOCK[[#This Row],[Costo total]]*1.5</f>
        <v>31.1280317273796</v>
      </c>
      <c r="V1140" s="54">
        <v>35</v>
      </c>
      <c r="W1140" s="54">
        <f>STOCK[[#This Row],[Precio Final]]-STOCK[[#This Row],[Costo total]]</f>
        <v>14.2479788484136</v>
      </c>
      <c r="X1140" s="54">
        <f>STOCK[[#This Row],[Ganancia Unitaria]]*STOCK[[#This Row],[Salidas]]</f>
        <v>42.7439365452408</v>
      </c>
      <c r="Y1140" s="54" t="s">
        <v>2412</v>
      </c>
      <c r="AA1140" s="54">
        <f>STOCK[[#This Row],[Costo total]]*STOCK[[#This Row],[Entradas]]</f>
        <v>62.2560634547592</v>
      </c>
      <c r="AB1140" s="54">
        <f>STOCK[[#This Row],[Stock Actual]]*STOCK[[#This Row],[Costo total]]</f>
        <v>0</v>
      </c>
    </row>
    <row r="1141" s="53" customFormat="1" ht="50" customHeight="1" spans="1:28">
      <c r="A1141" s="53" t="s">
        <v>2413</v>
      </c>
      <c r="B1141" s="66"/>
      <c r="C1141" s="53" t="s">
        <v>32</v>
      </c>
      <c r="D1141" s="53" t="s">
        <v>1388</v>
      </c>
      <c r="E1141" s="67" t="s">
        <v>2407</v>
      </c>
      <c r="F1141" s="53" t="s">
        <v>46</v>
      </c>
      <c r="G1141" s="53" t="s">
        <v>2395</v>
      </c>
      <c r="H1141" s="53">
        <f>STOCK[[#This Row],[Precio Final]]</f>
        <v>35</v>
      </c>
      <c r="I1141" s="53">
        <f>STOCK[[#This Row],[Precio Venta Ideal (x1.5)]]</f>
        <v>31.1280317273796</v>
      </c>
      <c r="J1141" s="71">
        <v>1</v>
      </c>
      <c r="K1141" s="71">
        <f>SUMIFS(VENTAS[Cantidad],VENTAS[Código del producto Vendido],STOCK[[#This Row],[Code]])</f>
        <v>0</v>
      </c>
      <c r="L1141" s="71">
        <f>STOCK[[#This Row],[Entradas]]-STOCK[[#This Row],[Salidas]]</f>
        <v>1</v>
      </c>
      <c r="M1141" s="53">
        <f>STOCK[[#This Row],[Precio Final]]*10%</f>
        <v>3.5</v>
      </c>
      <c r="N1141" s="53">
        <v>260.1</v>
      </c>
      <c r="O1141" s="53">
        <v>17.02</v>
      </c>
      <c r="P1141" s="53">
        <v>15.2820211515864</v>
      </c>
      <c r="Q1141" s="71">
        <v>0</v>
      </c>
      <c r="R1141" s="53">
        <v>0</v>
      </c>
      <c r="S1141" s="53">
        <v>1.97</v>
      </c>
      <c r="T1141" s="53">
        <f>STOCK[[#This Row],[Costo Unitario (USD)]]+STOCK[[#This Row],[Costo Envío (USD)]]+STOCK[[#This Row],[Comisión 10%]]</f>
        <v>20.7520211515864</v>
      </c>
      <c r="U1141" s="53">
        <f>STOCK[[#This Row],[Costo total]]*1.5</f>
        <v>31.1280317273796</v>
      </c>
      <c r="V1141" s="53">
        <v>35</v>
      </c>
      <c r="W1141" s="53">
        <f>STOCK[[#This Row],[Precio Final]]-STOCK[[#This Row],[Costo total]]</f>
        <v>14.2479788484136</v>
      </c>
      <c r="X1141" s="53">
        <f>STOCK[[#This Row],[Ganancia Unitaria]]*STOCK[[#This Row],[Salidas]]</f>
        <v>0</v>
      </c>
      <c r="Y1141" s="53" t="s">
        <v>2414</v>
      </c>
      <c r="AA1141" s="54">
        <f>STOCK[[#This Row],[Costo total]]*STOCK[[#This Row],[Entradas]]</f>
        <v>20.7520211515864</v>
      </c>
      <c r="AB1141" s="54">
        <f>STOCK[[#This Row],[Stock Actual]]*STOCK[[#This Row],[Costo total]]</f>
        <v>20.7520211515864</v>
      </c>
    </row>
    <row r="1142" s="54" customFormat="1" ht="50" customHeight="1" spans="1:28">
      <c r="A1142" s="54" t="s">
        <v>2415</v>
      </c>
      <c r="B1142" s="66"/>
      <c r="C1142" s="54" t="s">
        <v>32</v>
      </c>
      <c r="D1142" s="54" t="s">
        <v>2416</v>
      </c>
      <c r="E1142" s="68" t="s">
        <v>2407</v>
      </c>
      <c r="F1142" s="54" t="s">
        <v>42</v>
      </c>
      <c r="G1142" s="54" t="s">
        <v>2395</v>
      </c>
      <c r="H1142" s="54">
        <f>STOCK[[#This Row],[Precio Final]]</f>
        <v>35</v>
      </c>
      <c r="I1142" s="54">
        <f>STOCK[[#This Row],[Precio Venta Ideal (x1.5)]]</f>
        <v>31.1280317273796</v>
      </c>
      <c r="J1142" s="72">
        <v>2</v>
      </c>
      <c r="K1142" s="72">
        <f>SUMIFS(VENTAS[Cantidad],VENTAS[Código del producto Vendido],STOCK[[#This Row],[Code]])</f>
        <v>1</v>
      </c>
      <c r="L1142" s="72">
        <f>STOCK[[#This Row],[Entradas]]-STOCK[[#This Row],[Salidas]]</f>
        <v>1</v>
      </c>
      <c r="M1142" s="54">
        <f>STOCK[[#This Row],[Precio Final]]*10%</f>
        <v>3.5</v>
      </c>
      <c r="N1142" s="54">
        <v>260.1</v>
      </c>
      <c r="O1142" s="54">
        <v>17.02</v>
      </c>
      <c r="P1142" s="54">
        <v>15.2820211515864</v>
      </c>
      <c r="Q1142" s="72">
        <v>0</v>
      </c>
      <c r="R1142" s="54">
        <v>0</v>
      </c>
      <c r="S1142" s="54">
        <v>1.97</v>
      </c>
      <c r="T1142" s="53">
        <f>STOCK[[#This Row],[Costo Unitario (USD)]]+STOCK[[#This Row],[Costo Envío (USD)]]+STOCK[[#This Row],[Comisión 10%]]</f>
        <v>20.7520211515864</v>
      </c>
      <c r="U1142" s="54">
        <f>STOCK[[#This Row],[Costo total]]*1.5</f>
        <v>31.1280317273796</v>
      </c>
      <c r="V1142" s="54">
        <v>35</v>
      </c>
      <c r="W1142" s="54">
        <f>STOCK[[#This Row],[Precio Final]]-STOCK[[#This Row],[Costo total]]</f>
        <v>14.2479788484136</v>
      </c>
      <c r="X1142" s="54">
        <f>STOCK[[#This Row],[Ganancia Unitaria]]*STOCK[[#This Row],[Salidas]]</f>
        <v>14.2479788484136</v>
      </c>
      <c r="Y1142" s="54" t="s">
        <v>2417</v>
      </c>
      <c r="AA1142" s="54">
        <f>STOCK[[#This Row],[Costo total]]*STOCK[[#This Row],[Entradas]]</f>
        <v>41.5040423031728</v>
      </c>
      <c r="AB1142" s="54">
        <f>STOCK[[#This Row],[Stock Actual]]*STOCK[[#This Row],[Costo total]]</f>
        <v>20.7520211515864</v>
      </c>
    </row>
    <row r="1143" s="53" customFormat="1" ht="50" customHeight="1" spans="1:28">
      <c r="A1143" s="53" t="s">
        <v>2418</v>
      </c>
      <c r="B1143" s="66"/>
      <c r="C1143" s="53" t="s">
        <v>32</v>
      </c>
      <c r="D1143" s="53" t="s">
        <v>780</v>
      </c>
      <c r="E1143" s="67" t="s">
        <v>2419</v>
      </c>
      <c r="F1143" s="53" t="s">
        <v>62</v>
      </c>
      <c r="G1143" s="53" t="s">
        <v>2395</v>
      </c>
      <c r="H1143" s="53">
        <f>STOCK[[#This Row],[Precio Final]]</f>
        <v>25</v>
      </c>
      <c r="I1143" s="53">
        <f>STOCK[[#This Row],[Precio Venta Ideal (x1.5)]]</f>
        <v>30.4212162162162</v>
      </c>
      <c r="J1143" s="71">
        <v>3</v>
      </c>
      <c r="K1143" s="71">
        <f>SUMIFS(VENTAS[Cantidad],VENTAS[Código del producto Vendido],STOCK[[#This Row],[Code]])</f>
        <v>3</v>
      </c>
      <c r="L1143" s="71">
        <f>STOCK[[#This Row],[Entradas]]-STOCK[[#This Row],[Salidas]]</f>
        <v>0</v>
      </c>
      <c r="M1143" s="53">
        <f>STOCK[[#This Row],[Precio Final]]*10%</f>
        <v>2.5</v>
      </c>
      <c r="N1143" s="53">
        <v>269.1</v>
      </c>
      <c r="O1143" s="53">
        <v>17.02</v>
      </c>
      <c r="P1143" s="53">
        <v>15.8108108108108</v>
      </c>
      <c r="Q1143" s="71">
        <v>0</v>
      </c>
      <c r="R1143" s="53">
        <v>0</v>
      </c>
      <c r="S1143" s="53">
        <v>1.97</v>
      </c>
      <c r="T1143" s="53">
        <f>STOCK[[#This Row],[Costo Unitario (USD)]]+STOCK[[#This Row],[Costo Envío (USD)]]+STOCK[[#This Row],[Comisión 10%]]</f>
        <v>20.2808108108108</v>
      </c>
      <c r="U1143" s="53">
        <f>STOCK[[#This Row],[Costo total]]*1.5</f>
        <v>30.4212162162162</v>
      </c>
      <c r="V1143" s="53">
        <v>25</v>
      </c>
      <c r="W1143" s="53">
        <f>STOCK[[#This Row],[Precio Final]]-STOCK[[#This Row],[Costo total]]</f>
        <v>4.7191891891892</v>
      </c>
      <c r="X1143" s="53">
        <f>STOCK[[#This Row],[Ganancia Unitaria]]*STOCK[[#This Row],[Salidas]]</f>
        <v>14.1575675675676</v>
      </c>
      <c r="Y1143" s="53" t="s">
        <v>2420</v>
      </c>
      <c r="AA1143" s="54">
        <f>STOCK[[#This Row],[Costo total]]*STOCK[[#This Row],[Entradas]]</f>
        <v>60.8424324324324</v>
      </c>
      <c r="AB1143" s="54">
        <f>STOCK[[#This Row],[Stock Actual]]*STOCK[[#This Row],[Costo total]]</f>
        <v>0</v>
      </c>
    </row>
    <row r="1144" s="54" customFormat="1" ht="50" customHeight="1" spans="1:28">
      <c r="A1144" s="54" t="s">
        <v>2421</v>
      </c>
      <c r="B1144" s="66"/>
      <c r="C1144" s="54" t="s">
        <v>32</v>
      </c>
      <c r="D1144" s="53" t="s">
        <v>780</v>
      </c>
      <c r="E1144" s="68" t="s">
        <v>2419</v>
      </c>
      <c r="F1144" s="54" t="s">
        <v>49</v>
      </c>
      <c r="G1144" s="54" t="s">
        <v>2395</v>
      </c>
      <c r="H1144" s="54">
        <f>STOCK[[#This Row],[Precio Final]]</f>
        <v>25</v>
      </c>
      <c r="I1144" s="54">
        <f>STOCK[[#This Row],[Precio Venta Ideal (x1.5)]]</f>
        <v>30.4212162162162</v>
      </c>
      <c r="J1144" s="72">
        <v>3</v>
      </c>
      <c r="K1144" s="72">
        <f>SUMIFS(VENTAS[Cantidad],VENTAS[Código del producto Vendido],STOCK[[#This Row],[Code]])</f>
        <v>3</v>
      </c>
      <c r="L1144" s="72">
        <f>STOCK[[#This Row],[Entradas]]-STOCK[[#This Row],[Salidas]]</f>
        <v>0</v>
      </c>
      <c r="M1144" s="54">
        <f>STOCK[[#This Row],[Precio Final]]*10%</f>
        <v>2.5</v>
      </c>
      <c r="N1144" s="54">
        <v>269.1</v>
      </c>
      <c r="O1144" s="54">
        <v>17.02</v>
      </c>
      <c r="P1144" s="54">
        <v>15.8108108108108</v>
      </c>
      <c r="Q1144" s="72">
        <v>0</v>
      </c>
      <c r="R1144" s="54">
        <v>0</v>
      </c>
      <c r="S1144" s="54">
        <v>1.97</v>
      </c>
      <c r="T1144" s="53">
        <f>STOCK[[#This Row],[Costo Unitario (USD)]]+STOCK[[#This Row],[Costo Envío (USD)]]+STOCK[[#This Row],[Comisión 10%]]</f>
        <v>20.2808108108108</v>
      </c>
      <c r="U1144" s="54">
        <f>STOCK[[#This Row],[Costo total]]*1.5</f>
        <v>30.4212162162162</v>
      </c>
      <c r="V1144" s="54">
        <v>25</v>
      </c>
      <c r="W1144" s="54">
        <f>STOCK[[#This Row],[Precio Final]]-STOCK[[#This Row],[Costo total]]</f>
        <v>4.7191891891892</v>
      </c>
      <c r="X1144" s="54">
        <f>STOCK[[#This Row],[Ganancia Unitaria]]*STOCK[[#This Row],[Salidas]]</f>
        <v>14.1575675675676</v>
      </c>
      <c r="Y1144" s="54" t="s">
        <v>2422</v>
      </c>
      <c r="AA1144" s="54">
        <f>STOCK[[#This Row],[Costo total]]*STOCK[[#This Row],[Entradas]]</f>
        <v>60.8424324324324</v>
      </c>
      <c r="AB1144" s="54">
        <f>STOCK[[#This Row],[Stock Actual]]*STOCK[[#This Row],[Costo total]]</f>
        <v>0</v>
      </c>
    </row>
    <row r="1145" s="53" customFormat="1" ht="50" customHeight="1" spans="1:28">
      <c r="A1145" s="53" t="s">
        <v>2423</v>
      </c>
      <c r="B1145" s="66"/>
      <c r="C1145" s="53" t="s">
        <v>32</v>
      </c>
      <c r="D1145" s="53" t="s">
        <v>780</v>
      </c>
      <c r="E1145" s="67" t="s">
        <v>2419</v>
      </c>
      <c r="F1145" s="53" t="s">
        <v>46</v>
      </c>
      <c r="G1145" s="53" t="s">
        <v>2395</v>
      </c>
      <c r="H1145" s="53">
        <f>STOCK[[#This Row],[Precio Final]]</f>
        <v>25</v>
      </c>
      <c r="I1145" s="53">
        <f>STOCK[[#This Row],[Precio Venta Ideal (x1.5)]]</f>
        <v>30.4212162162162</v>
      </c>
      <c r="J1145" s="71">
        <v>3</v>
      </c>
      <c r="K1145" s="71">
        <f>SUMIFS(VENTAS[Cantidad],VENTAS[Código del producto Vendido],STOCK[[#This Row],[Code]])</f>
        <v>0</v>
      </c>
      <c r="L1145" s="71">
        <f>STOCK[[#This Row],[Entradas]]-STOCK[[#This Row],[Salidas]]</f>
        <v>3</v>
      </c>
      <c r="M1145" s="53">
        <f>STOCK[[#This Row],[Precio Final]]*10%</f>
        <v>2.5</v>
      </c>
      <c r="N1145" s="53">
        <v>269.1</v>
      </c>
      <c r="O1145" s="53">
        <v>17.02</v>
      </c>
      <c r="P1145" s="53">
        <v>15.8108108108108</v>
      </c>
      <c r="Q1145" s="71">
        <v>0</v>
      </c>
      <c r="R1145" s="53">
        <v>0</v>
      </c>
      <c r="S1145" s="53">
        <v>1.97</v>
      </c>
      <c r="T1145" s="53">
        <f>STOCK[[#This Row],[Costo Unitario (USD)]]+STOCK[[#This Row],[Costo Envío (USD)]]+STOCK[[#This Row],[Comisión 10%]]</f>
        <v>20.2808108108108</v>
      </c>
      <c r="U1145" s="53">
        <f>STOCK[[#This Row],[Costo total]]*1.5</f>
        <v>30.4212162162162</v>
      </c>
      <c r="V1145" s="53">
        <v>25</v>
      </c>
      <c r="W1145" s="53">
        <f>STOCK[[#This Row],[Precio Final]]-STOCK[[#This Row],[Costo total]]</f>
        <v>4.7191891891892</v>
      </c>
      <c r="X1145" s="53">
        <f>STOCK[[#This Row],[Ganancia Unitaria]]*STOCK[[#This Row],[Salidas]]</f>
        <v>0</v>
      </c>
      <c r="Y1145" s="53" t="s">
        <v>2424</v>
      </c>
      <c r="AA1145" s="54">
        <f>STOCK[[#This Row],[Costo total]]*STOCK[[#This Row],[Entradas]]</f>
        <v>60.8424324324324</v>
      </c>
      <c r="AB1145" s="54">
        <f>STOCK[[#This Row],[Stock Actual]]*STOCK[[#This Row],[Costo total]]</f>
        <v>60.8424324324324</v>
      </c>
    </row>
    <row r="1146" s="54" customFormat="1" ht="50" customHeight="1" spans="1:28">
      <c r="A1146" s="54" t="s">
        <v>2425</v>
      </c>
      <c r="B1146" s="66"/>
      <c r="C1146" s="54" t="s">
        <v>32</v>
      </c>
      <c r="D1146" s="53" t="s">
        <v>1388</v>
      </c>
      <c r="E1146" s="68" t="s">
        <v>2426</v>
      </c>
      <c r="F1146" s="54" t="s">
        <v>40</v>
      </c>
      <c r="G1146" s="54" t="s">
        <v>2395</v>
      </c>
      <c r="H1146" s="54">
        <f>STOCK[[#This Row],[Precio Final]]</f>
        <v>23</v>
      </c>
      <c r="I1146" s="54">
        <f>STOCK[[#This Row],[Precio Venta Ideal (x1.5)]]</f>
        <v>20.6030023501763</v>
      </c>
      <c r="J1146" s="72">
        <v>2</v>
      </c>
      <c r="K1146" s="72">
        <f>SUMIFS(VENTAS[Cantidad],VENTAS[Código del producto Vendido],STOCK[[#This Row],[Code]])</f>
        <v>2</v>
      </c>
      <c r="L1146" s="72">
        <f>STOCK[[#This Row],[Entradas]]-STOCK[[#This Row],[Salidas]]</f>
        <v>0</v>
      </c>
      <c r="M1146" s="54">
        <f>STOCK[[#This Row],[Precio Final]]*10%</f>
        <v>2.3</v>
      </c>
      <c r="N1146" s="54">
        <v>161.1</v>
      </c>
      <c r="O1146" s="54">
        <v>17.02</v>
      </c>
      <c r="P1146" s="54">
        <v>9.46533490011751</v>
      </c>
      <c r="Q1146" s="72">
        <v>0</v>
      </c>
      <c r="R1146" s="54">
        <v>0</v>
      </c>
      <c r="S1146" s="54">
        <v>1.97</v>
      </c>
      <c r="T1146" s="53">
        <f>STOCK[[#This Row],[Costo Unitario (USD)]]+STOCK[[#This Row],[Costo Envío (USD)]]+STOCK[[#This Row],[Comisión 10%]]</f>
        <v>13.7353349001175</v>
      </c>
      <c r="U1146" s="54">
        <f>STOCK[[#This Row],[Costo total]]*1.5</f>
        <v>20.6030023501763</v>
      </c>
      <c r="V1146" s="54">
        <v>23</v>
      </c>
      <c r="W1146" s="54">
        <f>STOCK[[#This Row],[Precio Final]]-STOCK[[#This Row],[Costo total]]</f>
        <v>9.26466509988249</v>
      </c>
      <c r="X1146" s="54">
        <f>STOCK[[#This Row],[Ganancia Unitaria]]*STOCK[[#This Row],[Salidas]]</f>
        <v>18.529330199765</v>
      </c>
      <c r="Y1146" s="54" t="s">
        <v>2427</v>
      </c>
      <c r="AA1146" s="54">
        <f>STOCK[[#This Row],[Costo total]]*STOCK[[#This Row],[Entradas]]</f>
        <v>27.470669800235</v>
      </c>
      <c r="AB1146" s="54">
        <f>STOCK[[#This Row],[Stock Actual]]*STOCK[[#This Row],[Costo total]]</f>
        <v>0</v>
      </c>
    </row>
    <row r="1147" s="53" customFormat="1" ht="50" customHeight="1" spans="1:28">
      <c r="A1147" s="53" t="s">
        <v>2428</v>
      </c>
      <c r="B1147" s="66"/>
      <c r="C1147" s="53" t="s">
        <v>32</v>
      </c>
      <c r="D1147" s="53" t="s">
        <v>1388</v>
      </c>
      <c r="E1147" s="67" t="s">
        <v>2426</v>
      </c>
      <c r="F1147" s="53" t="s">
        <v>62</v>
      </c>
      <c r="G1147" s="53" t="s">
        <v>2395</v>
      </c>
      <c r="H1147" s="53">
        <f>STOCK[[#This Row],[Precio Final]]</f>
        <v>23</v>
      </c>
      <c r="I1147" s="53">
        <f>STOCK[[#This Row],[Precio Venta Ideal (x1.5)]]</f>
        <v>20.6030023501763</v>
      </c>
      <c r="J1147" s="71">
        <v>1</v>
      </c>
      <c r="K1147" s="71">
        <f>SUMIFS(VENTAS[Cantidad],VENTAS[Código del producto Vendido],STOCK[[#This Row],[Code]])</f>
        <v>1</v>
      </c>
      <c r="L1147" s="71">
        <f>STOCK[[#This Row],[Entradas]]-STOCK[[#This Row],[Salidas]]</f>
        <v>0</v>
      </c>
      <c r="M1147" s="53">
        <f>STOCK[[#This Row],[Precio Final]]*10%</f>
        <v>2.3</v>
      </c>
      <c r="N1147" s="53">
        <v>161.1</v>
      </c>
      <c r="O1147" s="53">
        <v>17.02</v>
      </c>
      <c r="P1147" s="53">
        <v>9.46533490011751</v>
      </c>
      <c r="Q1147" s="71">
        <v>0</v>
      </c>
      <c r="R1147" s="53">
        <v>0</v>
      </c>
      <c r="S1147" s="53">
        <v>1.97</v>
      </c>
      <c r="T1147" s="53">
        <f>STOCK[[#This Row],[Costo Unitario (USD)]]+STOCK[[#This Row],[Costo Envío (USD)]]+STOCK[[#This Row],[Comisión 10%]]</f>
        <v>13.7353349001175</v>
      </c>
      <c r="U1147" s="53">
        <f>STOCK[[#This Row],[Costo total]]*1.5</f>
        <v>20.6030023501763</v>
      </c>
      <c r="V1147" s="53">
        <v>23</v>
      </c>
      <c r="W1147" s="53">
        <f>STOCK[[#This Row],[Precio Final]]-STOCK[[#This Row],[Costo total]]</f>
        <v>9.26466509988249</v>
      </c>
      <c r="X1147" s="53">
        <f>STOCK[[#This Row],[Ganancia Unitaria]]*STOCK[[#This Row],[Salidas]]</f>
        <v>9.26466509988249</v>
      </c>
      <c r="Y1147" s="53" t="s">
        <v>2429</v>
      </c>
      <c r="AA1147" s="54">
        <f>STOCK[[#This Row],[Costo total]]*STOCK[[#This Row],[Entradas]]</f>
        <v>13.7353349001175</v>
      </c>
      <c r="AB1147" s="54">
        <f>STOCK[[#This Row],[Stock Actual]]*STOCK[[#This Row],[Costo total]]</f>
        <v>0</v>
      </c>
    </row>
    <row r="1148" s="54" customFormat="1" ht="50" customHeight="1" spans="1:28">
      <c r="A1148" s="54" t="s">
        <v>2430</v>
      </c>
      <c r="B1148" s="66"/>
      <c r="C1148" s="54" t="s">
        <v>32</v>
      </c>
      <c r="D1148" s="53" t="s">
        <v>1388</v>
      </c>
      <c r="E1148" s="68" t="s">
        <v>2426</v>
      </c>
      <c r="F1148" s="54" t="s">
        <v>49</v>
      </c>
      <c r="G1148" s="54" t="s">
        <v>2395</v>
      </c>
      <c r="H1148" s="54">
        <f>STOCK[[#This Row],[Precio Final]]</f>
        <v>23</v>
      </c>
      <c r="I1148" s="54">
        <f>STOCK[[#This Row],[Precio Venta Ideal (x1.5)]]</f>
        <v>20.6030023501763</v>
      </c>
      <c r="J1148" s="72">
        <v>2</v>
      </c>
      <c r="K1148" s="72">
        <f>SUMIFS(VENTAS[Cantidad],VENTAS[Código del producto Vendido],STOCK[[#This Row],[Code]])</f>
        <v>3</v>
      </c>
      <c r="L1148" s="72">
        <f>STOCK[[#This Row],[Entradas]]-STOCK[[#This Row],[Salidas]]</f>
        <v>-1</v>
      </c>
      <c r="M1148" s="54">
        <f>STOCK[[#This Row],[Precio Final]]*10%</f>
        <v>2.3</v>
      </c>
      <c r="N1148" s="54">
        <v>161.1</v>
      </c>
      <c r="O1148" s="54">
        <v>17.02</v>
      </c>
      <c r="P1148" s="54">
        <v>9.46533490011751</v>
      </c>
      <c r="Q1148" s="72">
        <v>0</v>
      </c>
      <c r="R1148" s="54">
        <v>0</v>
      </c>
      <c r="S1148" s="54">
        <v>1.97</v>
      </c>
      <c r="T1148" s="53">
        <f>STOCK[[#This Row],[Costo Unitario (USD)]]+STOCK[[#This Row],[Costo Envío (USD)]]+STOCK[[#This Row],[Comisión 10%]]</f>
        <v>13.7353349001175</v>
      </c>
      <c r="U1148" s="54">
        <f>STOCK[[#This Row],[Costo total]]*1.5</f>
        <v>20.6030023501763</v>
      </c>
      <c r="V1148" s="54">
        <v>23</v>
      </c>
      <c r="W1148" s="54">
        <f>STOCK[[#This Row],[Precio Final]]-STOCK[[#This Row],[Costo total]]</f>
        <v>9.26466509988249</v>
      </c>
      <c r="X1148" s="54">
        <f>STOCK[[#This Row],[Ganancia Unitaria]]*STOCK[[#This Row],[Salidas]]</f>
        <v>27.7939952996475</v>
      </c>
      <c r="Y1148" s="54" t="s">
        <v>2431</v>
      </c>
      <c r="AA1148" s="54">
        <f>STOCK[[#This Row],[Costo total]]*STOCK[[#This Row],[Entradas]]</f>
        <v>27.470669800235</v>
      </c>
      <c r="AB1148" s="54">
        <f>STOCK[[#This Row],[Stock Actual]]*STOCK[[#This Row],[Costo total]]</f>
        <v>-13.7353349001175</v>
      </c>
    </row>
    <row r="1149" s="53" customFormat="1" ht="50" customHeight="1" spans="1:28">
      <c r="A1149" s="53" t="s">
        <v>2432</v>
      </c>
      <c r="B1149" s="66"/>
      <c r="C1149" s="53" t="s">
        <v>32</v>
      </c>
      <c r="D1149" s="53" t="s">
        <v>1388</v>
      </c>
      <c r="E1149" s="67" t="s">
        <v>2426</v>
      </c>
      <c r="F1149" s="53" t="s">
        <v>46</v>
      </c>
      <c r="G1149" s="53" t="s">
        <v>2395</v>
      </c>
      <c r="H1149" s="53">
        <f>STOCK[[#This Row],[Precio Final]]</f>
        <v>23</v>
      </c>
      <c r="I1149" s="53">
        <f>STOCK[[#This Row],[Precio Venta Ideal (x1.5)]]</f>
        <v>20.6030023501763</v>
      </c>
      <c r="J1149" s="71">
        <v>2</v>
      </c>
      <c r="K1149" s="71">
        <f>SUMIFS(VENTAS[Cantidad],VENTAS[Código del producto Vendido],STOCK[[#This Row],[Code]])</f>
        <v>2</v>
      </c>
      <c r="L1149" s="71">
        <f>STOCK[[#This Row],[Entradas]]-STOCK[[#This Row],[Salidas]]</f>
        <v>0</v>
      </c>
      <c r="M1149" s="53">
        <f>STOCK[[#This Row],[Precio Final]]*10%</f>
        <v>2.3</v>
      </c>
      <c r="N1149" s="53">
        <v>161.1</v>
      </c>
      <c r="O1149" s="53">
        <v>17.02</v>
      </c>
      <c r="P1149" s="53">
        <v>9.46533490011751</v>
      </c>
      <c r="Q1149" s="71">
        <v>0</v>
      </c>
      <c r="R1149" s="53">
        <v>0</v>
      </c>
      <c r="S1149" s="53">
        <v>1.97</v>
      </c>
      <c r="T1149" s="53">
        <f>STOCK[[#This Row],[Costo Unitario (USD)]]+STOCK[[#This Row],[Costo Envío (USD)]]+STOCK[[#This Row],[Comisión 10%]]</f>
        <v>13.7353349001175</v>
      </c>
      <c r="U1149" s="53">
        <f>STOCK[[#This Row],[Costo total]]*1.5</f>
        <v>20.6030023501763</v>
      </c>
      <c r="V1149" s="53">
        <v>23</v>
      </c>
      <c r="W1149" s="53">
        <f>STOCK[[#This Row],[Precio Final]]-STOCK[[#This Row],[Costo total]]</f>
        <v>9.26466509988249</v>
      </c>
      <c r="X1149" s="53">
        <f>STOCK[[#This Row],[Ganancia Unitaria]]*STOCK[[#This Row],[Salidas]]</f>
        <v>18.529330199765</v>
      </c>
      <c r="Y1149" s="53" t="s">
        <v>2433</v>
      </c>
      <c r="AA1149" s="54">
        <f>STOCK[[#This Row],[Costo total]]*STOCK[[#This Row],[Entradas]]</f>
        <v>27.470669800235</v>
      </c>
      <c r="AB1149" s="54">
        <f>STOCK[[#This Row],[Stock Actual]]*STOCK[[#This Row],[Costo total]]</f>
        <v>0</v>
      </c>
    </row>
    <row r="1150" s="54" customFormat="1" ht="50" customHeight="1" spans="1:28">
      <c r="A1150" s="54" t="s">
        <v>2434</v>
      </c>
      <c r="B1150" s="66"/>
      <c r="C1150" s="54" t="s">
        <v>32</v>
      </c>
      <c r="D1150" s="53" t="s">
        <v>1388</v>
      </c>
      <c r="E1150" s="68" t="s">
        <v>2426</v>
      </c>
      <c r="F1150" s="54" t="s">
        <v>42</v>
      </c>
      <c r="G1150" s="54" t="s">
        <v>2395</v>
      </c>
      <c r="H1150" s="54">
        <f>STOCK[[#This Row],[Precio Final]]</f>
        <v>23</v>
      </c>
      <c r="I1150" s="54">
        <f>STOCK[[#This Row],[Precio Venta Ideal (x1.5)]]</f>
        <v>20.6030023501763</v>
      </c>
      <c r="J1150" s="72">
        <v>2</v>
      </c>
      <c r="K1150" s="72">
        <f>SUMIFS(VENTAS[Cantidad],VENTAS[Código del producto Vendido],STOCK[[#This Row],[Code]])</f>
        <v>2</v>
      </c>
      <c r="L1150" s="72">
        <f>STOCK[[#This Row],[Entradas]]-STOCK[[#This Row],[Salidas]]</f>
        <v>0</v>
      </c>
      <c r="M1150" s="54">
        <f>STOCK[[#This Row],[Precio Final]]*10%</f>
        <v>2.3</v>
      </c>
      <c r="N1150" s="54">
        <v>161.1</v>
      </c>
      <c r="O1150" s="54">
        <v>17.02</v>
      </c>
      <c r="P1150" s="54">
        <v>9.46533490011751</v>
      </c>
      <c r="Q1150" s="72">
        <v>0</v>
      </c>
      <c r="R1150" s="54">
        <v>0</v>
      </c>
      <c r="S1150" s="54">
        <v>1.97</v>
      </c>
      <c r="T1150" s="53">
        <f>STOCK[[#This Row],[Costo Unitario (USD)]]+STOCK[[#This Row],[Costo Envío (USD)]]+STOCK[[#This Row],[Comisión 10%]]</f>
        <v>13.7353349001175</v>
      </c>
      <c r="U1150" s="54">
        <f>STOCK[[#This Row],[Costo total]]*1.5</f>
        <v>20.6030023501763</v>
      </c>
      <c r="V1150" s="54">
        <v>23</v>
      </c>
      <c r="W1150" s="54">
        <f>STOCK[[#This Row],[Precio Final]]-STOCK[[#This Row],[Costo total]]</f>
        <v>9.26466509988249</v>
      </c>
      <c r="X1150" s="54">
        <f>STOCK[[#This Row],[Ganancia Unitaria]]*STOCK[[#This Row],[Salidas]]</f>
        <v>18.529330199765</v>
      </c>
      <c r="Y1150" s="54" t="s">
        <v>2435</v>
      </c>
      <c r="AA1150" s="54">
        <f>STOCK[[#This Row],[Costo total]]*STOCK[[#This Row],[Entradas]]</f>
        <v>27.470669800235</v>
      </c>
      <c r="AB1150" s="54">
        <f>STOCK[[#This Row],[Stock Actual]]*STOCK[[#This Row],[Costo total]]</f>
        <v>0</v>
      </c>
    </row>
    <row r="1151" s="53" customFormat="1" ht="50" customHeight="1" spans="1:28">
      <c r="A1151" s="53" t="s">
        <v>2436</v>
      </c>
      <c r="B1151" s="66"/>
      <c r="C1151" s="53" t="s">
        <v>32</v>
      </c>
      <c r="D1151" s="53" t="s">
        <v>1388</v>
      </c>
      <c r="E1151" s="67" t="s">
        <v>2437</v>
      </c>
      <c r="F1151" s="53" t="s">
        <v>49</v>
      </c>
      <c r="G1151" s="53" t="s">
        <v>2395</v>
      </c>
      <c r="H1151" s="53">
        <f>STOCK[[#This Row],[Precio Final]]</f>
        <v>35</v>
      </c>
      <c r="I1151" s="53">
        <f>STOCK[[#This Row],[Precio Venta Ideal (x1.5)]]</f>
        <v>29.5416627497062</v>
      </c>
      <c r="J1151" s="71">
        <v>3</v>
      </c>
      <c r="K1151" s="71">
        <f>SUMIFS(VENTAS[Cantidad],VENTAS[Código del producto Vendido],STOCK[[#This Row],[Code]])</f>
        <v>2</v>
      </c>
      <c r="L1151" s="71">
        <f>STOCK[[#This Row],[Entradas]]-STOCK[[#This Row],[Salidas]]</f>
        <v>1</v>
      </c>
      <c r="M1151" s="53">
        <f>STOCK[[#This Row],[Precio Final]]*10%</f>
        <v>3.5</v>
      </c>
      <c r="N1151" s="53">
        <v>242.1</v>
      </c>
      <c r="O1151" s="53">
        <v>17.02</v>
      </c>
      <c r="P1151" s="53">
        <v>14.2244418331375</v>
      </c>
      <c r="Q1151" s="71">
        <v>0</v>
      </c>
      <c r="R1151" s="53">
        <v>0</v>
      </c>
      <c r="S1151" s="53">
        <v>1.97</v>
      </c>
      <c r="T1151" s="53">
        <f>STOCK[[#This Row],[Costo Unitario (USD)]]+STOCK[[#This Row],[Costo Envío (USD)]]+STOCK[[#This Row],[Comisión 10%]]</f>
        <v>19.6944418331375</v>
      </c>
      <c r="U1151" s="53">
        <f>STOCK[[#This Row],[Costo total]]*1.5</f>
        <v>29.5416627497062</v>
      </c>
      <c r="V1151" s="53">
        <v>35</v>
      </c>
      <c r="W1151" s="53">
        <f>STOCK[[#This Row],[Precio Final]]-STOCK[[#This Row],[Costo total]]</f>
        <v>15.3055581668625</v>
      </c>
      <c r="X1151" s="53">
        <f>STOCK[[#This Row],[Ganancia Unitaria]]*STOCK[[#This Row],[Salidas]]</f>
        <v>30.611116333725</v>
      </c>
      <c r="Y1151" s="53" t="s">
        <v>2438</v>
      </c>
      <c r="AA1151" s="54">
        <f>STOCK[[#This Row],[Costo total]]*STOCK[[#This Row],[Entradas]]</f>
        <v>59.0833254994125</v>
      </c>
      <c r="AB1151" s="54">
        <f>STOCK[[#This Row],[Stock Actual]]*STOCK[[#This Row],[Costo total]]</f>
        <v>19.6944418331375</v>
      </c>
    </row>
    <row r="1152" s="54" customFormat="1" ht="50" customHeight="1" spans="1:28">
      <c r="A1152" s="54" t="s">
        <v>2439</v>
      </c>
      <c r="B1152" s="66"/>
      <c r="C1152" s="54" t="s">
        <v>32</v>
      </c>
      <c r="D1152" s="53" t="s">
        <v>1388</v>
      </c>
      <c r="E1152" s="68" t="s">
        <v>2437</v>
      </c>
      <c r="F1152" s="54" t="s">
        <v>62</v>
      </c>
      <c r="G1152" s="54" t="s">
        <v>2395</v>
      </c>
      <c r="H1152" s="54">
        <f>STOCK[[#This Row],[Precio Final]]</f>
        <v>35</v>
      </c>
      <c r="I1152" s="54">
        <f>STOCK[[#This Row],[Precio Venta Ideal (x1.5)]]</f>
        <v>29.5416627497062</v>
      </c>
      <c r="J1152" s="72">
        <v>3</v>
      </c>
      <c r="K1152" s="72">
        <f>SUMIFS(VENTAS[Cantidad],VENTAS[Código del producto Vendido],STOCK[[#This Row],[Code]])</f>
        <v>1</v>
      </c>
      <c r="L1152" s="72">
        <f>STOCK[[#This Row],[Entradas]]-STOCK[[#This Row],[Salidas]]</f>
        <v>2</v>
      </c>
      <c r="M1152" s="54">
        <f>STOCK[[#This Row],[Precio Final]]*10%</f>
        <v>3.5</v>
      </c>
      <c r="N1152" s="54">
        <v>242.1</v>
      </c>
      <c r="O1152" s="54">
        <v>17.02</v>
      </c>
      <c r="P1152" s="54">
        <v>14.2244418331375</v>
      </c>
      <c r="Q1152" s="72">
        <v>0</v>
      </c>
      <c r="R1152" s="54">
        <v>0</v>
      </c>
      <c r="S1152" s="54">
        <v>1.97</v>
      </c>
      <c r="T1152" s="53">
        <f>STOCK[[#This Row],[Costo Unitario (USD)]]+STOCK[[#This Row],[Costo Envío (USD)]]+STOCK[[#This Row],[Comisión 10%]]</f>
        <v>19.6944418331375</v>
      </c>
      <c r="U1152" s="54">
        <f>STOCK[[#This Row],[Costo total]]*1.5</f>
        <v>29.5416627497062</v>
      </c>
      <c r="V1152" s="54">
        <v>35</v>
      </c>
      <c r="W1152" s="54">
        <f>STOCK[[#This Row],[Precio Final]]-STOCK[[#This Row],[Costo total]]</f>
        <v>15.3055581668625</v>
      </c>
      <c r="X1152" s="54">
        <f>STOCK[[#This Row],[Ganancia Unitaria]]*STOCK[[#This Row],[Salidas]]</f>
        <v>15.3055581668625</v>
      </c>
      <c r="Y1152" s="54" t="s">
        <v>2440</v>
      </c>
      <c r="AA1152" s="54">
        <f>STOCK[[#This Row],[Costo total]]*STOCK[[#This Row],[Entradas]]</f>
        <v>59.0833254994125</v>
      </c>
      <c r="AB1152" s="54">
        <f>STOCK[[#This Row],[Stock Actual]]*STOCK[[#This Row],[Costo total]]</f>
        <v>39.388883666275</v>
      </c>
    </row>
    <row r="1153" s="53" customFormat="1" ht="50" customHeight="1" spans="1:28">
      <c r="A1153" s="53" t="s">
        <v>2441</v>
      </c>
      <c r="B1153" s="66"/>
      <c r="C1153" s="53" t="s">
        <v>32</v>
      </c>
      <c r="D1153" s="53" t="s">
        <v>1388</v>
      </c>
      <c r="E1153" s="67" t="s">
        <v>2442</v>
      </c>
      <c r="F1153" s="53" t="s">
        <v>49</v>
      </c>
      <c r="G1153" s="53" t="s">
        <v>2395</v>
      </c>
      <c r="H1153" s="53">
        <f>STOCK[[#This Row],[Precio Final]]</f>
        <v>35</v>
      </c>
      <c r="I1153" s="53">
        <f>STOCK[[#This Row],[Precio Venta Ideal (x1.5)]]</f>
        <v>28.1730317273796</v>
      </c>
      <c r="J1153" s="71">
        <v>2</v>
      </c>
      <c r="K1153" s="71">
        <f>SUMIFS(VENTAS[Cantidad],VENTAS[Código del producto Vendido],STOCK[[#This Row],[Code]])</f>
        <v>2</v>
      </c>
      <c r="L1153" s="71">
        <f>STOCK[[#This Row],[Entradas]]-STOCK[[#This Row],[Salidas]]</f>
        <v>0</v>
      </c>
      <c r="M1153" s="53">
        <f>STOCK[[#This Row],[Precio Final]]*10%</f>
        <v>3.5</v>
      </c>
      <c r="N1153" s="53">
        <v>260.1</v>
      </c>
      <c r="O1153" s="53">
        <v>17.02</v>
      </c>
      <c r="P1153" s="53">
        <v>15.2820211515864</v>
      </c>
      <c r="Q1153" s="71">
        <v>0</v>
      </c>
      <c r="R1153" s="53">
        <v>0</v>
      </c>
      <c r="S1153" s="53">
        <v>0</v>
      </c>
      <c r="T1153" s="53">
        <f>STOCK[[#This Row],[Costo Unitario (USD)]]+STOCK[[#This Row],[Costo Envío (USD)]]+STOCK[[#This Row],[Comisión 10%]]</f>
        <v>18.7820211515864</v>
      </c>
      <c r="U1153" s="53">
        <f>STOCK[[#This Row],[Costo total]]*1.5</f>
        <v>28.1730317273796</v>
      </c>
      <c r="V1153" s="53">
        <v>35</v>
      </c>
      <c r="W1153" s="53">
        <f>STOCK[[#This Row],[Precio Final]]-STOCK[[#This Row],[Costo total]]</f>
        <v>16.2179788484136</v>
      </c>
      <c r="X1153" s="53">
        <f>STOCK[[#This Row],[Ganancia Unitaria]]*STOCK[[#This Row],[Salidas]]</f>
        <v>32.4359576968272</v>
      </c>
      <c r="Y1153" s="53" t="s">
        <v>2443</v>
      </c>
      <c r="AA1153" s="54">
        <f>STOCK[[#This Row],[Costo total]]*STOCK[[#This Row],[Entradas]]</f>
        <v>37.5640423031728</v>
      </c>
      <c r="AB1153" s="54">
        <f>STOCK[[#This Row],[Stock Actual]]*STOCK[[#This Row],[Costo total]]</f>
        <v>0</v>
      </c>
    </row>
    <row r="1154" s="54" customFormat="1" ht="50" customHeight="1" spans="1:28">
      <c r="A1154" s="54" t="s">
        <v>2444</v>
      </c>
      <c r="B1154" s="66"/>
      <c r="C1154" s="54" t="s">
        <v>32</v>
      </c>
      <c r="D1154" s="53" t="s">
        <v>1388</v>
      </c>
      <c r="E1154" s="67" t="s">
        <v>2442</v>
      </c>
      <c r="F1154" s="54" t="s">
        <v>42</v>
      </c>
      <c r="G1154" s="54" t="s">
        <v>2395</v>
      </c>
      <c r="H1154" s="54">
        <f>STOCK[[#This Row],[Precio Final]]</f>
        <v>35</v>
      </c>
      <c r="I1154" s="54">
        <f>STOCK[[#This Row],[Precio Venta Ideal (x1.5)]]</f>
        <v>28.1730317273796</v>
      </c>
      <c r="J1154" s="72">
        <v>2</v>
      </c>
      <c r="K1154" s="72">
        <f>SUMIFS(VENTAS[Cantidad],VENTAS[Código del producto Vendido],STOCK[[#This Row],[Code]])</f>
        <v>1</v>
      </c>
      <c r="L1154" s="72">
        <f>STOCK[[#This Row],[Entradas]]-STOCK[[#This Row],[Salidas]]</f>
        <v>1</v>
      </c>
      <c r="M1154" s="54">
        <f>STOCK[[#This Row],[Precio Final]]*10%</f>
        <v>3.5</v>
      </c>
      <c r="N1154" s="54">
        <v>260.1</v>
      </c>
      <c r="O1154" s="54">
        <v>17.02</v>
      </c>
      <c r="P1154" s="54">
        <v>15.2820211515864</v>
      </c>
      <c r="Q1154" s="72">
        <v>0</v>
      </c>
      <c r="R1154" s="54">
        <v>0</v>
      </c>
      <c r="S1154" s="54">
        <v>0</v>
      </c>
      <c r="T1154" s="53">
        <f>STOCK[[#This Row],[Costo Unitario (USD)]]+STOCK[[#This Row],[Costo Envío (USD)]]+STOCK[[#This Row],[Comisión 10%]]</f>
        <v>18.7820211515864</v>
      </c>
      <c r="U1154" s="54">
        <f>STOCK[[#This Row],[Costo total]]*1.5</f>
        <v>28.1730317273796</v>
      </c>
      <c r="V1154" s="54">
        <v>35</v>
      </c>
      <c r="W1154" s="54">
        <f>STOCK[[#This Row],[Precio Final]]-STOCK[[#This Row],[Costo total]]</f>
        <v>16.2179788484136</v>
      </c>
      <c r="X1154" s="54">
        <f>STOCK[[#This Row],[Ganancia Unitaria]]*STOCK[[#This Row],[Salidas]]</f>
        <v>16.2179788484136</v>
      </c>
      <c r="Y1154" s="54" t="s">
        <v>2445</v>
      </c>
      <c r="AA1154" s="54">
        <f>STOCK[[#This Row],[Costo total]]*STOCK[[#This Row],[Entradas]]</f>
        <v>37.5640423031728</v>
      </c>
      <c r="AB1154" s="54">
        <f>STOCK[[#This Row],[Stock Actual]]*STOCK[[#This Row],[Costo total]]</f>
        <v>18.7820211515864</v>
      </c>
    </row>
    <row r="1155" s="53" customFormat="1" ht="50" customHeight="1" spans="1:28">
      <c r="A1155" s="53" t="s">
        <v>2446</v>
      </c>
      <c r="B1155" s="66"/>
      <c r="C1155" s="53" t="s">
        <v>32</v>
      </c>
      <c r="D1155" s="53" t="s">
        <v>1388</v>
      </c>
      <c r="E1155" s="67" t="s">
        <v>2442</v>
      </c>
      <c r="F1155" s="53" t="s">
        <v>46</v>
      </c>
      <c r="G1155" s="53" t="s">
        <v>2395</v>
      </c>
      <c r="H1155" s="53">
        <f>STOCK[[#This Row],[Precio Final]]</f>
        <v>35</v>
      </c>
      <c r="I1155" s="53">
        <f>STOCK[[#This Row],[Precio Venta Ideal (x1.5)]]</f>
        <v>28.1730317273796</v>
      </c>
      <c r="J1155" s="71">
        <v>2</v>
      </c>
      <c r="K1155" s="71">
        <f>SUMIFS(VENTAS[Cantidad],VENTAS[Código del producto Vendido],STOCK[[#This Row],[Code]])</f>
        <v>0</v>
      </c>
      <c r="L1155" s="71">
        <f>STOCK[[#This Row],[Entradas]]-STOCK[[#This Row],[Salidas]]</f>
        <v>2</v>
      </c>
      <c r="M1155" s="53">
        <f>STOCK[[#This Row],[Precio Final]]*10%</f>
        <v>3.5</v>
      </c>
      <c r="N1155" s="53">
        <v>260.1</v>
      </c>
      <c r="O1155" s="53">
        <v>17.02</v>
      </c>
      <c r="P1155" s="53">
        <v>15.2820211515864</v>
      </c>
      <c r="Q1155" s="71">
        <v>0</v>
      </c>
      <c r="R1155" s="53">
        <v>0</v>
      </c>
      <c r="S1155" s="53">
        <v>0</v>
      </c>
      <c r="T1155" s="53">
        <f>STOCK[[#This Row],[Costo Unitario (USD)]]+STOCK[[#This Row],[Costo Envío (USD)]]+STOCK[[#This Row],[Comisión 10%]]</f>
        <v>18.7820211515864</v>
      </c>
      <c r="U1155" s="53">
        <f>STOCK[[#This Row],[Costo total]]*1.5</f>
        <v>28.1730317273796</v>
      </c>
      <c r="V1155" s="53">
        <v>35</v>
      </c>
      <c r="W1155" s="53">
        <f>STOCK[[#This Row],[Precio Final]]-STOCK[[#This Row],[Costo total]]</f>
        <v>16.2179788484136</v>
      </c>
      <c r="X1155" s="53">
        <f>STOCK[[#This Row],[Ganancia Unitaria]]*STOCK[[#This Row],[Salidas]]</f>
        <v>0</v>
      </c>
      <c r="Y1155" s="53" t="s">
        <v>2447</v>
      </c>
      <c r="AA1155" s="54">
        <f>STOCK[[#This Row],[Costo total]]*STOCK[[#This Row],[Entradas]]</f>
        <v>37.5640423031728</v>
      </c>
      <c r="AB1155" s="54">
        <f>STOCK[[#This Row],[Stock Actual]]*STOCK[[#This Row],[Costo total]]</f>
        <v>37.5640423031728</v>
      </c>
    </row>
    <row r="1156" s="54" customFormat="1" ht="50" customHeight="1" spans="1:29">
      <c r="A1156" s="53" t="s">
        <v>2448</v>
      </c>
      <c r="B1156" s="66"/>
      <c r="C1156" s="53" t="s">
        <v>32</v>
      </c>
      <c r="D1156" s="53" t="s">
        <v>1482</v>
      </c>
      <c r="E1156" s="68" t="s">
        <v>2449</v>
      </c>
      <c r="F1156" s="53" t="s">
        <v>2450</v>
      </c>
      <c r="G1156" s="53" t="s">
        <v>2451</v>
      </c>
      <c r="H1156" s="53">
        <f>STOCK[[#This Row],[Precio Final]]</f>
        <v>35</v>
      </c>
      <c r="I1156" s="53">
        <f>STOCK[[#This Row],[Precio Venta Ideal (x1.5)]]</f>
        <v>34.455</v>
      </c>
      <c r="J1156" s="71">
        <v>3</v>
      </c>
      <c r="K1156" s="71">
        <f>SUMIFS(VENTAS[Cantidad],VENTAS[Código del producto Vendido],STOCK[[#This Row],[Code]])</f>
        <v>2</v>
      </c>
      <c r="L1156" s="71">
        <f>STOCK[[#This Row],[Entradas]]-STOCK[[#This Row],[Salidas]]</f>
        <v>1</v>
      </c>
      <c r="M1156" s="53">
        <f>STOCK[[#This Row],[Precio Final]]*10%</f>
        <v>3.5</v>
      </c>
      <c r="N1156" s="53">
        <v>0</v>
      </c>
      <c r="O1156" s="53">
        <v>0</v>
      </c>
      <c r="P1156" s="53">
        <v>17.5</v>
      </c>
      <c r="Q1156" s="71">
        <v>730</v>
      </c>
      <c r="R1156" s="53">
        <v>7.81</v>
      </c>
      <c r="S1156" s="53">
        <v>1.97</v>
      </c>
      <c r="T1156" s="53">
        <f>STOCK[[#This Row],[Costo Unitario (USD)]]+STOCK[[#This Row],[Costo Envío (USD)]]+STOCK[[#This Row],[Comisión 10%]]</f>
        <v>22.97</v>
      </c>
      <c r="U1156" s="53">
        <f>STOCK[[#This Row],[Costo total]]*1.5</f>
        <v>34.455</v>
      </c>
      <c r="V1156" s="53">
        <v>35</v>
      </c>
      <c r="W1156" s="53">
        <f>STOCK[[#This Row],[Precio Final]]-STOCK[[#This Row],[Costo total]]</f>
        <v>12.03</v>
      </c>
      <c r="X1156" s="53">
        <f>STOCK[[#This Row],[Ganancia Unitaria]]*STOCK[[#This Row],[Salidas]]</f>
        <v>24.06</v>
      </c>
      <c r="Y1156" s="53" t="s">
        <v>2452</v>
      </c>
      <c r="Z1156" s="53"/>
      <c r="AA1156" s="54">
        <f>STOCK[[#This Row],[Costo total]]*STOCK[[#This Row],[Entradas]]</f>
        <v>68.91</v>
      </c>
      <c r="AB1156" s="54">
        <f>STOCK[[#This Row],[Stock Actual]]*STOCK[[#This Row],[Costo total]]</f>
        <v>22.97</v>
      </c>
      <c r="AC1156" s="53">
        <v>30</v>
      </c>
    </row>
    <row r="1157" s="53" customFormat="1" ht="50" customHeight="1" spans="1:28">
      <c r="A1157" s="53" t="s">
        <v>2453</v>
      </c>
      <c r="B1157" s="66"/>
      <c r="C1157" s="53" t="s">
        <v>32</v>
      </c>
      <c r="D1157" s="53" t="s">
        <v>1482</v>
      </c>
      <c r="E1157" s="68" t="s">
        <v>2449</v>
      </c>
      <c r="F1157" s="53" t="s">
        <v>2454</v>
      </c>
      <c r="G1157" s="53" t="s">
        <v>2451</v>
      </c>
      <c r="H1157" s="53">
        <f>STOCK[[#This Row],[Precio Final]]</f>
        <v>36</v>
      </c>
      <c r="I1157" s="53">
        <f>STOCK[[#This Row],[Precio Venta Ideal (x1.5)]]</f>
        <v>34.605</v>
      </c>
      <c r="J1157" s="71">
        <v>3</v>
      </c>
      <c r="K1157" s="71">
        <f>SUMIFS(VENTAS[Cantidad],VENTAS[Código del producto Vendido],STOCK[[#This Row],[Code]])</f>
        <v>3</v>
      </c>
      <c r="L1157" s="71">
        <f>STOCK[[#This Row],[Entradas]]-STOCK[[#This Row],[Salidas]]</f>
        <v>0</v>
      </c>
      <c r="M1157" s="53">
        <f>STOCK[[#This Row],[Precio Final]]*10%</f>
        <v>3.6</v>
      </c>
      <c r="N1157" s="53">
        <v>0</v>
      </c>
      <c r="O1157" s="53">
        <v>0</v>
      </c>
      <c r="P1157" s="53">
        <v>17.5</v>
      </c>
      <c r="Q1157" s="71">
        <v>730</v>
      </c>
      <c r="R1157" s="53">
        <v>7.81</v>
      </c>
      <c r="S1157" s="53">
        <v>1.97</v>
      </c>
      <c r="T1157" s="53">
        <f>STOCK[[#This Row],[Costo Unitario (USD)]]+STOCK[[#This Row],[Costo Envío (USD)]]+STOCK[[#This Row],[Comisión 10%]]</f>
        <v>23.07</v>
      </c>
      <c r="U1157" s="53">
        <f>STOCK[[#This Row],[Costo total]]*1.5</f>
        <v>34.605</v>
      </c>
      <c r="V1157" s="53">
        <v>36</v>
      </c>
      <c r="W1157" s="53">
        <f>STOCK[[#This Row],[Precio Final]]-STOCK[[#This Row],[Costo total]]</f>
        <v>12.93</v>
      </c>
      <c r="X1157" s="53">
        <f>STOCK[[#This Row],[Ganancia Unitaria]]*STOCK[[#This Row],[Salidas]]</f>
        <v>38.79</v>
      </c>
      <c r="Y1157" s="53" t="s">
        <v>2452</v>
      </c>
      <c r="AA1157" s="54">
        <f>STOCK[[#This Row],[Costo total]]*STOCK[[#This Row],[Entradas]]</f>
        <v>69.21</v>
      </c>
      <c r="AB1157" s="54">
        <f>STOCK[[#This Row],[Stock Actual]]*STOCK[[#This Row],[Costo total]]</f>
        <v>0</v>
      </c>
    </row>
    <row r="1158" s="53" customFormat="1" ht="50" customHeight="1" spans="1:29">
      <c r="A1158" s="54" t="s">
        <v>2455</v>
      </c>
      <c r="B1158" s="66"/>
      <c r="C1158" s="54" t="s">
        <v>32</v>
      </c>
      <c r="D1158" s="53" t="s">
        <v>1482</v>
      </c>
      <c r="E1158" s="68" t="s">
        <v>2456</v>
      </c>
      <c r="F1158" s="54" t="s">
        <v>540</v>
      </c>
      <c r="G1158" s="54" t="s">
        <v>2451</v>
      </c>
      <c r="H1158" s="54">
        <f>STOCK[[#This Row],[Precio Final]]</f>
        <v>35</v>
      </c>
      <c r="I1158" s="54">
        <f>STOCK[[#This Row],[Precio Venta Ideal (x1.5)]]</f>
        <v>38.205</v>
      </c>
      <c r="J1158" s="72">
        <v>3</v>
      </c>
      <c r="K1158" s="72">
        <f>SUMIFS(VENTAS[Cantidad],VENTAS[Código del producto Vendido],STOCK[[#This Row],[Code]])</f>
        <v>3</v>
      </c>
      <c r="L1158" s="72">
        <f>STOCK[[#This Row],[Entradas]]-STOCK[[#This Row],[Salidas]]</f>
        <v>0</v>
      </c>
      <c r="M1158" s="54">
        <f>STOCK[[#This Row],[Precio Final]]*10%</f>
        <v>3.5</v>
      </c>
      <c r="N1158" s="54">
        <v>0</v>
      </c>
      <c r="O1158" s="54">
        <v>0</v>
      </c>
      <c r="P1158" s="54">
        <v>20</v>
      </c>
      <c r="Q1158" s="72">
        <v>540</v>
      </c>
      <c r="R1158" s="54">
        <v>7.81</v>
      </c>
      <c r="S1158" s="53">
        <v>1.97</v>
      </c>
      <c r="T1158" s="53">
        <f>STOCK[[#This Row],[Costo Unitario (USD)]]+STOCK[[#This Row],[Costo Envío (USD)]]+STOCK[[#This Row],[Comisión 10%]]</f>
        <v>25.47</v>
      </c>
      <c r="U1158" s="54">
        <f>STOCK[[#This Row],[Costo total]]*1.5</f>
        <v>38.205</v>
      </c>
      <c r="V1158" s="54">
        <v>35</v>
      </c>
      <c r="W1158" s="54">
        <f>STOCK[[#This Row],[Precio Final]]-STOCK[[#This Row],[Costo total]]</f>
        <v>9.53</v>
      </c>
      <c r="X1158" s="54">
        <f>STOCK[[#This Row],[Ganancia Unitaria]]*STOCK[[#This Row],[Salidas]]</f>
        <v>28.59</v>
      </c>
      <c r="Y1158" s="54" t="s">
        <v>2452</v>
      </c>
      <c r="Z1158" s="54"/>
      <c r="AA1158" s="54">
        <f>STOCK[[#This Row],[Costo total]]*STOCK[[#This Row],[Entradas]]</f>
        <v>76.41</v>
      </c>
      <c r="AB1158" s="54">
        <f>STOCK[[#This Row],[Stock Actual]]*STOCK[[#This Row],[Costo total]]</f>
        <v>0</v>
      </c>
      <c r="AC1158" s="54"/>
    </row>
    <row r="1159" s="54" customFormat="1" ht="50" customHeight="1" spans="1:29">
      <c r="A1159" s="53" t="s">
        <v>2457</v>
      </c>
      <c r="B1159" s="66"/>
      <c r="C1159" s="53" t="s">
        <v>32</v>
      </c>
      <c r="D1159" s="53" t="s">
        <v>1482</v>
      </c>
      <c r="E1159" s="67" t="s">
        <v>2456</v>
      </c>
      <c r="F1159" s="53" t="s">
        <v>766</v>
      </c>
      <c r="G1159" s="53" t="s">
        <v>2451</v>
      </c>
      <c r="H1159" s="53">
        <f>STOCK[[#This Row],[Precio Final]]</f>
        <v>35</v>
      </c>
      <c r="I1159" s="53">
        <f>STOCK[[#This Row],[Precio Venta Ideal (x1.5)]]</f>
        <v>38.205</v>
      </c>
      <c r="J1159" s="71">
        <v>2</v>
      </c>
      <c r="K1159" s="71">
        <f>SUMIFS(VENTAS[Cantidad],VENTAS[Código del producto Vendido],STOCK[[#This Row],[Code]])</f>
        <v>2</v>
      </c>
      <c r="L1159" s="71">
        <f>STOCK[[#This Row],[Entradas]]-STOCK[[#This Row],[Salidas]]</f>
        <v>0</v>
      </c>
      <c r="M1159" s="53">
        <f>STOCK[[#This Row],[Precio Final]]*10%</f>
        <v>3.5</v>
      </c>
      <c r="N1159" s="53">
        <v>0</v>
      </c>
      <c r="O1159" s="53">
        <v>0</v>
      </c>
      <c r="P1159" s="53">
        <v>20</v>
      </c>
      <c r="Q1159" s="71">
        <v>540</v>
      </c>
      <c r="R1159" s="53">
        <v>7.81</v>
      </c>
      <c r="S1159" s="53">
        <v>1.97</v>
      </c>
      <c r="T1159" s="53">
        <f>STOCK[[#This Row],[Costo Unitario (USD)]]+STOCK[[#This Row],[Costo Envío (USD)]]+STOCK[[#This Row],[Comisión 10%]]</f>
        <v>25.47</v>
      </c>
      <c r="U1159" s="53">
        <f>STOCK[[#This Row],[Costo total]]*1.5</f>
        <v>38.205</v>
      </c>
      <c r="V1159" s="53">
        <v>35</v>
      </c>
      <c r="W1159" s="53">
        <f>STOCK[[#This Row],[Precio Final]]-STOCK[[#This Row],[Costo total]]</f>
        <v>9.53</v>
      </c>
      <c r="X1159" s="53">
        <f>STOCK[[#This Row],[Ganancia Unitaria]]*STOCK[[#This Row],[Salidas]]</f>
        <v>19.06</v>
      </c>
      <c r="Y1159" s="53" t="s">
        <v>2452</v>
      </c>
      <c r="Z1159" s="53"/>
      <c r="AA1159" s="54">
        <f>STOCK[[#This Row],[Costo total]]*STOCK[[#This Row],[Entradas]]</f>
        <v>50.94</v>
      </c>
      <c r="AB1159" s="54">
        <f>STOCK[[#This Row],[Stock Actual]]*STOCK[[#This Row],[Costo total]]</f>
        <v>0</v>
      </c>
      <c r="AC1159" s="53"/>
    </row>
    <row r="1160" s="53" customFormat="1" ht="50" customHeight="1" spans="1:29">
      <c r="A1160" s="54" t="s">
        <v>2458</v>
      </c>
      <c r="B1160" s="66"/>
      <c r="C1160" s="54" t="s">
        <v>32</v>
      </c>
      <c r="D1160" s="53" t="s">
        <v>1482</v>
      </c>
      <c r="E1160" s="68" t="s">
        <v>2456</v>
      </c>
      <c r="F1160" s="54" t="s">
        <v>517</v>
      </c>
      <c r="G1160" s="54" t="s">
        <v>2451</v>
      </c>
      <c r="H1160" s="54">
        <f>STOCK[[#This Row],[Precio Final]]</f>
        <v>35</v>
      </c>
      <c r="I1160" s="54">
        <f>STOCK[[#This Row],[Precio Venta Ideal (x1.5)]]</f>
        <v>38.205</v>
      </c>
      <c r="J1160" s="72">
        <v>2</v>
      </c>
      <c r="K1160" s="72">
        <f>SUMIFS(VENTAS[Cantidad],VENTAS[Código del producto Vendido],STOCK[[#This Row],[Code]])</f>
        <v>2</v>
      </c>
      <c r="L1160" s="72">
        <f>STOCK[[#This Row],[Entradas]]-STOCK[[#This Row],[Salidas]]</f>
        <v>0</v>
      </c>
      <c r="M1160" s="54">
        <f>STOCK[[#This Row],[Precio Final]]*10%</f>
        <v>3.5</v>
      </c>
      <c r="N1160" s="54">
        <v>0</v>
      </c>
      <c r="O1160" s="54">
        <v>0</v>
      </c>
      <c r="P1160" s="54">
        <v>20</v>
      </c>
      <c r="Q1160" s="72">
        <v>540</v>
      </c>
      <c r="R1160" s="54">
        <v>7.81</v>
      </c>
      <c r="S1160" s="53">
        <v>1.97</v>
      </c>
      <c r="T1160" s="53">
        <f>STOCK[[#This Row],[Costo Unitario (USD)]]+STOCK[[#This Row],[Costo Envío (USD)]]+STOCK[[#This Row],[Comisión 10%]]</f>
        <v>25.47</v>
      </c>
      <c r="U1160" s="54">
        <f>STOCK[[#This Row],[Costo total]]*1.5</f>
        <v>38.205</v>
      </c>
      <c r="V1160" s="54">
        <v>35</v>
      </c>
      <c r="W1160" s="54">
        <f>STOCK[[#This Row],[Precio Final]]-STOCK[[#This Row],[Costo total]]</f>
        <v>9.53</v>
      </c>
      <c r="X1160" s="54">
        <f>STOCK[[#This Row],[Ganancia Unitaria]]*STOCK[[#This Row],[Salidas]]</f>
        <v>19.06</v>
      </c>
      <c r="Y1160" s="54" t="s">
        <v>2452</v>
      </c>
      <c r="Z1160" s="54"/>
      <c r="AA1160" s="54">
        <f>STOCK[[#This Row],[Costo total]]*STOCK[[#This Row],[Entradas]]</f>
        <v>50.94</v>
      </c>
      <c r="AB1160" s="54">
        <f>STOCK[[#This Row],[Stock Actual]]*STOCK[[#This Row],[Costo total]]</f>
        <v>0</v>
      </c>
      <c r="AC1160" s="54"/>
    </row>
    <row r="1161" s="54" customFormat="1" ht="50" customHeight="1" spans="1:29">
      <c r="A1161" s="53" t="s">
        <v>2459</v>
      </c>
      <c r="B1161" s="66"/>
      <c r="C1161" s="53" t="s">
        <v>32</v>
      </c>
      <c r="D1161" s="53" t="s">
        <v>1482</v>
      </c>
      <c r="E1161" s="67" t="s">
        <v>2456</v>
      </c>
      <c r="F1161" s="53" t="s">
        <v>764</v>
      </c>
      <c r="G1161" s="53" t="s">
        <v>2451</v>
      </c>
      <c r="H1161" s="53">
        <f>STOCK[[#This Row],[Precio Final]]</f>
        <v>35</v>
      </c>
      <c r="I1161" s="53">
        <f>STOCK[[#This Row],[Precio Venta Ideal (x1.5)]]</f>
        <v>38.205</v>
      </c>
      <c r="J1161" s="71">
        <v>2</v>
      </c>
      <c r="K1161" s="71">
        <f>SUMIFS(VENTAS[Cantidad],VENTAS[Código del producto Vendido],STOCK[[#This Row],[Code]])</f>
        <v>2</v>
      </c>
      <c r="L1161" s="71">
        <f>STOCK[[#This Row],[Entradas]]-STOCK[[#This Row],[Salidas]]</f>
        <v>0</v>
      </c>
      <c r="M1161" s="53">
        <f>STOCK[[#This Row],[Precio Final]]*10%</f>
        <v>3.5</v>
      </c>
      <c r="N1161" s="53">
        <v>0</v>
      </c>
      <c r="O1161" s="53">
        <v>0</v>
      </c>
      <c r="P1161" s="53">
        <v>20</v>
      </c>
      <c r="Q1161" s="71">
        <v>540</v>
      </c>
      <c r="R1161" s="53">
        <v>7.81</v>
      </c>
      <c r="S1161" s="53">
        <v>1.97</v>
      </c>
      <c r="T1161" s="53">
        <f>STOCK[[#This Row],[Costo Unitario (USD)]]+STOCK[[#This Row],[Costo Envío (USD)]]+STOCK[[#This Row],[Comisión 10%]]</f>
        <v>25.47</v>
      </c>
      <c r="U1161" s="53">
        <f>STOCK[[#This Row],[Costo total]]*1.5</f>
        <v>38.205</v>
      </c>
      <c r="V1161" s="53">
        <v>35</v>
      </c>
      <c r="W1161" s="53">
        <f>STOCK[[#This Row],[Precio Final]]-STOCK[[#This Row],[Costo total]]</f>
        <v>9.53</v>
      </c>
      <c r="X1161" s="53">
        <f>STOCK[[#This Row],[Ganancia Unitaria]]*STOCK[[#This Row],[Salidas]]</f>
        <v>19.06</v>
      </c>
      <c r="Y1161" s="53" t="s">
        <v>2452</v>
      </c>
      <c r="Z1161" s="53"/>
      <c r="AA1161" s="54">
        <f>STOCK[[#This Row],[Costo total]]*STOCK[[#This Row],[Entradas]]</f>
        <v>50.94</v>
      </c>
      <c r="AB1161" s="54">
        <f>STOCK[[#This Row],[Stock Actual]]*STOCK[[#This Row],[Costo total]]</f>
        <v>0</v>
      </c>
      <c r="AC1161" s="53"/>
    </row>
    <row r="1162" s="53" customFormat="1" ht="50" customHeight="1" spans="1:28">
      <c r="A1162" s="53" t="s">
        <v>2460</v>
      </c>
      <c r="B1162" s="66"/>
      <c r="C1162" s="53" t="s">
        <v>32</v>
      </c>
      <c r="D1162" s="53" t="s">
        <v>1482</v>
      </c>
      <c r="E1162" s="67" t="s">
        <v>2461</v>
      </c>
      <c r="F1162" s="53" t="s">
        <v>764</v>
      </c>
      <c r="G1162" s="53" t="s">
        <v>2451</v>
      </c>
      <c r="H1162" s="53">
        <f>STOCK[[#This Row],[Precio Final]]</f>
        <v>45</v>
      </c>
      <c r="I1162" s="53">
        <f>STOCK[[#This Row],[Precio Venta Ideal (x1.5)]]</f>
        <v>43.455</v>
      </c>
      <c r="J1162" s="71">
        <v>2</v>
      </c>
      <c r="K1162" s="71">
        <f>SUMIFS(VENTAS[Cantidad],VENTAS[Código del producto Vendido],STOCK[[#This Row],[Code]])</f>
        <v>0</v>
      </c>
      <c r="L1162" s="71">
        <f>STOCK[[#This Row],[Entradas]]-STOCK[[#This Row],[Salidas]]</f>
        <v>2</v>
      </c>
      <c r="M1162" s="53">
        <f>STOCK[[#This Row],[Precio Final]]*10%</f>
        <v>4.5</v>
      </c>
      <c r="N1162" s="53">
        <v>0</v>
      </c>
      <c r="O1162" s="53">
        <v>0</v>
      </c>
      <c r="P1162" s="53">
        <v>22.5</v>
      </c>
      <c r="Q1162" s="71">
        <v>0</v>
      </c>
      <c r="R1162" s="53">
        <v>7.81</v>
      </c>
      <c r="S1162" s="53">
        <v>1.97</v>
      </c>
      <c r="T1162" s="53">
        <f>STOCK[[#This Row],[Costo Unitario (USD)]]+STOCK[[#This Row],[Costo Envío (USD)]]+STOCK[[#This Row],[Comisión 10%]]</f>
        <v>28.97</v>
      </c>
      <c r="U1162" s="53">
        <f>STOCK[[#This Row],[Costo total]]*1.5</f>
        <v>43.455</v>
      </c>
      <c r="V1162" s="53">
        <v>45</v>
      </c>
      <c r="W1162" s="53">
        <f>STOCK[[#This Row],[Precio Final]]-STOCK[[#This Row],[Costo total]]</f>
        <v>16.03</v>
      </c>
      <c r="X1162" s="53">
        <f>STOCK[[#This Row],[Ganancia Unitaria]]*STOCK[[#This Row],[Salidas]]</f>
        <v>0</v>
      </c>
      <c r="Y1162" s="53" t="s">
        <v>2452</v>
      </c>
      <c r="AA1162" s="54">
        <f>STOCK[[#This Row],[Costo total]]*STOCK[[#This Row],[Entradas]]</f>
        <v>57.94</v>
      </c>
      <c r="AB1162" s="54">
        <f>STOCK[[#This Row],[Stock Actual]]*STOCK[[#This Row],[Costo total]]</f>
        <v>57.94</v>
      </c>
    </row>
    <row r="1163" s="54" customFormat="1" ht="50" customHeight="1" spans="1:28">
      <c r="A1163" s="54" t="s">
        <v>2462</v>
      </c>
      <c r="B1163" s="66"/>
      <c r="C1163" s="54" t="s">
        <v>32</v>
      </c>
      <c r="D1163" s="53" t="s">
        <v>1482</v>
      </c>
      <c r="E1163" s="68" t="s">
        <v>2461</v>
      </c>
      <c r="F1163" s="54" t="s">
        <v>759</v>
      </c>
      <c r="G1163" s="54" t="s">
        <v>2451</v>
      </c>
      <c r="H1163" s="54">
        <f>STOCK[[#This Row],[Precio Final]]</f>
        <v>45</v>
      </c>
      <c r="I1163" s="54">
        <f>STOCK[[#This Row],[Precio Venta Ideal (x1.5)]]</f>
        <v>43.455</v>
      </c>
      <c r="J1163" s="72">
        <v>2</v>
      </c>
      <c r="K1163" s="72">
        <f>SUMIFS(VENTAS[Cantidad],VENTAS[Código del producto Vendido],STOCK[[#This Row],[Code]])</f>
        <v>0</v>
      </c>
      <c r="L1163" s="72">
        <f>STOCK[[#This Row],[Entradas]]-STOCK[[#This Row],[Salidas]]</f>
        <v>2</v>
      </c>
      <c r="M1163" s="54">
        <f>STOCK[[#This Row],[Precio Final]]*10%</f>
        <v>4.5</v>
      </c>
      <c r="N1163" s="54">
        <v>0</v>
      </c>
      <c r="O1163" s="54">
        <v>0</v>
      </c>
      <c r="P1163" s="54">
        <v>22.5</v>
      </c>
      <c r="Q1163" s="72">
        <v>0</v>
      </c>
      <c r="R1163" s="54">
        <v>7.81</v>
      </c>
      <c r="S1163" s="53">
        <v>1.97</v>
      </c>
      <c r="T1163" s="53">
        <f>STOCK[[#This Row],[Costo Unitario (USD)]]+STOCK[[#This Row],[Costo Envío (USD)]]+STOCK[[#This Row],[Comisión 10%]]</f>
        <v>28.97</v>
      </c>
      <c r="U1163" s="54">
        <f>STOCK[[#This Row],[Costo total]]*1.5</f>
        <v>43.455</v>
      </c>
      <c r="V1163" s="54">
        <v>45</v>
      </c>
      <c r="W1163" s="54">
        <f>STOCK[[#This Row],[Precio Final]]-STOCK[[#This Row],[Costo total]]</f>
        <v>16.03</v>
      </c>
      <c r="X1163" s="54">
        <f>STOCK[[#This Row],[Ganancia Unitaria]]*STOCK[[#This Row],[Salidas]]</f>
        <v>0</v>
      </c>
      <c r="Y1163" s="54" t="s">
        <v>2452</v>
      </c>
      <c r="AA1163" s="54">
        <f>STOCK[[#This Row],[Costo total]]*STOCK[[#This Row],[Entradas]]</f>
        <v>57.94</v>
      </c>
      <c r="AB1163" s="54">
        <f>STOCK[[#This Row],[Stock Actual]]*STOCK[[#This Row],[Costo total]]</f>
        <v>57.94</v>
      </c>
    </row>
    <row r="1164" s="53" customFormat="1" ht="50" customHeight="1" spans="1:28">
      <c r="A1164" s="53" t="s">
        <v>2463</v>
      </c>
      <c r="B1164" s="66"/>
      <c r="C1164" s="53" t="s">
        <v>32</v>
      </c>
      <c r="D1164" s="53" t="s">
        <v>1482</v>
      </c>
      <c r="E1164" s="67" t="s">
        <v>2464</v>
      </c>
      <c r="F1164" s="53" t="s">
        <v>764</v>
      </c>
      <c r="G1164" s="53" t="s">
        <v>2451</v>
      </c>
      <c r="H1164" s="53">
        <f>STOCK[[#This Row],[Precio Final]]</f>
        <v>35</v>
      </c>
      <c r="I1164" s="53">
        <f>STOCK[[#This Row],[Precio Venta Ideal (x1.5)]]</f>
        <v>38.205</v>
      </c>
      <c r="J1164" s="71">
        <v>2</v>
      </c>
      <c r="K1164" s="71">
        <f>SUMIFS(VENTAS[Cantidad],VENTAS[Código del producto Vendido],STOCK[[#This Row],[Code]])</f>
        <v>2</v>
      </c>
      <c r="L1164" s="71">
        <f>STOCK[[#This Row],[Entradas]]-STOCK[[#This Row],[Salidas]]</f>
        <v>0</v>
      </c>
      <c r="M1164" s="53">
        <f>STOCK[[#This Row],[Precio Final]]*10%</f>
        <v>3.5</v>
      </c>
      <c r="N1164" s="53">
        <v>0</v>
      </c>
      <c r="O1164" s="53">
        <v>0</v>
      </c>
      <c r="P1164" s="53">
        <v>20</v>
      </c>
      <c r="Q1164" s="71">
        <v>0</v>
      </c>
      <c r="R1164" s="53">
        <v>7.81</v>
      </c>
      <c r="S1164" s="53">
        <v>1.97</v>
      </c>
      <c r="T1164" s="53">
        <f>STOCK[[#This Row],[Costo Unitario (USD)]]+STOCK[[#This Row],[Costo Envío (USD)]]+STOCK[[#This Row],[Comisión 10%]]</f>
        <v>25.47</v>
      </c>
      <c r="U1164" s="53">
        <f>STOCK[[#This Row],[Costo total]]*1.5</f>
        <v>38.205</v>
      </c>
      <c r="V1164" s="53">
        <v>35</v>
      </c>
      <c r="W1164" s="53">
        <f>STOCK[[#This Row],[Precio Final]]-STOCK[[#This Row],[Costo total]]</f>
        <v>9.53</v>
      </c>
      <c r="X1164" s="53">
        <f>STOCK[[#This Row],[Ganancia Unitaria]]*STOCK[[#This Row],[Salidas]]</f>
        <v>19.06</v>
      </c>
      <c r="Y1164" s="53" t="s">
        <v>2452</v>
      </c>
      <c r="AA1164" s="54">
        <f>STOCK[[#This Row],[Costo total]]*STOCK[[#This Row],[Entradas]]</f>
        <v>50.94</v>
      </c>
      <c r="AB1164" s="54">
        <f>STOCK[[#This Row],[Stock Actual]]*STOCK[[#This Row],[Costo total]]</f>
        <v>0</v>
      </c>
    </row>
    <row r="1165" s="54" customFormat="1" ht="50" customHeight="1" spans="1:28">
      <c r="A1165" s="54" t="s">
        <v>2465</v>
      </c>
      <c r="B1165" s="66"/>
      <c r="C1165" s="54" t="s">
        <v>32</v>
      </c>
      <c r="D1165" s="53" t="s">
        <v>1482</v>
      </c>
      <c r="E1165" s="68" t="s">
        <v>2464</v>
      </c>
      <c r="F1165" s="54" t="s">
        <v>517</v>
      </c>
      <c r="G1165" s="54" t="s">
        <v>2451</v>
      </c>
      <c r="H1165" s="54">
        <f>STOCK[[#This Row],[Precio Final]]</f>
        <v>35</v>
      </c>
      <c r="I1165" s="54">
        <f>STOCK[[#This Row],[Precio Venta Ideal (x1.5)]]</f>
        <v>38.205</v>
      </c>
      <c r="J1165" s="72">
        <v>2</v>
      </c>
      <c r="K1165" s="72">
        <f>SUMIFS(VENTAS[Cantidad],VENTAS[Código del producto Vendido],STOCK[[#This Row],[Code]])</f>
        <v>2</v>
      </c>
      <c r="L1165" s="72">
        <f>STOCK[[#This Row],[Entradas]]-STOCK[[#This Row],[Salidas]]</f>
        <v>0</v>
      </c>
      <c r="M1165" s="54">
        <f>STOCK[[#This Row],[Precio Final]]*10%</f>
        <v>3.5</v>
      </c>
      <c r="N1165" s="54">
        <v>0</v>
      </c>
      <c r="O1165" s="54">
        <v>0</v>
      </c>
      <c r="P1165" s="54">
        <v>20</v>
      </c>
      <c r="Q1165" s="72">
        <v>0</v>
      </c>
      <c r="R1165" s="54">
        <v>7.81</v>
      </c>
      <c r="S1165" s="54">
        <v>1.97</v>
      </c>
      <c r="T1165" s="53">
        <f>STOCK[[#This Row],[Costo Unitario (USD)]]+STOCK[[#This Row],[Costo Envío (USD)]]+STOCK[[#This Row],[Comisión 10%]]</f>
        <v>25.47</v>
      </c>
      <c r="U1165" s="54">
        <f>STOCK[[#This Row],[Costo total]]*1.5</f>
        <v>38.205</v>
      </c>
      <c r="V1165" s="54">
        <v>35</v>
      </c>
      <c r="W1165" s="54">
        <f>STOCK[[#This Row],[Precio Final]]-STOCK[[#This Row],[Costo total]]</f>
        <v>9.53</v>
      </c>
      <c r="X1165" s="54">
        <f>STOCK[[#This Row],[Ganancia Unitaria]]*STOCK[[#This Row],[Salidas]]</f>
        <v>19.06</v>
      </c>
      <c r="Y1165" s="54" t="s">
        <v>2452</v>
      </c>
      <c r="AA1165" s="54">
        <f>STOCK[[#This Row],[Costo total]]*STOCK[[#This Row],[Entradas]]</f>
        <v>50.94</v>
      </c>
      <c r="AB1165" s="54">
        <f>STOCK[[#This Row],[Stock Actual]]*STOCK[[#This Row],[Costo total]]</f>
        <v>0</v>
      </c>
    </row>
    <row r="1166" s="53" customFormat="1" ht="50" customHeight="1" spans="1:28">
      <c r="A1166" s="53" t="s">
        <v>2466</v>
      </c>
      <c r="B1166" s="66"/>
      <c r="C1166" s="53" t="s">
        <v>32</v>
      </c>
      <c r="D1166" s="53" t="s">
        <v>1482</v>
      </c>
      <c r="E1166" s="67" t="s">
        <v>2464</v>
      </c>
      <c r="F1166" s="53" t="s">
        <v>540</v>
      </c>
      <c r="G1166" s="53" t="s">
        <v>2451</v>
      </c>
      <c r="H1166" s="53">
        <f>STOCK[[#This Row],[Precio Final]]</f>
        <v>35</v>
      </c>
      <c r="I1166" s="53">
        <f>STOCK[[#This Row],[Precio Venta Ideal (x1.5)]]</f>
        <v>38.205</v>
      </c>
      <c r="J1166" s="71">
        <v>2</v>
      </c>
      <c r="K1166" s="71">
        <f>SUMIFS(VENTAS[Cantidad],VENTAS[Código del producto Vendido],STOCK[[#This Row],[Code]])</f>
        <v>2</v>
      </c>
      <c r="L1166" s="71">
        <f>STOCK[[#This Row],[Entradas]]-STOCK[[#This Row],[Salidas]]</f>
        <v>0</v>
      </c>
      <c r="M1166" s="53">
        <f>STOCK[[#This Row],[Precio Final]]*10%</f>
        <v>3.5</v>
      </c>
      <c r="N1166" s="53">
        <v>0</v>
      </c>
      <c r="O1166" s="53">
        <v>0</v>
      </c>
      <c r="P1166" s="53">
        <v>20</v>
      </c>
      <c r="Q1166" s="71">
        <v>0</v>
      </c>
      <c r="R1166" s="53">
        <v>7.81</v>
      </c>
      <c r="S1166" s="53">
        <v>1.97</v>
      </c>
      <c r="T1166" s="53">
        <f>STOCK[[#This Row],[Costo Unitario (USD)]]+STOCK[[#This Row],[Costo Envío (USD)]]+STOCK[[#This Row],[Comisión 10%]]</f>
        <v>25.47</v>
      </c>
      <c r="U1166" s="53">
        <f>STOCK[[#This Row],[Costo total]]*1.5</f>
        <v>38.205</v>
      </c>
      <c r="V1166" s="53">
        <v>35</v>
      </c>
      <c r="W1166" s="53">
        <f>STOCK[[#This Row],[Precio Final]]-STOCK[[#This Row],[Costo total]]</f>
        <v>9.53</v>
      </c>
      <c r="X1166" s="53">
        <f>STOCK[[#This Row],[Ganancia Unitaria]]*STOCK[[#This Row],[Salidas]]</f>
        <v>19.06</v>
      </c>
      <c r="Y1166" s="53" t="s">
        <v>2452</v>
      </c>
      <c r="AA1166" s="54">
        <f>STOCK[[#This Row],[Costo total]]*STOCK[[#This Row],[Entradas]]</f>
        <v>50.94</v>
      </c>
      <c r="AB1166" s="54">
        <f>STOCK[[#This Row],[Stock Actual]]*STOCK[[#This Row],[Costo total]]</f>
        <v>0</v>
      </c>
    </row>
    <row r="1167" s="54" customFormat="1" ht="50" customHeight="1" spans="1:28">
      <c r="A1167" s="54" t="s">
        <v>2467</v>
      </c>
      <c r="B1167" s="66"/>
      <c r="C1167" s="54" t="s">
        <v>32</v>
      </c>
      <c r="D1167" s="53" t="s">
        <v>1482</v>
      </c>
      <c r="E1167" s="68" t="s">
        <v>2464</v>
      </c>
      <c r="F1167" s="54" t="s">
        <v>766</v>
      </c>
      <c r="G1167" s="54" t="s">
        <v>2451</v>
      </c>
      <c r="H1167" s="54">
        <f>STOCK[[#This Row],[Precio Final]]</f>
        <v>35</v>
      </c>
      <c r="I1167" s="54">
        <f>STOCK[[#This Row],[Precio Venta Ideal (x1.5)]]</f>
        <v>38.205</v>
      </c>
      <c r="J1167" s="72">
        <v>2</v>
      </c>
      <c r="K1167" s="72">
        <f>SUMIFS(VENTAS[Cantidad],VENTAS[Código del producto Vendido],STOCK[[#This Row],[Code]])</f>
        <v>2</v>
      </c>
      <c r="L1167" s="72">
        <f>STOCK[[#This Row],[Entradas]]-STOCK[[#This Row],[Salidas]]</f>
        <v>0</v>
      </c>
      <c r="M1167" s="54">
        <f>STOCK[[#This Row],[Precio Final]]*10%</f>
        <v>3.5</v>
      </c>
      <c r="N1167" s="54">
        <v>0</v>
      </c>
      <c r="O1167" s="54">
        <v>0</v>
      </c>
      <c r="P1167" s="54">
        <v>20</v>
      </c>
      <c r="Q1167" s="72">
        <v>0</v>
      </c>
      <c r="R1167" s="54">
        <v>7.81</v>
      </c>
      <c r="S1167" s="54">
        <v>1.97</v>
      </c>
      <c r="T1167" s="53">
        <f>STOCK[[#This Row],[Costo Unitario (USD)]]+STOCK[[#This Row],[Costo Envío (USD)]]+STOCK[[#This Row],[Comisión 10%]]</f>
        <v>25.47</v>
      </c>
      <c r="U1167" s="54">
        <f>STOCK[[#This Row],[Costo total]]*1.5</f>
        <v>38.205</v>
      </c>
      <c r="V1167" s="54">
        <v>35</v>
      </c>
      <c r="W1167" s="54">
        <f>STOCK[[#This Row],[Precio Final]]-STOCK[[#This Row],[Costo total]]</f>
        <v>9.53</v>
      </c>
      <c r="X1167" s="54">
        <f>STOCK[[#This Row],[Ganancia Unitaria]]*STOCK[[#This Row],[Salidas]]</f>
        <v>19.06</v>
      </c>
      <c r="Y1167" s="54" t="s">
        <v>2452</v>
      </c>
      <c r="AA1167" s="54">
        <f>STOCK[[#This Row],[Costo total]]*STOCK[[#This Row],[Entradas]]</f>
        <v>50.94</v>
      </c>
      <c r="AB1167" s="54">
        <f>STOCK[[#This Row],[Stock Actual]]*STOCK[[#This Row],[Costo total]]</f>
        <v>0</v>
      </c>
    </row>
    <row r="1168" s="53" customFormat="1" ht="50" customHeight="1" spans="1:28">
      <c r="A1168" s="53" t="s">
        <v>2468</v>
      </c>
      <c r="B1168" s="66"/>
      <c r="C1168" s="53" t="s">
        <v>32</v>
      </c>
      <c r="D1168" s="53" t="s">
        <v>1482</v>
      </c>
      <c r="E1168" s="67" t="s">
        <v>2469</v>
      </c>
      <c r="F1168" s="53" t="s">
        <v>766</v>
      </c>
      <c r="G1168" s="53" t="s">
        <v>2451</v>
      </c>
      <c r="H1168" s="53">
        <f>STOCK[[#This Row],[Precio Final]]</f>
        <v>40</v>
      </c>
      <c r="I1168" s="53">
        <f>STOCK[[#This Row],[Precio Venta Ideal (x1.5)]]</f>
        <v>35.13105</v>
      </c>
      <c r="J1168" s="71">
        <v>1</v>
      </c>
      <c r="K1168" s="71">
        <f>SUMIFS(VENTAS[Cantidad],VENTAS[Código del producto Vendido],STOCK[[#This Row],[Code]])</f>
        <v>0</v>
      </c>
      <c r="L1168" s="71">
        <f>STOCK[[#This Row],[Entradas]]-STOCK[[#This Row],[Salidas]]</f>
        <v>1</v>
      </c>
      <c r="M1168" s="53">
        <f>STOCK[[#This Row],[Precio Final]]*10%</f>
        <v>4</v>
      </c>
      <c r="N1168" s="53">
        <v>0</v>
      </c>
      <c r="O1168" s="53">
        <v>0</v>
      </c>
      <c r="P1168" s="53">
        <v>15.75</v>
      </c>
      <c r="Q1168" s="71">
        <v>470</v>
      </c>
      <c r="R1168" s="53">
        <v>7.81</v>
      </c>
      <c r="S1168" s="53">
        <v>3.6707</v>
      </c>
      <c r="T1168" s="53">
        <f>STOCK[[#This Row],[Costo Unitario (USD)]]+STOCK[[#This Row],[Costo Envío (USD)]]+STOCK[[#This Row],[Comisión 10%]]</f>
        <v>23.4207</v>
      </c>
      <c r="U1168" s="53">
        <f>STOCK[[#This Row],[Costo total]]*1.5</f>
        <v>35.13105</v>
      </c>
      <c r="V1168" s="53">
        <v>40</v>
      </c>
      <c r="W1168" s="53">
        <f>STOCK[[#This Row],[Precio Final]]-STOCK[[#This Row],[Costo total]]</f>
        <v>16.5793</v>
      </c>
      <c r="X1168" s="53">
        <f>STOCK[[#This Row],[Ganancia Unitaria]]*STOCK[[#This Row],[Salidas]]</f>
        <v>0</v>
      </c>
      <c r="Y1168" s="53" t="s">
        <v>2452</v>
      </c>
      <c r="AA1168" s="54">
        <f>STOCK[[#This Row],[Costo total]]*STOCK[[#This Row],[Entradas]]</f>
        <v>23.4207</v>
      </c>
      <c r="AB1168" s="54">
        <f>STOCK[[#This Row],[Stock Actual]]*STOCK[[#This Row],[Costo total]]</f>
        <v>23.4207</v>
      </c>
    </row>
    <row r="1169" s="54" customFormat="1" ht="50" customHeight="1" spans="1:28">
      <c r="A1169" s="54" t="s">
        <v>2470</v>
      </c>
      <c r="B1169" s="66"/>
      <c r="C1169" s="54" t="s">
        <v>32</v>
      </c>
      <c r="D1169" s="53" t="s">
        <v>1482</v>
      </c>
      <c r="E1169" s="68" t="s">
        <v>2471</v>
      </c>
      <c r="F1169" s="54" t="s">
        <v>766</v>
      </c>
      <c r="G1169" s="54" t="s">
        <v>2451</v>
      </c>
      <c r="H1169" s="54">
        <f>STOCK[[#This Row],[Precio Final]]</f>
        <v>35</v>
      </c>
      <c r="I1169" s="54">
        <f>STOCK[[#This Row],[Precio Venta Ideal (x1.5)]]</f>
        <v>36.947475</v>
      </c>
      <c r="J1169" s="72">
        <v>1</v>
      </c>
      <c r="K1169" s="72">
        <f>SUMIFS(VENTAS[Cantidad],VENTAS[Código del producto Vendido],STOCK[[#This Row],[Code]])</f>
        <v>1</v>
      </c>
      <c r="L1169" s="72">
        <f>STOCK[[#This Row],[Entradas]]-STOCK[[#This Row],[Salidas]]</f>
        <v>0</v>
      </c>
      <c r="M1169" s="54">
        <f>STOCK[[#This Row],[Precio Final]]*10%</f>
        <v>3.5</v>
      </c>
      <c r="N1169" s="54">
        <v>0</v>
      </c>
      <c r="O1169" s="54">
        <v>0</v>
      </c>
      <c r="P1169" s="54">
        <v>17.5</v>
      </c>
      <c r="Q1169" s="72">
        <v>465</v>
      </c>
      <c r="R1169" s="54">
        <v>7.81</v>
      </c>
      <c r="S1169" s="54">
        <v>3.63165</v>
      </c>
      <c r="T1169" s="53">
        <f>STOCK[[#This Row],[Costo Unitario (USD)]]+STOCK[[#This Row],[Costo Envío (USD)]]+STOCK[[#This Row],[Comisión 10%]]</f>
        <v>24.63165</v>
      </c>
      <c r="U1169" s="54">
        <f>STOCK[[#This Row],[Costo total]]*1.5</f>
        <v>36.947475</v>
      </c>
      <c r="V1169" s="54">
        <v>35</v>
      </c>
      <c r="W1169" s="54">
        <f>STOCK[[#This Row],[Precio Final]]-STOCK[[#This Row],[Costo total]]</f>
        <v>10.36835</v>
      </c>
      <c r="X1169" s="54">
        <f>STOCK[[#This Row],[Ganancia Unitaria]]*STOCK[[#This Row],[Salidas]]</f>
        <v>10.36835</v>
      </c>
      <c r="Y1169" s="54" t="s">
        <v>2452</v>
      </c>
      <c r="AA1169" s="54">
        <f>STOCK[[#This Row],[Costo total]]*STOCK[[#This Row],[Entradas]]</f>
        <v>24.63165</v>
      </c>
      <c r="AB1169" s="54">
        <f>STOCK[[#This Row],[Stock Actual]]*STOCK[[#This Row],[Costo total]]</f>
        <v>0</v>
      </c>
    </row>
    <row r="1170" s="53" customFormat="1" ht="50" customHeight="1" spans="1:28">
      <c r="A1170" s="53" t="s">
        <v>2472</v>
      </c>
      <c r="B1170" s="66"/>
      <c r="C1170" s="53" t="s">
        <v>32</v>
      </c>
      <c r="D1170" s="53" t="s">
        <v>1482</v>
      </c>
      <c r="E1170" s="67" t="s">
        <v>2471</v>
      </c>
      <c r="F1170" s="53" t="s">
        <v>517</v>
      </c>
      <c r="G1170" s="53" t="s">
        <v>2451</v>
      </c>
      <c r="H1170" s="53">
        <f>STOCK[[#This Row],[Precio Final]]</f>
        <v>35</v>
      </c>
      <c r="I1170" s="53">
        <f>STOCK[[#This Row],[Precio Venta Ideal (x1.5)]]</f>
        <v>36.947475</v>
      </c>
      <c r="J1170" s="71">
        <v>1</v>
      </c>
      <c r="K1170" s="71">
        <f>SUMIFS(VENTAS[Cantidad],VENTAS[Código del producto Vendido],STOCK[[#This Row],[Code]])</f>
        <v>0</v>
      </c>
      <c r="L1170" s="71">
        <f>STOCK[[#This Row],[Entradas]]-STOCK[[#This Row],[Salidas]]</f>
        <v>1</v>
      </c>
      <c r="M1170" s="53">
        <f>STOCK[[#This Row],[Precio Final]]*10%</f>
        <v>3.5</v>
      </c>
      <c r="N1170" s="53">
        <v>0</v>
      </c>
      <c r="O1170" s="53">
        <v>0</v>
      </c>
      <c r="P1170" s="53">
        <v>17.5</v>
      </c>
      <c r="Q1170" s="71">
        <v>465</v>
      </c>
      <c r="R1170" s="53">
        <v>7.81</v>
      </c>
      <c r="S1170" s="53">
        <v>3.63165</v>
      </c>
      <c r="T1170" s="53">
        <f>STOCK[[#This Row],[Costo Unitario (USD)]]+STOCK[[#This Row],[Costo Envío (USD)]]+STOCK[[#This Row],[Comisión 10%]]</f>
        <v>24.63165</v>
      </c>
      <c r="U1170" s="53">
        <f>STOCK[[#This Row],[Costo total]]*1.5</f>
        <v>36.947475</v>
      </c>
      <c r="V1170" s="53">
        <v>35</v>
      </c>
      <c r="W1170" s="53">
        <f>STOCK[[#This Row],[Precio Final]]-STOCK[[#This Row],[Costo total]]</f>
        <v>10.36835</v>
      </c>
      <c r="X1170" s="53">
        <f>STOCK[[#This Row],[Ganancia Unitaria]]*STOCK[[#This Row],[Salidas]]</f>
        <v>0</v>
      </c>
      <c r="Y1170" s="53" t="s">
        <v>2452</v>
      </c>
      <c r="AA1170" s="54">
        <f>STOCK[[#This Row],[Costo total]]*STOCK[[#This Row],[Entradas]]</f>
        <v>24.63165</v>
      </c>
      <c r="AB1170" s="54">
        <f>STOCK[[#This Row],[Stock Actual]]*STOCK[[#This Row],[Costo total]]</f>
        <v>24.63165</v>
      </c>
    </row>
    <row r="1171" s="54" customFormat="1" ht="50" customHeight="1" spans="1:28">
      <c r="A1171" s="54" t="s">
        <v>2473</v>
      </c>
      <c r="B1171" s="66"/>
      <c r="C1171" s="54" t="s">
        <v>32</v>
      </c>
      <c r="D1171" s="53" t="s">
        <v>1482</v>
      </c>
      <c r="E1171" s="68" t="s">
        <v>2474</v>
      </c>
      <c r="F1171" s="54" t="s">
        <v>540</v>
      </c>
      <c r="G1171" s="54" t="s">
        <v>2451</v>
      </c>
      <c r="H1171" s="54">
        <f>STOCK[[#This Row],[Precio Final]]</f>
        <v>30</v>
      </c>
      <c r="I1171" s="54">
        <f>STOCK[[#This Row],[Precio Venta Ideal (x1.5)]]</f>
        <v>50</v>
      </c>
      <c r="J1171" s="72">
        <v>1</v>
      </c>
      <c r="K1171" s="72">
        <f>SUMIFS(VENTAS[Cantidad],VENTAS[Código del producto Vendido],STOCK[[#This Row],[Code]])</f>
        <v>1</v>
      </c>
      <c r="L1171" s="72">
        <f>STOCK[[#This Row],[Entradas]]-STOCK[[#This Row],[Salidas]]</f>
        <v>0</v>
      </c>
      <c r="M1171" s="54">
        <f>STOCK[[#This Row],[Precio Final]]*10%</f>
        <v>3</v>
      </c>
      <c r="N1171" s="54">
        <v>0</v>
      </c>
      <c r="O1171" s="54">
        <v>0</v>
      </c>
      <c r="P1171" s="54">
        <v>27.5</v>
      </c>
      <c r="Q1171" s="72">
        <v>0</v>
      </c>
      <c r="R1171" s="54">
        <v>7.81</v>
      </c>
      <c r="S1171" s="54">
        <v>1.97</v>
      </c>
      <c r="T1171" s="53">
        <f>STOCK[[#This Row],[Costo Unitario (USD)]]+STOCK[[#This Row],[Costo Envío (USD)]]+STOCK[[#This Row],[Comisión 10%]]</f>
        <v>32.47</v>
      </c>
      <c r="U1171" s="54">
        <v>50</v>
      </c>
      <c r="V1171" s="54">
        <v>30</v>
      </c>
      <c r="W1171" s="54">
        <f>STOCK[[#This Row],[Precio Final]]-STOCK[[#This Row],[Costo total]]</f>
        <v>-2.47</v>
      </c>
      <c r="X1171" s="54">
        <f>STOCK[[#This Row],[Ganancia Unitaria]]*STOCK[[#This Row],[Salidas]]</f>
        <v>-2.47</v>
      </c>
      <c r="Y1171" s="54" t="s">
        <v>2452</v>
      </c>
      <c r="AA1171" s="54">
        <f>STOCK[[#This Row],[Costo total]]*STOCK[[#This Row],[Entradas]]</f>
        <v>32.47</v>
      </c>
      <c r="AB1171" s="54">
        <f>STOCK[[#This Row],[Stock Actual]]*STOCK[[#This Row],[Costo total]]</f>
        <v>0</v>
      </c>
    </row>
    <row r="1172" s="53" customFormat="1" ht="50" customHeight="1" spans="1:28">
      <c r="A1172" s="53" t="s">
        <v>2475</v>
      </c>
      <c r="B1172" s="66"/>
      <c r="C1172" s="53" t="s">
        <v>32</v>
      </c>
      <c r="D1172" s="53" t="s">
        <v>1482</v>
      </c>
      <c r="E1172" s="67" t="s">
        <v>2476</v>
      </c>
      <c r="F1172" s="53" t="s">
        <v>766</v>
      </c>
      <c r="G1172" s="53" t="s">
        <v>2451</v>
      </c>
      <c r="H1172" s="53">
        <f>STOCK[[#This Row],[Precio Final]]</f>
        <v>45</v>
      </c>
      <c r="I1172" s="53">
        <f>STOCK[[#This Row],[Precio Venta Ideal (x1.5)]]</f>
        <v>54.67755</v>
      </c>
      <c r="J1172" s="71">
        <v>1</v>
      </c>
      <c r="K1172" s="71">
        <f>SUMIFS(VENTAS[Cantidad],VENTAS[Código del producto Vendido],STOCK[[#This Row],[Code]])</f>
        <v>1</v>
      </c>
      <c r="L1172" s="71">
        <f>STOCK[[#This Row],[Entradas]]-STOCK[[#This Row],[Salidas]]</f>
        <v>0</v>
      </c>
      <c r="M1172" s="53">
        <f>STOCK[[#This Row],[Precio Final]]*10%</f>
        <v>4.5</v>
      </c>
      <c r="N1172" s="53">
        <v>0</v>
      </c>
      <c r="O1172" s="53">
        <v>0</v>
      </c>
      <c r="P1172" s="53">
        <v>27.5</v>
      </c>
      <c r="Q1172" s="71">
        <v>570</v>
      </c>
      <c r="R1172" s="53">
        <v>7.81</v>
      </c>
      <c r="S1172" s="53">
        <v>4.4517</v>
      </c>
      <c r="T1172" s="53">
        <f>STOCK[[#This Row],[Costo Unitario (USD)]]+STOCK[[#This Row],[Costo Envío (USD)]]+STOCK[[#This Row],[Comisión 10%]]</f>
        <v>36.4517</v>
      </c>
      <c r="U1172" s="53">
        <f>STOCK[[#This Row],[Costo total]]*1.5</f>
        <v>54.67755</v>
      </c>
      <c r="V1172" s="53">
        <v>45</v>
      </c>
      <c r="W1172" s="53">
        <f>STOCK[[#This Row],[Precio Final]]-STOCK[[#This Row],[Costo total]]</f>
        <v>8.5483</v>
      </c>
      <c r="X1172" s="53">
        <f>STOCK[[#This Row],[Ganancia Unitaria]]*STOCK[[#This Row],[Salidas]]</f>
        <v>8.5483</v>
      </c>
      <c r="Y1172" s="53" t="s">
        <v>2452</v>
      </c>
      <c r="AA1172" s="54">
        <f>STOCK[[#This Row],[Costo total]]*STOCK[[#This Row],[Entradas]]</f>
        <v>36.4517</v>
      </c>
      <c r="AB1172" s="54">
        <f>STOCK[[#This Row],[Stock Actual]]*STOCK[[#This Row],[Costo total]]</f>
        <v>0</v>
      </c>
    </row>
    <row r="1173" s="54" customFormat="1" ht="50" customHeight="1" spans="1:28">
      <c r="A1173" s="54" t="s">
        <v>2477</v>
      </c>
      <c r="B1173" s="66"/>
      <c r="C1173" s="54" t="s">
        <v>32</v>
      </c>
      <c r="D1173" s="53" t="s">
        <v>1482</v>
      </c>
      <c r="E1173" s="68" t="s">
        <v>2476</v>
      </c>
      <c r="F1173" s="54" t="s">
        <v>540</v>
      </c>
      <c r="G1173" s="54" t="s">
        <v>2451</v>
      </c>
      <c r="H1173" s="54">
        <f>STOCK[[#This Row],[Precio Final]]</f>
        <v>45</v>
      </c>
      <c r="I1173" s="54">
        <f>STOCK[[#This Row],[Precio Venta Ideal (x1.5)]]</f>
        <v>54.67755</v>
      </c>
      <c r="J1173" s="72">
        <v>2</v>
      </c>
      <c r="K1173" s="72">
        <f>SUMIFS(VENTAS[Cantidad],VENTAS[Código del producto Vendido],STOCK[[#This Row],[Code]])</f>
        <v>2</v>
      </c>
      <c r="L1173" s="72">
        <f>STOCK[[#This Row],[Entradas]]-STOCK[[#This Row],[Salidas]]</f>
        <v>0</v>
      </c>
      <c r="M1173" s="54">
        <f>STOCK[[#This Row],[Precio Final]]*10%</f>
        <v>4.5</v>
      </c>
      <c r="N1173" s="54">
        <v>0</v>
      </c>
      <c r="O1173" s="54">
        <v>0</v>
      </c>
      <c r="P1173" s="54">
        <v>27.5</v>
      </c>
      <c r="Q1173" s="72">
        <v>570</v>
      </c>
      <c r="R1173" s="54">
        <v>7.81</v>
      </c>
      <c r="S1173" s="54">
        <v>4.4517</v>
      </c>
      <c r="T1173" s="53">
        <f>STOCK[[#This Row],[Costo Unitario (USD)]]+STOCK[[#This Row],[Costo Envío (USD)]]+STOCK[[#This Row],[Comisión 10%]]</f>
        <v>36.4517</v>
      </c>
      <c r="U1173" s="54">
        <f>STOCK[[#This Row],[Costo total]]*1.5</f>
        <v>54.67755</v>
      </c>
      <c r="V1173" s="54">
        <v>45</v>
      </c>
      <c r="W1173" s="54">
        <f>STOCK[[#This Row],[Precio Final]]-STOCK[[#This Row],[Costo total]]</f>
        <v>8.5483</v>
      </c>
      <c r="X1173" s="54">
        <f>STOCK[[#This Row],[Ganancia Unitaria]]*STOCK[[#This Row],[Salidas]]</f>
        <v>17.0966</v>
      </c>
      <c r="Y1173" s="54" t="s">
        <v>2452</v>
      </c>
      <c r="AA1173" s="54">
        <f>STOCK[[#This Row],[Costo total]]*STOCK[[#This Row],[Entradas]]</f>
        <v>72.9034</v>
      </c>
      <c r="AB1173" s="54">
        <f>STOCK[[#This Row],[Stock Actual]]*STOCK[[#This Row],[Costo total]]</f>
        <v>0</v>
      </c>
    </row>
    <row r="1174" s="53" customFormat="1" ht="50" customHeight="1" spans="1:28">
      <c r="A1174" s="53" t="s">
        <v>2478</v>
      </c>
      <c r="B1174" s="66"/>
      <c r="C1174" s="53" t="s">
        <v>32</v>
      </c>
      <c r="D1174" s="53" t="s">
        <v>1482</v>
      </c>
      <c r="E1174" s="67" t="s">
        <v>2479</v>
      </c>
      <c r="F1174" s="53" t="s">
        <v>540</v>
      </c>
      <c r="G1174" s="53" t="s">
        <v>2451</v>
      </c>
      <c r="H1174" s="53">
        <f>STOCK[[#This Row],[Precio Final]]</f>
        <v>35</v>
      </c>
      <c r="I1174" s="53">
        <f>STOCK[[#This Row],[Precio Venta Ideal (x1.5)]]</f>
        <v>27.279</v>
      </c>
      <c r="J1174" s="71">
        <v>1</v>
      </c>
      <c r="K1174" s="71">
        <f>SUMIFS(VENTAS[Cantidad],VENTAS[Código del producto Vendido],STOCK[[#This Row],[Code]])</f>
        <v>0</v>
      </c>
      <c r="L1174" s="71">
        <f>STOCK[[#This Row],[Entradas]]-STOCK[[#This Row],[Salidas]]</f>
        <v>1</v>
      </c>
      <c r="M1174" s="53">
        <f>STOCK[[#This Row],[Precio Final]]*10%</f>
        <v>3.5</v>
      </c>
      <c r="N1174" s="53">
        <v>0</v>
      </c>
      <c r="O1174" s="53">
        <v>0</v>
      </c>
      <c r="P1174" s="53">
        <v>10</v>
      </c>
      <c r="Q1174" s="71">
        <v>600</v>
      </c>
      <c r="R1174" s="53">
        <v>7.81</v>
      </c>
      <c r="S1174" s="53">
        <v>4.686</v>
      </c>
      <c r="T1174" s="53">
        <f>STOCK[[#This Row],[Costo Unitario (USD)]]+STOCK[[#This Row],[Costo Envío (USD)]]+STOCK[[#This Row],[Comisión 10%]]</f>
        <v>18.186</v>
      </c>
      <c r="U1174" s="53">
        <f>STOCK[[#This Row],[Costo total]]*1.5</f>
        <v>27.279</v>
      </c>
      <c r="V1174" s="53">
        <v>35</v>
      </c>
      <c r="W1174" s="53">
        <f>STOCK[[#This Row],[Precio Final]]-STOCK[[#This Row],[Costo total]]</f>
        <v>16.814</v>
      </c>
      <c r="X1174" s="53">
        <f>STOCK[[#This Row],[Ganancia Unitaria]]*STOCK[[#This Row],[Salidas]]</f>
        <v>0</v>
      </c>
      <c r="Y1174" s="53" t="s">
        <v>2452</v>
      </c>
      <c r="AA1174" s="54">
        <f>STOCK[[#This Row],[Costo total]]*STOCK[[#This Row],[Entradas]]</f>
        <v>18.186</v>
      </c>
      <c r="AB1174" s="54">
        <f>STOCK[[#This Row],[Stock Actual]]*STOCK[[#This Row],[Costo total]]</f>
        <v>18.186</v>
      </c>
    </row>
    <row r="1175" s="54" customFormat="1" ht="50" customHeight="1" spans="1:28">
      <c r="A1175" s="54" t="s">
        <v>2480</v>
      </c>
      <c r="B1175" s="66"/>
      <c r="C1175" s="54" t="s">
        <v>32</v>
      </c>
      <c r="D1175" s="53" t="s">
        <v>1482</v>
      </c>
      <c r="E1175" s="68" t="s">
        <v>2481</v>
      </c>
      <c r="F1175" s="54" t="s">
        <v>517</v>
      </c>
      <c r="G1175" s="54" t="s">
        <v>2451</v>
      </c>
      <c r="H1175" s="54">
        <f>STOCK[[#This Row],[Precio Final]]</f>
        <v>40</v>
      </c>
      <c r="I1175" s="54">
        <f>STOCK[[#This Row],[Precio Venta Ideal (x1.5)]]</f>
        <v>37.228875</v>
      </c>
      <c r="J1175" s="72">
        <v>1</v>
      </c>
      <c r="K1175" s="72">
        <f>SUMIFS(VENTAS[Cantidad],VENTAS[Código del producto Vendido],STOCK[[#This Row],[Code]])</f>
        <v>1</v>
      </c>
      <c r="L1175" s="72">
        <f>STOCK[[#This Row],[Entradas]]-STOCK[[#This Row],[Salidas]]</f>
        <v>0</v>
      </c>
      <c r="M1175" s="54">
        <f>STOCK[[#This Row],[Precio Final]]*10%</f>
        <v>4</v>
      </c>
      <c r="N1175" s="54">
        <v>0</v>
      </c>
      <c r="O1175" s="54">
        <v>0</v>
      </c>
      <c r="P1175" s="54">
        <v>17.5</v>
      </c>
      <c r="Q1175" s="72">
        <v>425</v>
      </c>
      <c r="R1175" s="54">
        <v>7.81</v>
      </c>
      <c r="S1175" s="54">
        <v>3.31925</v>
      </c>
      <c r="T1175" s="53">
        <f>STOCK[[#This Row],[Costo Unitario (USD)]]+STOCK[[#This Row],[Costo Envío (USD)]]+STOCK[[#This Row],[Comisión 10%]]</f>
        <v>24.81925</v>
      </c>
      <c r="U1175" s="54">
        <f>STOCK[[#This Row],[Costo total]]*1.5</f>
        <v>37.228875</v>
      </c>
      <c r="V1175" s="54">
        <v>40</v>
      </c>
      <c r="W1175" s="54">
        <f>STOCK[[#This Row],[Precio Final]]-STOCK[[#This Row],[Costo total]]</f>
        <v>15.18075</v>
      </c>
      <c r="X1175" s="54">
        <f>STOCK[[#This Row],[Ganancia Unitaria]]*STOCK[[#This Row],[Salidas]]</f>
        <v>15.18075</v>
      </c>
      <c r="Y1175" s="54" t="s">
        <v>2452</v>
      </c>
      <c r="AA1175" s="54">
        <f>STOCK[[#This Row],[Costo total]]*STOCK[[#This Row],[Entradas]]</f>
        <v>24.81925</v>
      </c>
      <c r="AB1175" s="54">
        <f>STOCK[[#This Row],[Stock Actual]]*STOCK[[#This Row],[Costo total]]</f>
        <v>0</v>
      </c>
    </row>
    <row r="1176" s="53" customFormat="1" ht="50" customHeight="1" spans="1:28">
      <c r="A1176" s="53" t="s">
        <v>2482</v>
      </c>
      <c r="B1176" s="66"/>
      <c r="C1176" s="53" t="s">
        <v>32</v>
      </c>
      <c r="D1176" s="53" t="s">
        <v>1482</v>
      </c>
      <c r="E1176" s="67" t="s">
        <v>2481</v>
      </c>
      <c r="F1176" s="53" t="s">
        <v>766</v>
      </c>
      <c r="G1176" s="53" t="s">
        <v>2451</v>
      </c>
      <c r="H1176" s="53">
        <f>STOCK[[#This Row],[Precio Final]]</f>
        <v>40</v>
      </c>
      <c r="I1176" s="53">
        <f>STOCK[[#This Row],[Precio Venta Ideal (x1.5)]]</f>
        <v>37.228875</v>
      </c>
      <c r="J1176" s="71">
        <v>1</v>
      </c>
      <c r="K1176" s="71">
        <f>SUMIFS(VENTAS[Cantidad],VENTAS[Código del producto Vendido],STOCK[[#This Row],[Code]])</f>
        <v>1</v>
      </c>
      <c r="L1176" s="71">
        <f>STOCK[[#This Row],[Entradas]]-STOCK[[#This Row],[Salidas]]</f>
        <v>0</v>
      </c>
      <c r="M1176" s="53">
        <f>STOCK[[#This Row],[Precio Final]]*10%</f>
        <v>4</v>
      </c>
      <c r="N1176" s="53">
        <v>0</v>
      </c>
      <c r="O1176" s="53">
        <v>0</v>
      </c>
      <c r="P1176" s="53">
        <v>17.5</v>
      </c>
      <c r="Q1176" s="71">
        <v>425</v>
      </c>
      <c r="R1176" s="53">
        <v>7.81</v>
      </c>
      <c r="S1176" s="53">
        <v>3.31925</v>
      </c>
      <c r="T1176" s="53">
        <f>STOCK[[#This Row],[Costo Unitario (USD)]]+STOCK[[#This Row],[Costo Envío (USD)]]+STOCK[[#This Row],[Comisión 10%]]</f>
        <v>24.81925</v>
      </c>
      <c r="U1176" s="53">
        <f>STOCK[[#This Row],[Costo total]]*1.5</f>
        <v>37.228875</v>
      </c>
      <c r="V1176" s="53">
        <v>40</v>
      </c>
      <c r="W1176" s="53">
        <f>STOCK[[#This Row],[Precio Final]]-STOCK[[#This Row],[Costo total]]</f>
        <v>15.18075</v>
      </c>
      <c r="X1176" s="53">
        <f>STOCK[[#This Row],[Ganancia Unitaria]]*STOCK[[#This Row],[Salidas]]</f>
        <v>15.18075</v>
      </c>
      <c r="Y1176" s="53" t="s">
        <v>2452</v>
      </c>
      <c r="AA1176" s="54">
        <f>STOCK[[#This Row],[Costo total]]*STOCK[[#This Row],[Entradas]]</f>
        <v>24.81925</v>
      </c>
      <c r="AB1176" s="54">
        <f>STOCK[[#This Row],[Stock Actual]]*STOCK[[#This Row],[Costo total]]</f>
        <v>0</v>
      </c>
    </row>
    <row r="1177" s="54" customFormat="1" ht="50" customHeight="1" spans="1:28">
      <c r="A1177" s="54" t="s">
        <v>2483</v>
      </c>
      <c r="B1177" s="66"/>
      <c r="C1177" s="54" t="s">
        <v>32</v>
      </c>
      <c r="D1177" s="53" t="s">
        <v>1482</v>
      </c>
      <c r="E1177" s="68" t="s">
        <v>2484</v>
      </c>
      <c r="F1177" s="54" t="s">
        <v>540</v>
      </c>
      <c r="G1177" s="54" t="s">
        <v>2451</v>
      </c>
      <c r="H1177" s="54">
        <f>STOCK[[#This Row],[Precio Final]]</f>
        <v>50</v>
      </c>
      <c r="I1177" s="54">
        <f>STOCK[[#This Row],[Precio Venta Ideal (x1.5)]]</f>
        <v>52.416075</v>
      </c>
      <c r="J1177" s="72">
        <v>1</v>
      </c>
      <c r="K1177" s="72">
        <f>SUMIFS(VENTAS[Cantidad],VENTAS[Código del producto Vendido],STOCK[[#This Row],[Code]])</f>
        <v>0</v>
      </c>
      <c r="L1177" s="72">
        <f>STOCK[[#This Row],[Entradas]]-STOCK[[#This Row],[Salidas]]</f>
        <v>1</v>
      </c>
      <c r="M1177" s="54">
        <f>STOCK[[#This Row],[Precio Final]]*10%</f>
        <v>5</v>
      </c>
      <c r="N1177" s="54">
        <v>0</v>
      </c>
      <c r="O1177" s="54">
        <v>0</v>
      </c>
      <c r="P1177" s="54">
        <v>26</v>
      </c>
      <c r="Q1177" s="72">
        <v>505</v>
      </c>
      <c r="R1177" s="54">
        <v>7.81</v>
      </c>
      <c r="S1177" s="54">
        <v>3.94405</v>
      </c>
      <c r="T1177" s="53">
        <f>STOCK[[#This Row],[Costo Unitario (USD)]]+STOCK[[#This Row],[Costo Envío (USD)]]+STOCK[[#This Row],[Comisión 10%]]</f>
        <v>34.94405</v>
      </c>
      <c r="U1177" s="54">
        <f>STOCK[[#This Row],[Costo total]]*1.5</f>
        <v>52.416075</v>
      </c>
      <c r="V1177" s="54">
        <v>50</v>
      </c>
      <c r="W1177" s="54">
        <f>STOCK[[#This Row],[Precio Final]]-STOCK[[#This Row],[Costo total]]</f>
        <v>15.05595</v>
      </c>
      <c r="X1177" s="54">
        <f>STOCK[[#This Row],[Ganancia Unitaria]]*STOCK[[#This Row],[Salidas]]</f>
        <v>0</v>
      </c>
      <c r="Y1177" s="54" t="s">
        <v>2452</v>
      </c>
      <c r="AA1177" s="54">
        <f>STOCK[[#This Row],[Costo total]]*STOCK[[#This Row],[Entradas]]</f>
        <v>34.94405</v>
      </c>
      <c r="AB1177" s="54">
        <f>STOCK[[#This Row],[Stock Actual]]*STOCK[[#This Row],[Costo total]]</f>
        <v>34.94405</v>
      </c>
    </row>
    <row r="1178" s="53" customFormat="1" ht="50" customHeight="1" spans="1:28">
      <c r="A1178" s="53" t="s">
        <v>2485</v>
      </c>
      <c r="B1178" s="66"/>
      <c r="C1178" s="53" t="s">
        <v>32</v>
      </c>
      <c r="D1178" s="53" t="s">
        <v>1482</v>
      </c>
      <c r="E1178" s="67" t="s">
        <v>2486</v>
      </c>
      <c r="F1178" s="53" t="s">
        <v>540</v>
      </c>
      <c r="G1178" s="53" t="s">
        <v>2451</v>
      </c>
      <c r="H1178" s="53">
        <f>STOCK[[#This Row],[Precio Final]]</f>
        <v>40</v>
      </c>
      <c r="I1178" s="53">
        <f>STOCK[[#This Row],[Precio Venta Ideal (x1.5)]]</f>
        <v>37.671075</v>
      </c>
      <c r="J1178" s="71">
        <v>1</v>
      </c>
      <c r="K1178" s="71">
        <f>SUMIFS(VENTAS[Cantidad],VENTAS[Código del producto Vendido],STOCK[[#This Row],[Code]])</f>
        <v>1</v>
      </c>
      <c r="L1178" s="71">
        <f>STOCK[[#This Row],[Entradas]]-STOCK[[#This Row],[Salidas]]</f>
        <v>0</v>
      </c>
      <c r="M1178" s="53">
        <f>STOCK[[#This Row],[Precio Final]]*10%</f>
        <v>4</v>
      </c>
      <c r="N1178" s="53">
        <v>0</v>
      </c>
      <c r="O1178" s="53">
        <v>0</v>
      </c>
      <c r="P1178" s="53">
        <v>17.17</v>
      </c>
      <c r="Q1178" s="71">
        <v>505</v>
      </c>
      <c r="R1178" s="53">
        <v>7.81</v>
      </c>
      <c r="S1178" s="53">
        <v>3.94405</v>
      </c>
      <c r="T1178" s="53">
        <f>STOCK[[#This Row],[Costo Unitario (USD)]]+STOCK[[#This Row],[Costo Envío (USD)]]+STOCK[[#This Row],[Comisión 10%]]</f>
        <v>25.11405</v>
      </c>
      <c r="U1178" s="53">
        <f>STOCK[[#This Row],[Costo total]]*1.5</f>
        <v>37.671075</v>
      </c>
      <c r="V1178" s="53">
        <v>40</v>
      </c>
      <c r="W1178" s="53">
        <f>STOCK[[#This Row],[Precio Final]]-STOCK[[#This Row],[Costo total]]</f>
        <v>14.88595</v>
      </c>
      <c r="X1178" s="53">
        <f>STOCK[[#This Row],[Ganancia Unitaria]]*STOCK[[#This Row],[Salidas]]</f>
        <v>14.88595</v>
      </c>
      <c r="Y1178" s="53" t="s">
        <v>2452</v>
      </c>
      <c r="AA1178" s="54">
        <f>STOCK[[#This Row],[Costo total]]*STOCK[[#This Row],[Entradas]]</f>
        <v>25.11405</v>
      </c>
      <c r="AB1178" s="54">
        <f>STOCK[[#This Row],[Stock Actual]]*STOCK[[#This Row],[Costo total]]</f>
        <v>0</v>
      </c>
    </row>
    <row r="1179" s="54" customFormat="1" ht="50" customHeight="1" spans="1:28">
      <c r="A1179" s="54" t="s">
        <v>2487</v>
      </c>
      <c r="B1179" s="66"/>
      <c r="C1179" s="54" t="s">
        <v>32</v>
      </c>
      <c r="D1179" s="53" t="s">
        <v>1482</v>
      </c>
      <c r="E1179" s="68" t="s">
        <v>2488</v>
      </c>
      <c r="F1179" s="54" t="s">
        <v>517</v>
      </c>
      <c r="G1179" s="54" t="s">
        <v>2451</v>
      </c>
      <c r="H1179" s="54">
        <f>STOCK[[#This Row],[Precio Final]]</f>
        <v>35</v>
      </c>
      <c r="I1179" s="54">
        <f>STOCK[[#This Row],[Precio Venta Ideal (x1.5)]]</f>
        <v>41.5761</v>
      </c>
      <c r="J1179" s="72">
        <v>2</v>
      </c>
      <c r="K1179" s="72">
        <f>SUMIFS(VENTAS[Cantidad],VENTAS[Código del producto Vendido],STOCK[[#This Row],[Code]])</f>
        <v>1</v>
      </c>
      <c r="L1179" s="72">
        <f>STOCK[[#This Row],[Entradas]]-STOCK[[#This Row],[Salidas]]</f>
        <v>1</v>
      </c>
      <c r="M1179" s="54">
        <f>STOCK[[#This Row],[Precio Final]]*10%</f>
        <v>3.5</v>
      </c>
      <c r="N1179" s="54">
        <v>0</v>
      </c>
      <c r="O1179" s="54">
        <v>0</v>
      </c>
      <c r="P1179" s="54">
        <v>20</v>
      </c>
      <c r="Q1179" s="72">
        <v>540</v>
      </c>
      <c r="R1179" s="54">
        <v>7.81</v>
      </c>
      <c r="S1179" s="54">
        <v>4.2174</v>
      </c>
      <c r="T1179" s="53">
        <f>STOCK[[#This Row],[Costo Unitario (USD)]]+STOCK[[#This Row],[Costo Envío (USD)]]+STOCK[[#This Row],[Comisión 10%]]</f>
        <v>27.7174</v>
      </c>
      <c r="U1179" s="54">
        <f>STOCK[[#This Row],[Costo total]]*1.5</f>
        <v>41.5761</v>
      </c>
      <c r="V1179" s="54">
        <v>35</v>
      </c>
      <c r="W1179" s="54">
        <f>STOCK[[#This Row],[Precio Final]]-STOCK[[#This Row],[Costo total]]</f>
        <v>7.2826</v>
      </c>
      <c r="X1179" s="54">
        <f>STOCK[[#This Row],[Ganancia Unitaria]]*STOCK[[#This Row],[Salidas]]</f>
        <v>7.2826</v>
      </c>
      <c r="Y1179" s="54" t="s">
        <v>2452</v>
      </c>
      <c r="AA1179" s="54">
        <f>STOCK[[#This Row],[Costo total]]*STOCK[[#This Row],[Entradas]]</f>
        <v>55.4348</v>
      </c>
      <c r="AB1179" s="54">
        <f>STOCK[[#This Row],[Stock Actual]]*STOCK[[#This Row],[Costo total]]</f>
        <v>27.7174</v>
      </c>
    </row>
    <row r="1180" s="53" customFormat="1" ht="50" customHeight="1" spans="1:28">
      <c r="A1180" s="53" t="s">
        <v>2489</v>
      </c>
      <c r="B1180" s="66"/>
      <c r="C1180" s="53" t="s">
        <v>32</v>
      </c>
      <c r="D1180" s="53" t="s">
        <v>1482</v>
      </c>
      <c r="E1180" s="67" t="s">
        <v>2488</v>
      </c>
      <c r="F1180" s="53" t="s">
        <v>766</v>
      </c>
      <c r="G1180" s="53" t="s">
        <v>2451</v>
      </c>
      <c r="H1180" s="53">
        <f>STOCK[[#This Row],[Precio Final]]</f>
        <v>35</v>
      </c>
      <c r="I1180" s="53">
        <f>STOCK[[#This Row],[Precio Venta Ideal (x1.5)]]</f>
        <v>41.5761</v>
      </c>
      <c r="J1180" s="71">
        <v>2</v>
      </c>
      <c r="K1180" s="71">
        <f>SUMIFS(VENTAS[Cantidad],VENTAS[Código del producto Vendido],STOCK[[#This Row],[Code]])</f>
        <v>2</v>
      </c>
      <c r="L1180" s="71">
        <f>STOCK[[#This Row],[Entradas]]-STOCK[[#This Row],[Salidas]]</f>
        <v>0</v>
      </c>
      <c r="M1180" s="53">
        <f>STOCK[[#This Row],[Precio Final]]*10%</f>
        <v>3.5</v>
      </c>
      <c r="N1180" s="53">
        <v>0</v>
      </c>
      <c r="O1180" s="53">
        <v>0</v>
      </c>
      <c r="P1180" s="53">
        <v>20</v>
      </c>
      <c r="Q1180" s="71">
        <v>540</v>
      </c>
      <c r="R1180" s="53">
        <v>7.81</v>
      </c>
      <c r="S1180" s="53">
        <v>4.2174</v>
      </c>
      <c r="T1180" s="53">
        <f>STOCK[[#This Row],[Costo Unitario (USD)]]+STOCK[[#This Row],[Costo Envío (USD)]]+STOCK[[#This Row],[Comisión 10%]]</f>
        <v>27.7174</v>
      </c>
      <c r="U1180" s="53">
        <f>STOCK[[#This Row],[Costo total]]*1.5</f>
        <v>41.5761</v>
      </c>
      <c r="V1180" s="53">
        <v>35</v>
      </c>
      <c r="W1180" s="53">
        <f>STOCK[[#This Row],[Precio Final]]-STOCK[[#This Row],[Costo total]]</f>
        <v>7.2826</v>
      </c>
      <c r="X1180" s="53">
        <f>STOCK[[#This Row],[Ganancia Unitaria]]*STOCK[[#This Row],[Salidas]]</f>
        <v>14.5652</v>
      </c>
      <c r="Y1180" s="53" t="s">
        <v>2452</v>
      </c>
      <c r="AA1180" s="54">
        <f>STOCK[[#This Row],[Costo total]]*STOCK[[#This Row],[Entradas]]</f>
        <v>55.4348</v>
      </c>
      <c r="AB1180" s="54">
        <f>STOCK[[#This Row],[Stock Actual]]*STOCK[[#This Row],[Costo total]]</f>
        <v>0</v>
      </c>
    </row>
    <row r="1181" s="54" customFormat="1" ht="50" customHeight="1" spans="1:28">
      <c r="A1181" s="54" t="s">
        <v>2490</v>
      </c>
      <c r="B1181" s="66"/>
      <c r="C1181" s="54" t="s">
        <v>32</v>
      </c>
      <c r="D1181" s="53" t="s">
        <v>1482</v>
      </c>
      <c r="E1181" s="68" t="s">
        <v>2488</v>
      </c>
      <c r="F1181" s="54" t="s">
        <v>540</v>
      </c>
      <c r="G1181" s="54" t="s">
        <v>2451</v>
      </c>
      <c r="H1181" s="54">
        <f>STOCK[[#This Row],[Precio Final]]</f>
        <v>35</v>
      </c>
      <c r="I1181" s="54">
        <f>STOCK[[#This Row],[Precio Venta Ideal (x1.5)]]</f>
        <v>41.5761</v>
      </c>
      <c r="J1181" s="72">
        <v>2</v>
      </c>
      <c r="K1181" s="72">
        <f>SUMIFS(VENTAS[Cantidad],VENTAS[Código del producto Vendido],STOCK[[#This Row],[Code]])</f>
        <v>2</v>
      </c>
      <c r="L1181" s="72">
        <f>STOCK[[#This Row],[Entradas]]-STOCK[[#This Row],[Salidas]]</f>
        <v>0</v>
      </c>
      <c r="M1181" s="54">
        <f>STOCK[[#This Row],[Precio Final]]*10%</f>
        <v>3.5</v>
      </c>
      <c r="N1181" s="54">
        <v>0</v>
      </c>
      <c r="O1181" s="54">
        <v>0</v>
      </c>
      <c r="P1181" s="54">
        <v>20</v>
      </c>
      <c r="Q1181" s="72">
        <v>540</v>
      </c>
      <c r="R1181" s="54">
        <v>7.81</v>
      </c>
      <c r="S1181" s="54">
        <v>4.2174</v>
      </c>
      <c r="T1181" s="53">
        <f>STOCK[[#This Row],[Costo Unitario (USD)]]+STOCK[[#This Row],[Costo Envío (USD)]]+STOCK[[#This Row],[Comisión 10%]]</f>
        <v>27.7174</v>
      </c>
      <c r="U1181" s="54">
        <f>STOCK[[#This Row],[Costo total]]*1.5</f>
        <v>41.5761</v>
      </c>
      <c r="V1181" s="54">
        <v>35</v>
      </c>
      <c r="W1181" s="54">
        <f>STOCK[[#This Row],[Precio Final]]-STOCK[[#This Row],[Costo total]]</f>
        <v>7.2826</v>
      </c>
      <c r="X1181" s="54">
        <f>STOCK[[#This Row],[Ganancia Unitaria]]*STOCK[[#This Row],[Salidas]]</f>
        <v>14.5652</v>
      </c>
      <c r="Y1181" s="54" t="s">
        <v>2452</v>
      </c>
      <c r="AA1181" s="54">
        <f>STOCK[[#This Row],[Costo total]]*STOCK[[#This Row],[Entradas]]</f>
        <v>55.4348</v>
      </c>
      <c r="AB1181" s="54">
        <f>STOCK[[#This Row],[Stock Actual]]*STOCK[[#This Row],[Costo total]]</f>
        <v>0</v>
      </c>
    </row>
    <row r="1182" s="53" customFormat="1" ht="50" customHeight="1" spans="1:28">
      <c r="A1182" s="53" t="s">
        <v>2491</v>
      </c>
      <c r="B1182" s="66"/>
      <c r="C1182" s="53" t="s">
        <v>32</v>
      </c>
      <c r="D1182" s="53" t="s">
        <v>1482</v>
      </c>
      <c r="E1182" s="67" t="s">
        <v>2488</v>
      </c>
      <c r="F1182" s="53" t="s">
        <v>764</v>
      </c>
      <c r="G1182" s="53" t="s">
        <v>2451</v>
      </c>
      <c r="H1182" s="53">
        <f>STOCK[[#This Row],[Precio Final]]</f>
        <v>35</v>
      </c>
      <c r="I1182" s="53">
        <f>STOCK[[#This Row],[Precio Venta Ideal (x1.5)]]</f>
        <v>41.5761</v>
      </c>
      <c r="J1182" s="71">
        <v>3</v>
      </c>
      <c r="K1182" s="71">
        <f>SUMIFS(VENTAS[Cantidad],VENTAS[Código del producto Vendido],STOCK[[#This Row],[Code]])</f>
        <v>3</v>
      </c>
      <c r="L1182" s="71">
        <f>STOCK[[#This Row],[Entradas]]-STOCK[[#This Row],[Salidas]]</f>
        <v>0</v>
      </c>
      <c r="M1182" s="53">
        <f>STOCK[[#This Row],[Precio Final]]*10%</f>
        <v>3.5</v>
      </c>
      <c r="N1182" s="53">
        <v>0</v>
      </c>
      <c r="O1182" s="53">
        <v>0</v>
      </c>
      <c r="P1182" s="53">
        <v>20</v>
      </c>
      <c r="Q1182" s="71">
        <v>540</v>
      </c>
      <c r="R1182" s="53">
        <v>7.81</v>
      </c>
      <c r="S1182" s="53">
        <v>4.2174</v>
      </c>
      <c r="T1182" s="53">
        <f>STOCK[[#This Row],[Costo Unitario (USD)]]+STOCK[[#This Row],[Costo Envío (USD)]]+STOCK[[#This Row],[Comisión 10%]]</f>
        <v>27.7174</v>
      </c>
      <c r="U1182" s="53">
        <f>STOCK[[#This Row],[Costo total]]*1.5</f>
        <v>41.5761</v>
      </c>
      <c r="V1182" s="53">
        <v>35</v>
      </c>
      <c r="W1182" s="53">
        <f>STOCK[[#This Row],[Precio Final]]-STOCK[[#This Row],[Costo total]]</f>
        <v>7.2826</v>
      </c>
      <c r="X1182" s="53">
        <f>STOCK[[#This Row],[Ganancia Unitaria]]*STOCK[[#This Row],[Salidas]]</f>
        <v>21.8478</v>
      </c>
      <c r="Y1182" s="53" t="s">
        <v>2452</v>
      </c>
      <c r="AA1182" s="54">
        <f>STOCK[[#This Row],[Costo total]]*STOCK[[#This Row],[Entradas]]</f>
        <v>83.1522</v>
      </c>
      <c r="AB1182" s="54">
        <f>STOCK[[#This Row],[Stock Actual]]*STOCK[[#This Row],[Costo total]]</f>
        <v>0</v>
      </c>
    </row>
    <row r="1183" s="54" customFormat="1" ht="50" customHeight="1" spans="1:28">
      <c r="A1183" s="54" t="s">
        <v>2492</v>
      </c>
      <c r="B1183" s="66"/>
      <c r="C1183" s="54" t="s">
        <v>32</v>
      </c>
      <c r="D1183" s="54" t="s">
        <v>174</v>
      </c>
      <c r="E1183" s="68" t="s">
        <v>2493</v>
      </c>
      <c r="F1183" s="54" t="s">
        <v>40</v>
      </c>
      <c r="G1183" s="54" t="s">
        <v>36</v>
      </c>
      <c r="H1183" s="54">
        <f>STOCK[[#This Row],[Precio Final]]</f>
        <v>18</v>
      </c>
      <c r="I1183" s="54">
        <f>STOCK[[#This Row],[Precio Venta Ideal (x1.5)]]</f>
        <v>19.11</v>
      </c>
      <c r="J1183" s="72">
        <v>2</v>
      </c>
      <c r="K1183" s="72">
        <f>SUMIFS(VENTAS[Cantidad],VENTAS[Código del producto Vendido],STOCK[[#This Row],[Code]])</f>
        <v>0</v>
      </c>
      <c r="L1183" s="72">
        <f>STOCK[[#This Row],[Entradas]]-STOCK[[#This Row],[Salidas]]</f>
        <v>2</v>
      </c>
      <c r="M1183" s="54">
        <f>STOCK[[#This Row],[Precio Final]]*10%</f>
        <v>1.8</v>
      </c>
      <c r="N1183" s="54">
        <v>0</v>
      </c>
      <c r="O1183" s="54">
        <v>0</v>
      </c>
      <c r="P1183" s="54">
        <v>8.97</v>
      </c>
      <c r="Q1183" s="72">
        <v>0</v>
      </c>
      <c r="R1183" s="54">
        <v>0</v>
      </c>
      <c r="S1183" s="54">
        <v>1.97</v>
      </c>
      <c r="T1183" s="53">
        <f>STOCK[[#This Row],[Costo Unitario (USD)]]+STOCK[[#This Row],[Costo Envío (USD)]]+STOCK[[#This Row],[Comisión 10%]]</f>
        <v>12.74</v>
      </c>
      <c r="U1183" s="54">
        <f>STOCK[[#This Row],[Costo total]]*1.5</f>
        <v>19.11</v>
      </c>
      <c r="V1183" s="54">
        <v>18</v>
      </c>
      <c r="W1183" s="54">
        <f>STOCK[[#This Row],[Precio Final]]-STOCK[[#This Row],[Costo total]]</f>
        <v>5.26</v>
      </c>
      <c r="X1183" s="54">
        <f>STOCK[[#This Row],[Ganancia Unitaria]]*STOCK[[#This Row],[Salidas]]</f>
        <v>0</v>
      </c>
      <c r="AA1183" s="54">
        <f>STOCK[[#This Row],[Costo total]]*STOCK[[#This Row],[Entradas]]</f>
        <v>25.48</v>
      </c>
      <c r="AB1183" s="54">
        <f>STOCK[[#This Row],[Stock Actual]]*STOCK[[#This Row],[Costo total]]</f>
        <v>25.48</v>
      </c>
    </row>
    <row r="1184" s="53" customFormat="1" ht="50" customHeight="1" spans="1:28">
      <c r="A1184" s="53" t="s">
        <v>2494</v>
      </c>
      <c r="B1184" s="66"/>
      <c r="C1184" s="53" t="s">
        <v>32</v>
      </c>
      <c r="D1184" s="53" t="s">
        <v>174</v>
      </c>
      <c r="E1184" s="67" t="s">
        <v>2493</v>
      </c>
      <c r="F1184" s="53" t="s">
        <v>49</v>
      </c>
      <c r="G1184" s="53" t="s">
        <v>36</v>
      </c>
      <c r="H1184" s="53">
        <f>STOCK[[#This Row],[Precio Final]]</f>
        <v>18</v>
      </c>
      <c r="I1184" s="53">
        <f>STOCK[[#This Row],[Precio Venta Ideal (x1.5)]]</f>
        <v>19.11</v>
      </c>
      <c r="J1184" s="71">
        <v>2</v>
      </c>
      <c r="K1184" s="71">
        <f>SUMIFS(VENTAS[Cantidad],VENTAS[Código del producto Vendido],STOCK[[#This Row],[Code]])</f>
        <v>2</v>
      </c>
      <c r="L1184" s="71">
        <f>STOCK[[#This Row],[Entradas]]-STOCK[[#This Row],[Salidas]]</f>
        <v>0</v>
      </c>
      <c r="M1184" s="53">
        <f>STOCK[[#This Row],[Precio Final]]*10%</f>
        <v>1.8</v>
      </c>
      <c r="N1184" s="53">
        <v>0</v>
      </c>
      <c r="O1184" s="53">
        <v>0</v>
      </c>
      <c r="P1184" s="53">
        <v>8.97</v>
      </c>
      <c r="Q1184" s="71">
        <v>0</v>
      </c>
      <c r="R1184" s="53">
        <v>0</v>
      </c>
      <c r="S1184" s="53">
        <v>1.97</v>
      </c>
      <c r="T1184" s="53">
        <f>STOCK[[#This Row],[Costo Unitario (USD)]]+STOCK[[#This Row],[Costo Envío (USD)]]+STOCK[[#This Row],[Comisión 10%]]</f>
        <v>12.74</v>
      </c>
      <c r="U1184" s="53">
        <f>STOCK[[#This Row],[Costo total]]*1.5</f>
        <v>19.11</v>
      </c>
      <c r="V1184" s="53">
        <v>18</v>
      </c>
      <c r="W1184" s="53">
        <f>STOCK[[#This Row],[Precio Final]]-STOCK[[#This Row],[Costo total]]</f>
        <v>5.26</v>
      </c>
      <c r="X1184" s="53">
        <f>STOCK[[#This Row],[Ganancia Unitaria]]*STOCK[[#This Row],[Salidas]]</f>
        <v>10.52</v>
      </c>
      <c r="AA1184" s="54">
        <f>STOCK[[#This Row],[Costo total]]*STOCK[[#This Row],[Entradas]]</f>
        <v>25.48</v>
      </c>
      <c r="AB1184" s="54">
        <f>STOCK[[#This Row],[Stock Actual]]*STOCK[[#This Row],[Costo total]]</f>
        <v>0</v>
      </c>
    </row>
    <row r="1185" s="54" customFormat="1" ht="50" customHeight="1" spans="1:28">
      <c r="A1185" s="54" t="s">
        <v>2495</v>
      </c>
      <c r="B1185" s="66"/>
      <c r="C1185" s="54" t="s">
        <v>32</v>
      </c>
      <c r="D1185" s="54" t="s">
        <v>174</v>
      </c>
      <c r="E1185" s="68" t="s">
        <v>2493</v>
      </c>
      <c r="F1185" s="54" t="s">
        <v>62</v>
      </c>
      <c r="G1185" s="54" t="s">
        <v>36</v>
      </c>
      <c r="H1185" s="54">
        <f>STOCK[[#This Row],[Precio Final]]</f>
        <v>18</v>
      </c>
      <c r="I1185" s="54">
        <f>STOCK[[#This Row],[Precio Venta Ideal (x1.5)]]</f>
        <v>19.11</v>
      </c>
      <c r="J1185" s="72">
        <v>3</v>
      </c>
      <c r="K1185" s="72">
        <f>SUMIFS(VENTAS[Cantidad],VENTAS[Código del producto Vendido],STOCK[[#This Row],[Code]])</f>
        <v>1</v>
      </c>
      <c r="L1185" s="72">
        <f>STOCK[[#This Row],[Entradas]]-STOCK[[#This Row],[Salidas]]</f>
        <v>2</v>
      </c>
      <c r="M1185" s="54">
        <f>STOCK[[#This Row],[Precio Final]]*10%</f>
        <v>1.8</v>
      </c>
      <c r="N1185" s="54">
        <v>0</v>
      </c>
      <c r="O1185" s="54">
        <v>0</v>
      </c>
      <c r="P1185" s="54">
        <v>8.97</v>
      </c>
      <c r="Q1185" s="72">
        <v>0</v>
      </c>
      <c r="R1185" s="54">
        <v>0</v>
      </c>
      <c r="S1185" s="54">
        <v>1.97</v>
      </c>
      <c r="T1185" s="53">
        <f>STOCK[[#This Row],[Costo Unitario (USD)]]+STOCK[[#This Row],[Costo Envío (USD)]]+STOCK[[#This Row],[Comisión 10%]]</f>
        <v>12.74</v>
      </c>
      <c r="U1185" s="54">
        <f>STOCK[[#This Row],[Costo total]]*1.5</f>
        <v>19.11</v>
      </c>
      <c r="V1185" s="54">
        <v>18</v>
      </c>
      <c r="W1185" s="54">
        <f>STOCK[[#This Row],[Precio Final]]-STOCK[[#This Row],[Costo total]]</f>
        <v>5.26</v>
      </c>
      <c r="X1185" s="54">
        <f>STOCK[[#This Row],[Ganancia Unitaria]]*STOCK[[#This Row],[Salidas]]</f>
        <v>5.26</v>
      </c>
      <c r="AA1185" s="54">
        <f>STOCK[[#This Row],[Costo total]]*STOCK[[#This Row],[Entradas]]</f>
        <v>38.22</v>
      </c>
      <c r="AB1185" s="54">
        <f>STOCK[[#This Row],[Stock Actual]]*STOCK[[#This Row],[Costo total]]</f>
        <v>25.48</v>
      </c>
    </row>
    <row r="1186" s="53" customFormat="1" ht="50" customHeight="1" spans="1:28">
      <c r="A1186" s="53" t="s">
        <v>2496</v>
      </c>
      <c r="B1186" s="66"/>
      <c r="C1186" s="53" t="s">
        <v>32</v>
      </c>
      <c r="D1186" s="53" t="s">
        <v>488</v>
      </c>
      <c r="E1186" s="67" t="s">
        <v>2497</v>
      </c>
      <c r="F1186" s="53" t="s">
        <v>2498</v>
      </c>
      <c r="G1186" s="53" t="s">
        <v>36</v>
      </c>
      <c r="H1186" s="53">
        <f>STOCK[[#This Row],[Precio Final]]</f>
        <v>25</v>
      </c>
      <c r="I1186" s="53">
        <f>STOCK[[#This Row],[Precio Venta Ideal (x1.5)]]</f>
        <v>20.835</v>
      </c>
      <c r="J1186" s="71">
        <v>3</v>
      </c>
      <c r="K1186" s="71">
        <f>SUMIFS(VENTAS[Cantidad],VENTAS[Código del producto Vendido],STOCK[[#This Row],[Code]])</f>
        <v>2</v>
      </c>
      <c r="L1186" s="71">
        <f>STOCK[[#This Row],[Entradas]]-STOCK[[#This Row],[Salidas]]</f>
        <v>1</v>
      </c>
      <c r="M1186" s="53">
        <f>STOCK[[#This Row],[Precio Final]]*10%</f>
        <v>2.5</v>
      </c>
      <c r="N1186" s="53">
        <v>0</v>
      </c>
      <c r="O1186" s="53">
        <v>0</v>
      </c>
      <c r="P1186" s="53">
        <v>9.42</v>
      </c>
      <c r="Q1186" s="71">
        <v>0</v>
      </c>
      <c r="R1186" s="53">
        <v>0</v>
      </c>
      <c r="S1186" s="53">
        <v>1.97</v>
      </c>
      <c r="T1186" s="53">
        <f>STOCK[[#This Row],[Costo Unitario (USD)]]+STOCK[[#This Row],[Costo Envío (USD)]]+STOCK[[#This Row],[Comisión 10%]]</f>
        <v>13.89</v>
      </c>
      <c r="U1186" s="53">
        <f>STOCK[[#This Row],[Costo total]]*1.5</f>
        <v>20.835</v>
      </c>
      <c r="V1186" s="53">
        <v>25</v>
      </c>
      <c r="W1186" s="53">
        <f>STOCK[[#This Row],[Precio Final]]-STOCK[[#This Row],[Costo total]]</f>
        <v>11.11</v>
      </c>
      <c r="X1186" s="53">
        <f>STOCK[[#This Row],[Ganancia Unitaria]]*STOCK[[#This Row],[Salidas]]</f>
        <v>22.22</v>
      </c>
      <c r="AA1186" s="54">
        <f>STOCK[[#This Row],[Costo total]]*STOCK[[#This Row],[Entradas]]</f>
        <v>41.67</v>
      </c>
      <c r="AB1186" s="54">
        <f>STOCK[[#This Row],[Stock Actual]]*STOCK[[#This Row],[Costo total]]</f>
        <v>13.89</v>
      </c>
    </row>
    <row r="1187" s="54" customFormat="1" ht="50" customHeight="1" spans="1:28">
      <c r="A1187" s="54" t="s">
        <v>2499</v>
      </c>
      <c r="B1187" s="66"/>
      <c r="C1187" s="54" t="s">
        <v>32</v>
      </c>
      <c r="D1187" s="54" t="s">
        <v>488</v>
      </c>
      <c r="E1187" s="68" t="s">
        <v>2500</v>
      </c>
      <c r="G1187" s="54" t="s">
        <v>36</v>
      </c>
      <c r="H1187" s="54">
        <f>STOCK[[#This Row],[Precio Final]]</f>
        <v>25</v>
      </c>
      <c r="I1187" s="54">
        <f>STOCK[[#This Row],[Precio Venta Ideal (x1.5)]]</f>
        <v>21.255</v>
      </c>
      <c r="J1187" s="72">
        <v>4</v>
      </c>
      <c r="K1187" s="72">
        <f>SUMIFS(VENTAS[Cantidad],VENTAS[Código del producto Vendido],STOCK[[#This Row],[Code]])</f>
        <v>4</v>
      </c>
      <c r="L1187" s="72">
        <f>STOCK[[#This Row],[Entradas]]-STOCK[[#This Row],[Salidas]]</f>
        <v>0</v>
      </c>
      <c r="M1187" s="54">
        <f>STOCK[[#This Row],[Precio Final]]*10%</f>
        <v>2.5</v>
      </c>
      <c r="N1187" s="54">
        <v>0</v>
      </c>
      <c r="O1187" s="54">
        <v>0</v>
      </c>
      <c r="P1187" s="54">
        <v>9.7</v>
      </c>
      <c r="Q1187" s="72">
        <v>0</v>
      </c>
      <c r="R1187" s="54">
        <v>0</v>
      </c>
      <c r="S1187" s="54">
        <v>1.97</v>
      </c>
      <c r="T1187" s="53">
        <f>STOCK[[#This Row],[Costo Unitario (USD)]]+STOCK[[#This Row],[Costo Envío (USD)]]+STOCK[[#This Row],[Comisión 10%]]</f>
        <v>14.17</v>
      </c>
      <c r="U1187" s="54">
        <f>STOCK[[#This Row],[Costo total]]*1.5</f>
        <v>21.255</v>
      </c>
      <c r="V1187" s="54">
        <v>25</v>
      </c>
      <c r="W1187" s="54">
        <f>STOCK[[#This Row],[Precio Final]]-STOCK[[#This Row],[Costo total]]</f>
        <v>10.83</v>
      </c>
      <c r="X1187" s="54">
        <f>STOCK[[#This Row],[Ganancia Unitaria]]*STOCK[[#This Row],[Salidas]]</f>
        <v>43.32</v>
      </c>
      <c r="AA1187" s="54">
        <f>STOCK[[#This Row],[Costo total]]*STOCK[[#This Row],[Entradas]]</f>
        <v>56.68</v>
      </c>
      <c r="AB1187" s="54">
        <f>STOCK[[#This Row],[Stock Actual]]*STOCK[[#This Row],[Costo total]]</f>
        <v>0</v>
      </c>
    </row>
    <row r="1188" s="53" customFormat="1" ht="50" customHeight="1" spans="1:28">
      <c r="A1188" s="53" t="s">
        <v>2501</v>
      </c>
      <c r="B1188" s="66"/>
      <c r="C1188" s="53" t="s">
        <v>32</v>
      </c>
      <c r="D1188" s="53" t="s">
        <v>488</v>
      </c>
      <c r="E1188" s="67" t="s">
        <v>2502</v>
      </c>
      <c r="G1188" s="53" t="s">
        <v>36</v>
      </c>
      <c r="H1188" s="53">
        <f>STOCK[[#This Row],[Precio Final]]</f>
        <v>22</v>
      </c>
      <c r="I1188" s="53">
        <f>STOCK[[#This Row],[Precio Venta Ideal (x1.5)]]</f>
        <v>20.25</v>
      </c>
      <c r="J1188" s="71">
        <v>3</v>
      </c>
      <c r="K1188" s="71">
        <f>SUMIFS(VENTAS[Cantidad],VENTAS[Código del producto Vendido],STOCK[[#This Row],[Code]])</f>
        <v>3</v>
      </c>
      <c r="L1188" s="71">
        <f>STOCK[[#This Row],[Entradas]]-STOCK[[#This Row],[Salidas]]</f>
        <v>0</v>
      </c>
      <c r="M1188" s="53">
        <f>STOCK[[#This Row],[Precio Final]]*10%</f>
        <v>2.2</v>
      </c>
      <c r="N1188" s="53">
        <v>0</v>
      </c>
      <c r="O1188" s="53">
        <v>0</v>
      </c>
      <c r="P1188" s="53">
        <v>9.33</v>
      </c>
      <c r="Q1188" s="71">
        <v>0</v>
      </c>
      <c r="R1188" s="53">
        <v>0</v>
      </c>
      <c r="S1188" s="53">
        <v>1.97</v>
      </c>
      <c r="T1188" s="53">
        <f>STOCK[[#This Row],[Costo Unitario (USD)]]+STOCK[[#This Row],[Costo Envío (USD)]]+STOCK[[#This Row],[Comisión 10%]]</f>
        <v>13.5</v>
      </c>
      <c r="U1188" s="53">
        <f>STOCK[[#This Row],[Costo total]]*1.5</f>
        <v>20.25</v>
      </c>
      <c r="V1188" s="53">
        <v>22</v>
      </c>
      <c r="W1188" s="53">
        <f>STOCK[[#This Row],[Precio Final]]-STOCK[[#This Row],[Costo total]]</f>
        <v>8.5</v>
      </c>
      <c r="X1188" s="53">
        <f>STOCK[[#This Row],[Ganancia Unitaria]]*STOCK[[#This Row],[Salidas]]</f>
        <v>25.5</v>
      </c>
      <c r="AA1188" s="54">
        <f>STOCK[[#This Row],[Costo total]]*STOCK[[#This Row],[Entradas]]</f>
        <v>40.5</v>
      </c>
      <c r="AB1188" s="54">
        <f>STOCK[[#This Row],[Stock Actual]]*STOCK[[#This Row],[Costo total]]</f>
        <v>0</v>
      </c>
    </row>
    <row r="1189" s="54" customFormat="1" ht="50" customHeight="1" spans="1:28">
      <c r="A1189" s="54" t="s">
        <v>2503</v>
      </c>
      <c r="B1189" s="66"/>
      <c r="C1189" s="54" t="s">
        <v>32</v>
      </c>
      <c r="D1189" s="54" t="s">
        <v>174</v>
      </c>
      <c r="E1189" s="68" t="s">
        <v>2504</v>
      </c>
      <c r="F1189" s="54" t="s">
        <v>62</v>
      </c>
      <c r="G1189" s="54" t="s">
        <v>36</v>
      </c>
      <c r="H1189" s="54">
        <f>STOCK[[#This Row],[Precio Final]]</f>
        <v>20</v>
      </c>
      <c r="I1189" s="54">
        <f>STOCK[[#This Row],[Precio Venta Ideal (x1.5)]]</f>
        <v>19.38</v>
      </c>
      <c r="J1189" s="72">
        <v>1</v>
      </c>
      <c r="K1189" s="72">
        <f>SUMIFS(VENTAS[Cantidad],VENTAS[Código del producto Vendido],STOCK[[#This Row],[Code]])</f>
        <v>1</v>
      </c>
      <c r="L1189" s="72">
        <f>STOCK[[#This Row],[Entradas]]-STOCK[[#This Row],[Salidas]]</f>
        <v>0</v>
      </c>
      <c r="M1189" s="54">
        <f>STOCK[[#This Row],[Precio Final]]*10%</f>
        <v>2</v>
      </c>
      <c r="N1189" s="54">
        <v>0</v>
      </c>
      <c r="O1189" s="54">
        <v>0</v>
      </c>
      <c r="P1189" s="54">
        <v>8.95</v>
      </c>
      <c r="Q1189" s="72">
        <v>0</v>
      </c>
      <c r="R1189" s="54">
        <v>0</v>
      </c>
      <c r="S1189" s="54">
        <v>1.97</v>
      </c>
      <c r="T1189" s="53">
        <f>STOCK[[#This Row],[Costo Unitario (USD)]]+STOCK[[#This Row],[Costo Envío (USD)]]+STOCK[[#This Row],[Comisión 10%]]</f>
        <v>12.92</v>
      </c>
      <c r="U1189" s="54">
        <f>STOCK[[#This Row],[Costo total]]*1.5</f>
        <v>19.38</v>
      </c>
      <c r="V1189" s="54">
        <v>20</v>
      </c>
      <c r="W1189" s="54">
        <f>STOCK[[#This Row],[Precio Final]]-STOCK[[#This Row],[Costo total]]</f>
        <v>7.08</v>
      </c>
      <c r="X1189" s="54">
        <f>STOCK[[#This Row],[Ganancia Unitaria]]*STOCK[[#This Row],[Salidas]]</f>
        <v>7.08</v>
      </c>
      <c r="AA1189" s="54">
        <f>STOCK[[#This Row],[Costo total]]*STOCK[[#This Row],[Entradas]]</f>
        <v>12.92</v>
      </c>
      <c r="AB1189" s="54">
        <f>STOCK[[#This Row],[Stock Actual]]*STOCK[[#This Row],[Costo total]]</f>
        <v>0</v>
      </c>
    </row>
    <row r="1190" s="53" customFormat="1" ht="50" customHeight="1" spans="1:28">
      <c r="A1190" s="53" t="s">
        <v>2505</v>
      </c>
      <c r="B1190" s="66"/>
      <c r="C1190" s="53" t="s">
        <v>32</v>
      </c>
      <c r="D1190" s="53" t="s">
        <v>174</v>
      </c>
      <c r="E1190" s="67" t="s">
        <v>2504</v>
      </c>
      <c r="F1190" s="53" t="s">
        <v>49</v>
      </c>
      <c r="G1190" s="53" t="s">
        <v>36</v>
      </c>
      <c r="H1190" s="53">
        <f>STOCK[[#This Row],[Precio Final]]</f>
        <v>20</v>
      </c>
      <c r="I1190" s="53">
        <f>STOCK[[#This Row],[Precio Venta Ideal (x1.5)]]</f>
        <v>19.38</v>
      </c>
      <c r="J1190" s="71">
        <v>1</v>
      </c>
      <c r="K1190" s="71">
        <f>SUMIFS(VENTAS[Cantidad],VENTAS[Código del producto Vendido],STOCK[[#This Row],[Code]])</f>
        <v>0</v>
      </c>
      <c r="L1190" s="71">
        <f>STOCK[[#This Row],[Entradas]]-STOCK[[#This Row],[Salidas]]</f>
        <v>1</v>
      </c>
      <c r="M1190" s="53">
        <f>STOCK[[#This Row],[Precio Final]]*10%</f>
        <v>2</v>
      </c>
      <c r="N1190" s="53">
        <v>0</v>
      </c>
      <c r="O1190" s="53">
        <v>0</v>
      </c>
      <c r="P1190" s="53">
        <v>8.95</v>
      </c>
      <c r="Q1190" s="71">
        <v>0</v>
      </c>
      <c r="R1190" s="53">
        <v>0</v>
      </c>
      <c r="S1190" s="53">
        <v>1.97</v>
      </c>
      <c r="T1190" s="53">
        <f>STOCK[[#This Row],[Costo Unitario (USD)]]+STOCK[[#This Row],[Costo Envío (USD)]]+STOCK[[#This Row],[Comisión 10%]]</f>
        <v>12.92</v>
      </c>
      <c r="U1190" s="53">
        <f>STOCK[[#This Row],[Costo total]]*1.5</f>
        <v>19.38</v>
      </c>
      <c r="V1190" s="53">
        <v>20</v>
      </c>
      <c r="W1190" s="53">
        <f>STOCK[[#This Row],[Precio Final]]-STOCK[[#This Row],[Costo total]]</f>
        <v>7.08</v>
      </c>
      <c r="X1190" s="53">
        <f>STOCK[[#This Row],[Ganancia Unitaria]]*STOCK[[#This Row],[Salidas]]</f>
        <v>0</v>
      </c>
      <c r="AA1190" s="54">
        <f>STOCK[[#This Row],[Costo total]]*STOCK[[#This Row],[Entradas]]</f>
        <v>12.92</v>
      </c>
      <c r="AB1190" s="54">
        <f>STOCK[[#This Row],[Stock Actual]]*STOCK[[#This Row],[Costo total]]</f>
        <v>12.92</v>
      </c>
    </row>
    <row r="1191" s="54" customFormat="1" ht="50" customHeight="1" spans="1:28">
      <c r="A1191" s="54" t="s">
        <v>2506</v>
      </c>
      <c r="B1191" s="66"/>
      <c r="C1191" s="54" t="s">
        <v>32</v>
      </c>
      <c r="D1191" s="54" t="s">
        <v>174</v>
      </c>
      <c r="E1191" s="68" t="s">
        <v>2504</v>
      </c>
      <c r="F1191" s="54" t="s">
        <v>46</v>
      </c>
      <c r="G1191" s="54" t="s">
        <v>36</v>
      </c>
      <c r="H1191" s="54">
        <f>STOCK[[#This Row],[Precio Final]]</f>
        <v>20</v>
      </c>
      <c r="I1191" s="54">
        <f>STOCK[[#This Row],[Precio Venta Ideal (x1.5)]]</f>
        <v>19.38</v>
      </c>
      <c r="J1191" s="72">
        <v>1</v>
      </c>
      <c r="K1191" s="72">
        <f>SUMIFS(VENTAS[Cantidad],VENTAS[Código del producto Vendido],STOCK[[#This Row],[Code]])</f>
        <v>1</v>
      </c>
      <c r="L1191" s="72">
        <f>STOCK[[#This Row],[Entradas]]-STOCK[[#This Row],[Salidas]]</f>
        <v>0</v>
      </c>
      <c r="M1191" s="54">
        <f>STOCK[[#This Row],[Precio Final]]*10%</f>
        <v>2</v>
      </c>
      <c r="N1191" s="54">
        <v>0</v>
      </c>
      <c r="O1191" s="54">
        <v>0</v>
      </c>
      <c r="P1191" s="54">
        <v>8.95</v>
      </c>
      <c r="Q1191" s="72">
        <v>0</v>
      </c>
      <c r="R1191" s="54">
        <v>0</v>
      </c>
      <c r="S1191" s="54">
        <v>1.97</v>
      </c>
      <c r="T1191" s="53">
        <f>STOCK[[#This Row],[Costo Unitario (USD)]]+STOCK[[#This Row],[Costo Envío (USD)]]+STOCK[[#This Row],[Comisión 10%]]</f>
        <v>12.92</v>
      </c>
      <c r="U1191" s="54">
        <f>STOCK[[#This Row],[Costo total]]*1.5</f>
        <v>19.38</v>
      </c>
      <c r="V1191" s="54">
        <v>20</v>
      </c>
      <c r="W1191" s="54">
        <f>STOCK[[#This Row],[Precio Final]]-STOCK[[#This Row],[Costo total]]</f>
        <v>7.08</v>
      </c>
      <c r="X1191" s="54">
        <f>STOCK[[#This Row],[Ganancia Unitaria]]*STOCK[[#This Row],[Salidas]]</f>
        <v>7.08</v>
      </c>
      <c r="AA1191" s="54">
        <f>STOCK[[#This Row],[Costo total]]*STOCK[[#This Row],[Entradas]]</f>
        <v>12.92</v>
      </c>
      <c r="AB1191" s="54">
        <f>STOCK[[#This Row],[Stock Actual]]*STOCK[[#This Row],[Costo total]]</f>
        <v>0</v>
      </c>
    </row>
    <row r="1192" s="53" customFormat="1" ht="50" customHeight="1" spans="1:28">
      <c r="A1192" s="53" t="s">
        <v>2507</v>
      </c>
      <c r="B1192" s="66"/>
      <c r="C1192" s="53" t="s">
        <v>32</v>
      </c>
      <c r="D1192" s="53" t="s">
        <v>152</v>
      </c>
      <c r="E1192" s="67" t="s">
        <v>2508</v>
      </c>
      <c r="F1192" s="53" t="s">
        <v>40</v>
      </c>
      <c r="G1192" s="53" t="s">
        <v>36</v>
      </c>
      <c r="H1192" s="53">
        <f>STOCK[[#This Row],[Precio Final]]</f>
        <v>30</v>
      </c>
      <c r="I1192" s="53">
        <f>STOCK[[#This Row],[Precio Venta Ideal (x1.5)]]</f>
        <v>33.285</v>
      </c>
      <c r="J1192" s="71">
        <v>1</v>
      </c>
      <c r="K1192" s="71">
        <f>SUMIFS(VENTAS[Cantidad],VENTAS[Código del producto Vendido],STOCK[[#This Row],[Code]])</f>
        <v>0</v>
      </c>
      <c r="L1192" s="71">
        <f>STOCK[[#This Row],[Entradas]]-STOCK[[#This Row],[Salidas]]</f>
        <v>1</v>
      </c>
      <c r="M1192" s="53">
        <f>STOCK[[#This Row],[Precio Final]]*10%</f>
        <v>3</v>
      </c>
      <c r="N1192" s="53">
        <v>0</v>
      </c>
      <c r="O1192" s="53">
        <v>0</v>
      </c>
      <c r="P1192" s="53">
        <v>17.22</v>
      </c>
      <c r="Q1192" s="71">
        <v>0</v>
      </c>
      <c r="R1192" s="53">
        <v>0</v>
      </c>
      <c r="S1192" s="53">
        <v>1.97</v>
      </c>
      <c r="T1192" s="53">
        <f>STOCK[[#This Row],[Costo Unitario (USD)]]+STOCK[[#This Row],[Costo Envío (USD)]]+STOCK[[#This Row],[Comisión 10%]]</f>
        <v>22.19</v>
      </c>
      <c r="U1192" s="53">
        <f>STOCK[[#This Row],[Costo total]]*1.5</f>
        <v>33.285</v>
      </c>
      <c r="V1192" s="53">
        <v>30</v>
      </c>
      <c r="W1192" s="53">
        <f>STOCK[[#This Row],[Precio Final]]-STOCK[[#This Row],[Costo total]]</f>
        <v>7.81</v>
      </c>
      <c r="X1192" s="53">
        <f>STOCK[[#This Row],[Ganancia Unitaria]]*STOCK[[#This Row],[Salidas]]</f>
        <v>0</v>
      </c>
      <c r="AA1192" s="54">
        <f>STOCK[[#This Row],[Costo total]]*STOCK[[#This Row],[Entradas]]</f>
        <v>22.19</v>
      </c>
      <c r="AB1192" s="54">
        <f>STOCK[[#This Row],[Stock Actual]]*STOCK[[#This Row],[Costo total]]</f>
        <v>22.19</v>
      </c>
    </row>
    <row r="1193" s="54" customFormat="1" ht="50" customHeight="1" spans="1:28">
      <c r="A1193" s="54" t="s">
        <v>2509</v>
      </c>
      <c r="B1193" s="66"/>
      <c r="C1193" s="54" t="s">
        <v>32</v>
      </c>
      <c r="D1193" s="54" t="s">
        <v>152</v>
      </c>
      <c r="E1193" s="68" t="s">
        <v>2508</v>
      </c>
      <c r="F1193" s="54" t="s">
        <v>62</v>
      </c>
      <c r="G1193" s="54" t="s">
        <v>36</v>
      </c>
      <c r="H1193" s="54">
        <f>STOCK[[#This Row],[Precio Final]]</f>
        <v>30</v>
      </c>
      <c r="I1193" s="54">
        <f>STOCK[[#This Row],[Precio Venta Ideal (x1.5)]]</f>
        <v>33.285</v>
      </c>
      <c r="J1193" s="72">
        <v>1</v>
      </c>
      <c r="K1193" s="72">
        <f>SUMIFS(VENTAS[Cantidad],VENTAS[Código del producto Vendido],STOCK[[#This Row],[Code]])</f>
        <v>1</v>
      </c>
      <c r="L1193" s="72">
        <f>STOCK[[#This Row],[Entradas]]-STOCK[[#This Row],[Salidas]]</f>
        <v>0</v>
      </c>
      <c r="M1193" s="54">
        <f>STOCK[[#This Row],[Precio Final]]*10%</f>
        <v>3</v>
      </c>
      <c r="N1193" s="54">
        <v>0</v>
      </c>
      <c r="O1193" s="54">
        <v>0</v>
      </c>
      <c r="P1193" s="54">
        <v>17.22</v>
      </c>
      <c r="Q1193" s="72">
        <v>0</v>
      </c>
      <c r="R1193" s="54">
        <v>0</v>
      </c>
      <c r="S1193" s="54">
        <v>1.97</v>
      </c>
      <c r="T1193" s="53">
        <f>STOCK[[#This Row],[Costo Unitario (USD)]]+STOCK[[#This Row],[Costo Envío (USD)]]+STOCK[[#This Row],[Comisión 10%]]</f>
        <v>22.19</v>
      </c>
      <c r="U1193" s="54">
        <f>STOCK[[#This Row],[Costo total]]*1.5</f>
        <v>33.285</v>
      </c>
      <c r="V1193" s="54">
        <v>30</v>
      </c>
      <c r="W1193" s="54">
        <f>STOCK[[#This Row],[Precio Final]]-STOCK[[#This Row],[Costo total]]</f>
        <v>7.81</v>
      </c>
      <c r="X1193" s="54">
        <f>STOCK[[#This Row],[Ganancia Unitaria]]*STOCK[[#This Row],[Salidas]]</f>
        <v>7.81</v>
      </c>
      <c r="AA1193" s="54">
        <f>STOCK[[#This Row],[Costo total]]*STOCK[[#This Row],[Entradas]]</f>
        <v>22.19</v>
      </c>
      <c r="AB1193" s="54">
        <f>STOCK[[#This Row],[Stock Actual]]*STOCK[[#This Row],[Costo total]]</f>
        <v>0</v>
      </c>
    </row>
    <row r="1194" s="53" customFormat="1" ht="50" customHeight="1" spans="1:28">
      <c r="A1194" s="53" t="s">
        <v>2510</v>
      </c>
      <c r="B1194" s="66"/>
      <c r="C1194" s="53" t="s">
        <v>32</v>
      </c>
      <c r="D1194" s="53" t="s">
        <v>152</v>
      </c>
      <c r="E1194" s="67" t="s">
        <v>2508</v>
      </c>
      <c r="F1194" s="53" t="s">
        <v>49</v>
      </c>
      <c r="G1194" s="53" t="s">
        <v>36</v>
      </c>
      <c r="H1194" s="53">
        <f>STOCK[[#This Row],[Precio Final]]</f>
        <v>30</v>
      </c>
      <c r="I1194" s="53">
        <f>STOCK[[#This Row],[Precio Venta Ideal (x1.5)]]</f>
        <v>33.285</v>
      </c>
      <c r="J1194" s="71">
        <v>1</v>
      </c>
      <c r="K1194" s="71">
        <f>SUMIFS(VENTAS[Cantidad],VENTAS[Código del producto Vendido],STOCK[[#This Row],[Code]])</f>
        <v>1</v>
      </c>
      <c r="L1194" s="71">
        <f>STOCK[[#This Row],[Entradas]]-STOCK[[#This Row],[Salidas]]</f>
        <v>0</v>
      </c>
      <c r="M1194" s="53">
        <f>STOCK[[#This Row],[Precio Final]]*10%</f>
        <v>3</v>
      </c>
      <c r="N1194" s="53">
        <v>0</v>
      </c>
      <c r="O1194" s="53">
        <v>0</v>
      </c>
      <c r="P1194" s="53">
        <v>17.22</v>
      </c>
      <c r="Q1194" s="71">
        <v>0</v>
      </c>
      <c r="R1194" s="53">
        <v>0</v>
      </c>
      <c r="S1194" s="53">
        <v>1.97</v>
      </c>
      <c r="T1194" s="53">
        <f>STOCK[[#This Row],[Costo Unitario (USD)]]+STOCK[[#This Row],[Costo Envío (USD)]]+STOCK[[#This Row],[Comisión 10%]]</f>
        <v>22.19</v>
      </c>
      <c r="U1194" s="53">
        <f>STOCK[[#This Row],[Costo total]]*1.5</f>
        <v>33.285</v>
      </c>
      <c r="V1194" s="53">
        <v>30</v>
      </c>
      <c r="W1194" s="53">
        <f>STOCK[[#This Row],[Precio Final]]-STOCK[[#This Row],[Costo total]]</f>
        <v>7.81</v>
      </c>
      <c r="X1194" s="53">
        <f>STOCK[[#This Row],[Ganancia Unitaria]]*STOCK[[#This Row],[Salidas]]</f>
        <v>7.81</v>
      </c>
      <c r="AA1194" s="54">
        <f>STOCK[[#This Row],[Costo total]]*STOCK[[#This Row],[Entradas]]</f>
        <v>22.19</v>
      </c>
      <c r="AB1194" s="54">
        <f>STOCK[[#This Row],[Stock Actual]]*STOCK[[#This Row],[Costo total]]</f>
        <v>0</v>
      </c>
    </row>
    <row r="1195" s="54" customFormat="1" ht="50" customHeight="1" spans="1:28">
      <c r="A1195" s="54" t="s">
        <v>2511</v>
      </c>
      <c r="B1195" s="66"/>
      <c r="C1195" s="54" t="s">
        <v>32</v>
      </c>
      <c r="D1195" s="54" t="s">
        <v>174</v>
      </c>
      <c r="E1195" s="68" t="s">
        <v>2512</v>
      </c>
      <c r="F1195" s="54" t="s">
        <v>62</v>
      </c>
      <c r="G1195" s="54" t="s">
        <v>36</v>
      </c>
      <c r="H1195" s="54">
        <f>STOCK[[#This Row],[Precio Final]]</f>
        <v>22</v>
      </c>
      <c r="I1195" s="54">
        <f>STOCK[[#This Row],[Precio Venta Ideal (x1.5)]]</f>
        <v>20.25</v>
      </c>
      <c r="J1195" s="72">
        <v>2</v>
      </c>
      <c r="K1195" s="72">
        <f>SUMIFS(VENTAS[Cantidad],VENTAS[Código del producto Vendido],STOCK[[#This Row],[Code]])</f>
        <v>2</v>
      </c>
      <c r="L1195" s="72">
        <f>STOCK[[#This Row],[Entradas]]-STOCK[[#This Row],[Salidas]]</f>
        <v>0</v>
      </c>
      <c r="M1195" s="54">
        <f>STOCK[[#This Row],[Precio Final]]*10%</f>
        <v>2.2</v>
      </c>
      <c r="N1195" s="54">
        <v>0</v>
      </c>
      <c r="O1195" s="54">
        <v>0</v>
      </c>
      <c r="P1195" s="54">
        <v>9.33</v>
      </c>
      <c r="Q1195" s="72">
        <v>0</v>
      </c>
      <c r="R1195" s="54">
        <v>0</v>
      </c>
      <c r="S1195" s="54">
        <v>1.97</v>
      </c>
      <c r="T1195" s="53">
        <f>STOCK[[#This Row],[Costo Unitario (USD)]]+STOCK[[#This Row],[Costo Envío (USD)]]+STOCK[[#This Row],[Comisión 10%]]</f>
        <v>13.5</v>
      </c>
      <c r="U1195" s="54">
        <f>STOCK[[#This Row],[Costo total]]*1.5</f>
        <v>20.25</v>
      </c>
      <c r="V1195" s="54">
        <v>22</v>
      </c>
      <c r="W1195" s="54">
        <f>STOCK[[#This Row],[Precio Final]]-STOCK[[#This Row],[Costo total]]</f>
        <v>8.5</v>
      </c>
      <c r="X1195" s="54">
        <f>STOCK[[#This Row],[Ganancia Unitaria]]*STOCK[[#This Row],[Salidas]]</f>
        <v>17</v>
      </c>
      <c r="AA1195" s="54">
        <f>STOCK[[#This Row],[Costo total]]*STOCK[[#This Row],[Entradas]]</f>
        <v>27</v>
      </c>
      <c r="AB1195" s="54">
        <f>STOCK[[#This Row],[Stock Actual]]*STOCK[[#This Row],[Costo total]]</f>
        <v>0</v>
      </c>
    </row>
    <row r="1196" s="53" customFormat="1" ht="50" customHeight="1" spans="1:28">
      <c r="A1196" s="53" t="s">
        <v>2513</v>
      </c>
      <c r="B1196" s="66"/>
      <c r="C1196" s="53" t="s">
        <v>32</v>
      </c>
      <c r="D1196" s="53" t="s">
        <v>174</v>
      </c>
      <c r="E1196" s="67" t="s">
        <v>2512</v>
      </c>
      <c r="F1196" s="53" t="s">
        <v>49</v>
      </c>
      <c r="G1196" s="53" t="s">
        <v>36</v>
      </c>
      <c r="H1196" s="53">
        <f>STOCK[[#This Row],[Precio Final]]</f>
        <v>22</v>
      </c>
      <c r="I1196" s="53">
        <f>STOCK[[#This Row],[Precio Venta Ideal (x1.5)]]</f>
        <v>20.25</v>
      </c>
      <c r="J1196" s="71">
        <v>2</v>
      </c>
      <c r="K1196" s="71">
        <f>SUMIFS(VENTAS[Cantidad],VENTAS[Código del producto Vendido],STOCK[[#This Row],[Code]])</f>
        <v>1</v>
      </c>
      <c r="L1196" s="71">
        <f>STOCK[[#This Row],[Entradas]]-STOCK[[#This Row],[Salidas]]</f>
        <v>1</v>
      </c>
      <c r="M1196" s="53">
        <f>STOCK[[#This Row],[Precio Final]]*10%</f>
        <v>2.2</v>
      </c>
      <c r="N1196" s="53">
        <v>0</v>
      </c>
      <c r="O1196" s="53">
        <v>0</v>
      </c>
      <c r="P1196" s="53">
        <v>9.33</v>
      </c>
      <c r="Q1196" s="71">
        <v>0</v>
      </c>
      <c r="R1196" s="53">
        <v>0</v>
      </c>
      <c r="S1196" s="53">
        <v>1.97</v>
      </c>
      <c r="T1196" s="53">
        <f>STOCK[[#This Row],[Costo Unitario (USD)]]+STOCK[[#This Row],[Costo Envío (USD)]]+STOCK[[#This Row],[Comisión 10%]]</f>
        <v>13.5</v>
      </c>
      <c r="U1196" s="53">
        <f>STOCK[[#This Row],[Costo total]]*1.5</f>
        <v>20.25</v>
      </c>
      <c r="V1196" s="53">
        <v>22</v>
      </c>
      <c r="W1196" s="53">
        <f>STOCK[[#This Row],[Precio Final]]-STOCK[[#This Row],[Costo total]]</f>
        <v>8.5</v>
      </c>
      <c r="X1196" s="53">
        <f>STOCK[[#This Row],[Ganancia Unitaria]]*STOCK[[#This Row],[Salidas]]</f>
        <v>8.5</v>
      </c>
      <c r="AA1196" s="54">
        <f>STOCK[[#This Row],[Costo total]]*STOCK[[#This Row],[Entradas]]</f>
        <v>27</v>
      </c>
      <c r="AB1196" s="54">
        <f>STOCK[[#This Row],[Stock Actual]]*STOCK[[#This Row],[Costo total]]</f>
        <v>13.5</v>
      </c>
    </row>
    <row r="1197" s="54" customFormat="1" ht="50" customHeight="1" spans="1:28">
      <c r="A1197" s="54" t="s">
        <v>2514</v>
      </c>
      <c r="B1197" s="66"/>
      <c r="C1197" s="54" t="s">
        <v>32</v>
      </c>
      <c r="D1197" s="54" t="s">
        <v>174</v>
      </c>
      <c r="E1197" s="68" t="s">
        <v>2512</v>
      </c>
      <c r="F1197" s="54" t="s">
        <v>46</v>
      </c>
      <c r="G1197" s="54" t="s">
        <v>36</v>
      </c>
      <c r="H1197" s="54">
        <f>STOCK[[#This Row],[Precio Final]]</f>
        <v>22</v>
      </c>
      <c r="I1197" s="54">
        <f>STOCK[[#This Row],[Precio Venta Ideal (x1.5)]]</f>
        <v>20.25</v>
      </c>
      <c r="J1197" s="72">
        <v>2</v>
      </c>
      <c r="K1197" s="72">
        <f>SUMIFS(VENTAS[Cantidad],VENTAS[Código del producto Vendido],STOCK[[#This Row],[Code]])</f>
        <v>2</v>
      </c>
      <c r="L1197" s="72">
        <f>STOCK[[#This Row],[Entradas]]-STOCK[[#This Row],[Salidas]]</f>
        <v>0</v>
      </c>
      <c r="M1197" s="54">
        <f>STOCK[[#This Row],[Precio Final]]*10%</f>
        <v>2.2</v>
      </c>
      <c r="N1197" s="54">
        <v>0</v>
      </c>
      <c r="O1197" s="54">
        <v>0</v>
      </c>
      <c r="P1197" s="54">
        <v>9.33</v>
      </c>
      <c r="Q1197" s="72">
        <v>0</v>
      </c>
      <c r="R1197" s="54">
        <v>0</v>
      </c>
      <c r="S1197" s="54">
        <v>1.97</v>
      </c>
      <c r="T1197" s="53">
        <f>STOCK[[#This Row],[Costo Unitario (USD)]]+STOCK[[#This Row],[Costo Envío (USD)]]+STOCK[[#This Row],[Comisión 10%]]</f>
        <v>13.5</v>
      </c>
      <c r="U1197" s="54">
        <f>STOCK[[#This Row],[Costo total]]*1.5</f>
        <v>20.25</v>
      </c>
      <c r="V1197" s="54">
        <v>22</v>
      </c>
      <c r="W1197" s="54">
        <f>STOCK[[#This Row],[Precio Final]]-STOCK[[#This Row],[Costo total]]</f>
        <v>8.5</v>
      </c>
      <c r="X1197" s="54">
        <f>STOCK[[#This Row],[Ganancia Unitaria]]*STOCK[[#This Row],[Salidas]]</f>
        <v>17</v>
      </c>
      <c r="AA1197" s="54">
        <f>STOCK[[#This Row],[Costo total]]*STOCK[[#This Row],[Entradas]]</f>
        <v>27</v>
      </c>
      <c r="AB1197" s="54">
        <f>STOCK[[#This Row],[Stock Actual]]*STOCK[[#This Row],[Costo total]]</f>
        <v>0</v>
      </c>
    </row>
    <row r="1198" s="53" customFormat="1" ht="50" customHeight="1" spans="1:28">
      <c r="A1198" s="53" t="s">
        <v>2515</v>
      </c>
      <c r="B1198" s="66"/>
      <c r="C1198" s="53" t="s">
        <v>32</v>
      </c>
      <c r="D1198" s="53" t="s">
        <v>488</v>
      </c>
      <c r="E1198" s="67" t="s">
        <v>2516</v>
      </c>
      <c r="F1198" s="53" t="s">
        <v>2216</v>
      </c>
      <c r="G1198" s="53" t="s">
        <v>36</v>
      </c>
      <c r="H1198" s="53">
        <f>STOCK[[#This Row],[Precio Final]]</f>
        <v>20</v>
      </c>
      <c r="I1198" s="53">
        <f>STOCK[[#This Row],[Precio Venta Ideal (x1.5)]]</f>
        <v>20.235</v>
      </c>
      <c r="J1198" s="71">
        <v>3</v>
      </c>
      <c r="K1198" s="71">
        <f>SUMIFS(VENTAS[Cantidad],VENTAS[Código del producto Vendido],STOCK[[#This Row],[Code]])</f>
        <v>3</v>
      </c>
      <c r="L1198" s="71">
        <f>STOCK[[#This Row],[Entradas]]-STOCK[[#This Row],[Salidas]]</f>
        <v>0</v>
      </c>
      <c r="M1198" s="53">
        <f>STOCK[[#This Row],[Precio Final]]*10%</f>
        <v>2</v>
      </c>
      <c r="N1198" s="53">
        <v>0</v>
      </c>
      <c r="O1198" s="53">
        <v>0</v>
      </c>
      <c r="P1198" s="53">
        <v>9.52</v>
      </c>
      <c r="Q1198" s="71">
        <v>0</v>
      </c>
      <c r="R1198" s="53">
        <v>0</v>
      </c>
      <c r="S1198" s="53">
        <v>1.97</v>
      </c>
      <c r="T1198" s="53">
        <f>STOCK[[#This Row],[Costo Unitario (USD)]]+STOCK[[#This Row],[Costo Envío (USD)]]+STOCK[[#This Row],[Comisión 10%]]</f>
        <v>13.49</v>
      </c>
      <c r="U1198" s="53">
        <f>STOCK[[#This Row],[Costo total]]*1.5</f>
        <v>20.235</v>
      </c>
      <c r="V1198" s="53">
        <v>20</v>
      </c>
      <c r="W1198" s="53">
        <f>STOCK[[#This Row],[Precio Final]]-STOCK[[#This Row],[Costo total]]</f>
        <v>6.51</v>
      </c>
      <c r="X1198" s="53">
        <f>STOCK[[#This Row],[Ganancia Unitaria]]*STOCK[[#This Row],[Salidas]]</f>
        <v>19.53</v>
      </c>
      <c r="AA1198" s="54">
        <f>STOCK[[#This Row],[Costo total]]*STOCK[[#This Row],[Entradas]]</f>
        <v>40.47</v>
      </c>
      <c r="AB1198" s="54">
        <f>STOCK[[#This Row],[Stock Actual]]*STOCK[[#This Row],[Costo total]]</f>
        <v>0</v>
      </c>
    </row>
    <row r="1199" s="54" customFormat="1" ht="50" customHeight="1" spans="1:28">
      <c r="A1199" s="54" t="s">
        <v>2517</v>
      </c>
      <c r="B1199" s="66"/>
      <c r="C1199" s="54" t="s">
        <v>32</v>
      </c>
      <c r="D1199" s="54" t="s">
        <v>488</v>
      </c>
      <c r="E1199" s="68" t="s">
        <v>2518</v>
      </c>
      <c r="F1199" s="54" t="s">
        <v>1534</v>
      </c>
      <c r="G1199" s="54" t="s">
        <v>36</v>
      </c>
      <c r="H1199" s="54">
        <f>STOCK[[#This Row],[Precio Final]]</f>
        <v>22</v>
      </c>
      <c r="I1199" s="54">
        <f>STOCK[[#This Row],[Precio Venta Ideal (x1.5)]]</f>
        <v>22.545</v>
      </c>
      <c r="J1199" s="72">
        <v>2</v>
      </c>
      <c r="K1199" s="72">
        <f>SUMIFS(VENTAS[Cantidad],VENTAS[Código del producto Vendido],STOCK[[#This Row],[Code]])</f>
        <v>2</v>
      </c>
      <c r="L1199" s="72">
        <f>STOCK[[#This Row],[Entradas]]-STOCK[[#This Row],[Salidas]]</f>
        <v>0</v>
      </c>
      <c r="M1199" s="54">
        <f>STOCK[[#This Row],[Precio Final]]*10%</f>
        <v>2.2</v>
      </c>
      <c r="N1199" s="54">
        <v>0</v>
      </c>
      <c r="O1199" s="54">
        <v>0</v>
      </c>
      <c r="P1199" s="54">
        <v>10.86</v>
      </c>
      <c r="Q1199" s="72">
        <v>0</v>
      </c>
      <c r="R1199" s="54">
        <v>0</v>
      </c>
      <c r="S1199" s="54">
        <v>1.97</v>
      </c>
      <c r="T1199" s="53">
        <f>STOCK[[#This Row],[Costo Unitario (USD)]]+STOCK[[#This Row],[Costo Envío (USD)]]+STOCK[[#This Row],[Comisión 10%]]</f>
        <v>15.03</v>
      </c>
      <c r="U1199" s="54">
        <f>STOCK[[#This Row],[Costo total]]*1.5</f>
        <v>22.545</v>
      </c>
      <c r="V1199" s="54">
        <v>22</v>
      </c>
      <c r="W1199" s="54">
        <f>STOCK[[#This Row],[Precio Final]]-STOCK[[#This Row],[Costo total]]</f>
        <v>6.97</v>
      </c>
      <c r="X1199" s="54">
        <f>STOCK[[#This Row],[Ganancia Unitaria]]*STOCK[[#This Row],[Salidas]]</f>
        <v>13.94</v>
      </c>
      <c r="AA1199" s="54">
        <f>STOCK[[#This Row],[Costo total]]*STOCK[[#This Row],[Entradas]]</f>
        <v>30.06</v>
      </c>
      <c r="AB1199" s="54">
        <f>STOCK[[#This Row],[Stock Actual]]*STOCK[[#This Row],[Costo total]]</f>
        <v>0</v>
      </c>
    </row>
    <row r="1200" s="53" customFormat="1" ht="50" customHeight="1" spans="1:28">
      <c r="A1200" s="53" t="s">
        <v>2519</v>
      </c>
      <c r="B1200" s="66"/>
      <c r="C1200" s="53" t="s">
        <v>32</v>
      </c>
      <c r="D1200" s="53" t="s">
        <v>152</v>
      </c>
      <c r="E1200" s="67" t="s">
        <v>2520</v>
      </c>
      <c r="F1200" s="53" t="s">
        <v>62</v>
      </c>
      <c r="G1200" s="53" t="s">
        <v>36</v>
      </c>
      <c r="H1200" s="53">
        <f>STOCK[[#This Row],[Precio Final]]</f>
        <v>25</v>
      </c>
      <c r="I1200" s="53">
        <f>STOCK[[#This Row],[Precio Venta Ideal (x1.5)]]</f>
        <v>27.435</v>
      </c>
      <c r="J1200" s="71">
        <v>2</v>
      </c>
      <c r="K1200" s="71">
        <f>SUMIFS(VENTAS[Cantidad],VENTAS[Código del producto Vendido],STOCK[[#This Row],[Code]])</f>
        <v>0</v>
      </c>
      <c r="L1200" s="71">
        <f>STOCK[[#This Row],[Entradas]]-STOCK[[#This Row],[Salidas]]</f>
        <v>2</v>
      </c>
      <c r="M1200" s="53">
        <f>STOCK[[#This Row],[Precio Final]]*10%</f>
        <v>2.5</v>
      </c>
      <c r="N1200" s="53">
        <v>0</v>
      </c>
      <c r="O1200" s="53">
        <v>0</v>
      </c>
      <c r="P1200" s="53">
        <v>13.82</v>
      </c>
      <c r="Q1200" s="71">
        <v>0</v>
      </c>
      <c r="R1200" s="53">
        <v>0</v>
      </c>
      <c r="S1200" s="53">
        <v>1.97</v>
      </c>
      <c r="T1200" s="53">
        <f>STOCK[[#This Row],[Costo Unitario (USD)]]+STOCK[[#This Row],[Costo Envío (USD)]]+STOCK[[#This Row],[Comisión 10%]]</f>
        <v>18.29</v>
      </c>
      <c r="U1200" s="53">
        <f>STOCK[[#This Row],[Costo total]]*1.5</f>
        <v>27.435</v>
      </c>
      <c r="V1200" s="53">
        <v>25</v>
      </c>
      <c r="W1200" s="53">
        <f>STOCK[[#This Row],[Precio Final]]-STOCK[[#This Row],[Costo total]]</f>
        <v>6.71</v>
      </c>
      <c r="X1200" s="53">
        <f>STOCK[[#This Row],[Ganancia Unitaria]]*STOCK[[#This Row],[Salidas]]</f>
        <v>0</v>
      </c>
      <c r="AA1200" s="54">
        <f>STOCK[[#This Row],[Costo total]]*STOCK[[#This Row],[Entradas]]</f>
        <v>36.58</v>
      </c>
      <c r="AB1200" s="54">
        <f>STOCK[[#This Row],[Stock Actual]]*STOCK[[#This Row],[Costo total]]</f>
        <v>36.58</v>
      </c>
    </row>
    <row r="1201" s="54" customFormat="1" ht="50" customHeight="1" spans="1:28">
      <c r="A1201" s="54" t="s">
        <v>2521</v>
      </c>
      <c r="B1201" s="66"/>
      <c r="C1201" s="54" t="s">
        <v>32</v>
      </c>
      <c r="D1201" s="54" t="s">
        <v>152</v>
      </c>
      <c r="E1201" s="68" t="s">
        <v>2520</v>
      </c>
      <c r="F1201" s="54" t="s">
        <v>49</v>
      </c>
      <c r="G1201" s="54" t="s">
        <v>36</v>
      </c>
      <c r="H1201" s="54">
        <f>STOCK[[#This Row],[Precio Final]]</f>
        <v>25</v>
      </c>
      <c r="I1201" s="54">
        <f>STOCK[[#This Row],[Precio Venta Ideal (x1.5)]]</f>
        <v>27.435</v>
      </c>
      <c r="J1201" s="72">
        <v>2</v>
      </c>
      <c r="K1201" s="72">
        <f>SUMIFS(VENTAS[Cantidad],VENTAS[Código del producto Vendido],STOCK[[#This Row],[Code]])</f>
        <v>2</v>
      </c>
      <c r="L1201" s="72">
        <f>STOCK[[#This Row],[Entradas]]-STOCK[[#This Row],[Salidas]]</f>
        <v>0</v>
      </c>
      <c r="M1201" s="54">
        <f>STOCK[[#This Row],[Precio Final]]*10%</f>
        <v>2.5</v>
      </c>
      <c r="N1201" s="54">
        <v>0</v>
      </c>
      <c r="O1201" s="54">
        <v>0</v>
      </c>
      <c r="P1201" s="54">
        <v>13.82</v>
      </c>
      <c r="Q1201" s="72">
        <v>0</v>
      </c>
      <c r="R1201" s="54">
        <v>0</v>
      </c>
      <c r="S1201" s="54">
        <v>1.97</v>
      </c>
      <c r="T1201" s="53">
        <f>STOCK[[#This Row],[Costo Unitario (USD)]]+STOCK[[#This Row],[Costo Envío (USD)]]+STOCK[[#This Row],[Comisión 10%]]</f>
        <v>18.29</v>
      </c>
      <c r="U1201" s="54">
        <f>STOCK[[#This Row],[Costo total]]*1.5</f>
        <v>27.435</v>
      </c>
      <c r="V1201" s="54">
        <v>25</v>
      </c>
      <c r="W1201" s="54">
        <f>STOCK[[#This Row],[Precio Final]]-STOCK[[#This Row],[Costo total]]</f>
        <v>6.71</v>
      </c>
      <c r="X1201" s="54">
        <f>STOCK[[#This Row],[Ganancia Unitaria]]*STOCK[[#This Row],[Salidas]]</f>
        <v>13.42</v>
      </c>
      <c r="AA1201" s="54">
        <f>STOCK[[#This Row],[Costo total]]*STOCK[[#This Row],[Entradas]]</f>
        <v>36.58</v>
      </c>
      <c r="AB1201" s="54">
        <f>STOCK[[#This Row],[Stock Actual]]*STOCK[[#This Row],[Costo total]]</f>
        <v>0</v>
      </c>
    </row>
    <row r="1202" s="53" customFormat="1" ht="50" customHeight="1" spans="1:28">
      <c r="A1202" s="53" t="s">
        <v>2522</v>
      </c>
      <c r="B1202" s="66"/>
      <c r="C1202" s="53" t="s">
        <v>32</v>
      </c>
      <c r="D1202" s="53" t="s">
        <v>152</v>
      </c>
      <c r="E1202" s="67" t="s">
        <v>2520</v>
      </c>
      <c r="F1202" s="53" t="s">
        <v>46</v>
      </c>
      <c r="G1202" s="53" t="s">
        <v>36</v>
      </c>
      <c r="H1202" s="53">
        <f>STOCK[[#This Row],[Precio Final]]</f>
        <v>25</v>
      </c>
      <c r="I1202" s="53">
        <f>STOCK[[#This Row],[Precio Venta Ideal (x1.5)]]</f>
        <v>27.435</v>
      </c>
      <c r="J1202" s="71">
        <v>2</v>
      </c>
      <c r="K1202" s="71">
        <f>SUMIFS(VENTAS[Cantidad],VENTAS[Código del producto Vendido],STOCK[[#This Row],[Code]])</f>
        <v>1</v>
      </c>
      <c r="L1202" s="71">
        <f>STOCK[[#This Row],[Entradas]]-STOCK[[#This Row],[Salidas]]</f>
        <v>1</v>
      </c>
      <c r="M1202" s="53">
        <f>STOCK[[#This Row],[Precio Final]]*10%</f>
        <v>2.5</v>
      </c>
      <c r="N1202" s="53">
        <v>0</v>
      </c>
      <c r="O1202" s="53">
        <v>0</v>
      </c>
      <c r="P1202" s="53">
        <v>13.82</v>
      </c>
      <c r="Q1202" s="71">
        <v>0</v>
      </c>
      <c r="R1202" s="53">
        <v>0</v>
      </c>
      <c r="S1202" s="53">
        <v>1.97</v>
      </c>
      <c r="T1202" s="53">
        <f>STOCK[[#This Row],[Costo Unitario (USD)]]+STOCK[[#This Row],[Costo Envío (USD)]]+STOCK[[#This Row],[Comisión 10%]]</f>
        <v>18.29</v>
      </c>
      <c r="U1202" s="53">
        <f>STOCK[[#This Row],[Costo total]]*1.5</f>
        <v>27.435</v>
      </c>
      <c r="V1202" s="53">
        <v>25</v>
      </c>
      <c r="W1202" s="53">
        <f>STOCK[[#This Row],[Precio Final]]-STOCK[[#This Row],[Costo total]]</f>
        <v>6.71</v>
      </c>
      <c r="X1202" s="53">
        <f>STOCK[[#This Row],[Ganancia Unitaria]]*STOCK[[#This Row],[Salidas]]</f>
        <v>6.71</v>
      </c>
      <c r="AA1202" s="54">
        <f>STOCK[[#This Row],[Costo total]]*STOCK[[#This Row],[Entradas]]</f>
        <v>36.58</v>
      </c>
      <c r="AB1202" s="54">
        <f>STOCK[[#This Row],[Stock Actual]]*STOCK[[#This Row],[Costo total]]</f>
        <v>18.29</v>
      </c>
    </row>
    <row r="1203" s="54" customFormat="1" ht="50" customHeight="1" spans="1:28">
      <c r="A1203" s="54" t="s">
        <v>2523</v>
      </c>
      <c r="B1203" s="66"/>
      <c r="C1203" s="54" t="s">
        <v>32</v>
      </c>
      <c r="D1203" s="54" t="s">
        <v>1808</v>
      </c>
      <c r="E1203" s="68" t="s">
        <v>2524</v>
      </c>
      <c r="F1203" s="54" t="s">
        <v>525</v>
      </c>
      <c r="G1203" s="54" t="s">
        <v>36</v>
      </c>
      <c r="H1203" s="54">
        <f>STOCK[[#This Row],[Precio Final]]</f>
        <v>12</v>
      </c>
      <c r="I1203" s="54">
        <f>STOCK[[#This Row],[Precio Venta Ideal (x1.5)]]</f>
        <v>9.495</v>
      </c>
      <c r="J1203" s="72">
        <v>5</v>
      </c>
      <c r="K1203" s="72">
        <f>SUMIFS(VENTAS[Cantidad],VENTAS[Código del producto Vendido],STOCK[[#This Row],[Code]])</f>
        <v>2</v>
      </c>
      <c r="L1203" s="72">
        <f>STOCK[[#This Row],[Entradas]]-STOCK[[#This Row],[Salidas]]</f>
        <v>3</v>
      </c>
      <c r="M1203" s="54">
        <f>STOCK[[#This Row],[Precio Final]]*10%</f>
        <v>1.2</v>
      </c>
      <c r="N1203" s="54">
        <v>0</v>
      </c>
      <c r="O1203" s="54">
        <v>0</v>
      </c>
      <c r="P1203" s="54">
        <v>3.16</v>
      </c>
      <c r="Q1203" s="72">
        <v>0</v>
      </c>
      <c r="R1203" s="54">
        <v>0</v>
      </c>
      <c r="S1203" s="54">
        <v>1.97</v>
      </c>
      <c r="T1203" s="53">
        <f>STOCK[[#This Row],[Costo Unitario (USD)]]+STOCK[[#This Row],[Costo Envío (USD)]]+STOCK[[#This Row],[Comisión 10%]]</f>
        <v>6.33</v>
      </c>
      <c r="U1203" s="54">
        <f>STOCK[[#This Row],[Costo total]]*1.5</f>
        <v>9.495</v>
      </c>
      <c r="V1203" s="54">
        <v>12</v>
      </c>
      <c r="W1203" s="54">
        <f>STOCK[[#This Row],[Precio Final]]-STOCK[[#This Row],[Costo total]]</f>
        <v>5.67</v>
      </c>
      <c r="X1203" s="54">
        <f>STOCK[[#This Row],[Ganancia Unitaria]]*STOCK[[#This Row],[Salidas]]</f>
        <v>11.34</v>
      </c>
      <c r="AA1203" s="54">
        <f>STOCK[[#This Row],[Costo total]]*STOCK[[#This Row],[Entradas]]</f>
        <v>31.65</v>
      </c>
      <c r="AB1203" s="54">
        <f>STOCK[[#This Row],[Stock Actual]]*STOCK[[#This Row],[Costo total]]</f>
        <v>18.99</v>
      </c>
    </row>
    <row r="1204" s="53" customFormat="1" ht="50" customHeight="1" spans="1:28">
      <c r="A1204" s="53" t="s">
        <v>2525</v>
      </c>
      <c r="B1204" s="66"/>
      <c r="C1204" s="53" t="s">
        <v>32</v>
      </c>
      <c r="D1204" s="53" t="s">
        <v>1808</v>
      </c>
      <c r="E1204" s="67" t="s">
        <v>2526</v>
      </c>
      <c r="F1204" s="53" t="s">
        <v>525</v>
      </c>
      <c r="G1204" s="53" t="s">
        <v>36</v>
      </c>
      <c r="H1204" s="53">
        <f>STOCK[[#This Row],[Precio Final]]</f>
        <v>12</v>
      </c>
      <c r="I1204" s="53">
        <f>STOCK[[#This Row],[Precio Venta Ideal (x1.5)]]</f>
        <v>9.495</v>
      </c>
      <c r="J1204" s="71">
        <v>5</v>
      </c>
      <c r="K1204" s="71">
        <f>SUMIFS(VENTAS[Cantidad],VENTAS[Código del producto Vendido],STOCK[[#This Row],[Code]])</f>
        <v>1</v>
      </c>
      <c r="L1204" s="71">
        <f>STOCK[[#This Row],[Entradas]]-STOCK[[#This Row],[Salidas]]</f>
        <v>4</v>
      </c>
      <c r="M1204" s="53">
        <f>STOCK[[#This Row],[Precio Final]]*10%</f>
        <v>1.2</v>
      </c>
      <c r="N1204" s="53">
        <v>0</v>
      </c>
      <c r="O1204" s="53">
        <v>0</v>
      </c>
      <c r="P1204" s="53">
        <v>3.16</v>
      </c>
      <c r="Q1204" s="71">
        <v>0</v>
      </c>
      <c r="R1204" s="53">
        <v>0</v>
      </c>
      <c r="S1204" s="53">
        <v>1.97</v>
      </c>
      <c r="T1204" s="53">
        <f>STOCK[[#This Row],[Costo Unitario (USD)]]+STOCK[[#This Row],[Costo Envío (USD)]]+STOCK[[#This Row],[Comisión 10%]]</f>
        <v>6.33</v>
      </c>
      <c r="U1204" s="53">
        <f>STOCK[[#This Row],[Costo total]]*1.5</f>
        <v>9.495</v>
      </c>
      <c r="V1204" s="53">
        <v>12</v>
      </c>
      <c r="W1204" s="53">
        <f>STOCK[[#This Row],[Precio Final]]-STOCK[[#This Row],[Costo total]]</f>
        <v>5.67</v>
      </c>
      <c r="X1204" s="53">
        <f>STOCK[[#This Row],[Ganancia Unitaria]]*STOCK[[#This Row],[Salidas]]</f>
        <v>5.67</v>
      </c>
      <c r="AA1204" s="54">
        <f>STOCK[[#This Row],[Costo total]]*STOCK[[#This Row],[Entradas]]</f>
        <v>31.65</v>
      </c>
      <c r="AB1204" s="54">
        <f>STOCK[[#This Row],[Stock Actual]]*STOCK[[#This Row],[Costo total]]</f>
        <v>25.32</v>
      </c>
    </row>
    <row r="1205" s="54" customFormat="1" ht="50" customHeight="1" spans="1:28">
      <c r="A1205" s="54" t="s">
        <v>2527</v>
      </c>
      <c r="B1205" s="66"/>
      <c r="C1205" s="54" t="s">
        <v>32</v>
      </c>
      <c r="D1205" s="54" t="s">
        <v>174</v>
      </c>
      <c r="E1205" s="68" t="s">
        <v>2528</v>
      </c>
      <c r="F1205" s="54" t="s">
        <v>62</v>
      </c>
      <c r="G1205" s="54" t="s">
        <v>36</v>
      </c>
      <c r="H1205" s="54">
        <f>STOCK[[#This Row],[Precio Final]]</f>
        <v>18</v>
      </c>
      <c r="I1205" s="54">
        <f>STOCK[[#This Row],[Precio Venta Ideal (x1.5)]]</f>
        <v>18.03</v>
      </c>
      <c r="J1205" s="72">
        <v>1</v>
      </c>
      <c r="K1205" s="72">
        <f>SUMIFS(VENTAS[Cantidad],VENTAS[Código del producto Vendido],STOCK[[#This Row],[Code]])</f>
        <v>1</v>
      </c>
      <c r="L1205" s="72">
        <f>STOCK[[#This Row],[Entradas]]-STOCK[[#This Row],[Salidas]]</f>
        <v>0</v>
      </c>
      <c r="M1205" s="54">
        <f>STOCK[[#This Row],[Precio Final]]*10%</f>
        <v>1.8</v>
      </c>
      <c r="N1205" s="54">
        <v>0</v>
      </c>
      <c r="O1205" s="54">
        <v>0</v>
      </c>
      <c r="P1205" s="54">
        <v>8.25</v>
      </c>
      <c r="Q1205" s="72">
        <v>0</v>
      </c>
      <c r="R1205" s="54">
        <v>0</v>
      </c>
      <c r="S1205" s="54">
        <v>1.97</v>
      </c>
      <c r="T1205" s="53">
        <f>STOCK[[#This Row],[Costo Unitario (USD)]]+STOCK[[#This Row],[Costo Envío (USD)]]+STOCK[[#This Row],[Comisión 10%]]</f>
        <v>12.02</v>
      </c>
      <c r="U1205" s="54">
        <f>STOCK[[#This Row],[Costo total]]*1.5</f>
        <v>18.03</v>
      </c>
      <c r="V1205" s="54">
        <v>18</v>
      </c>
      <c r="W1205" s="54">
        <f>STOCK[[#This Row],[Precio Final]]-STOCK[[#This Row],[Costo total]]</f>
        <v>5.98</v>
      </c>
      <c r="X1205" s="54">
        <f>STOCK[[#This Row],[Ganancia Unitaria]]*STOCK[[#This Row],[Salidas]]</f>
        <v>5.98</v>
      </c>
      <c r="AA1205" s="54">
        <f>STOCK[[#This Row],[Costo total]]*STOCK[[#This Row],[Entradas]]</f>
        <v>12.02</v>
      </c>
      <c r="AB1205" s="54">
        <f>STOCK[[#This Row],[Stock Actual]]*STOCK[[#This Row],[Costo total]]</f>
        <v>0</v>
      </c>
    </row>
    <row r="1206" s="53" customFormat="1" ht="50" customHeight="1" spans="1:28">
      <c r="A1206" s="53" t="s">
        <v>2529</v>
      </c>
      <c r="B1206" s="66"/>
      <c r="C1206" s="53" t="s">
        <v>32</v>
      </c>
      <c r="D1206" s="53" t="s">
        <v>174</v>
      </c>
      <c r="E1206" s="67" t="s">
        <v>2528</v>
      </c>
      <c r="F1206" s="53" t="s">
        <v>49</v>
      </c>
      <c r="G1206" s="53" t="s">
        <v>36</v>
      </c>
      <c r="H1206" s="53">
        <f>STOCK[[#This Row],[Precio Final]]</f>
        <v>18</v>
      </c>
      <c r="I1206" s="53">
        <f>STOCK[[#This Row],[Precio Venta Ideal (x1.5)]]</f>
        <v>18.03</v>
      </c>
      <c r="J1206" s="71">
        <v>1</v>
      </c>
      <c r="K1206" s="71">
        <f>SUMIFS(VENTAS[Cantidad],VENTAS[Código del producto Vendido],STOCK[[#This Row],[Code]])</f>
        <v>1</v>
      </c>
      <c r="L1206" s="71">
        <f>STOCK[[#This Row],[Entradas]]-STOCK[[#This Row],[Salidas]]</f>
        <v>0</v>
      </c>
      <c r="M1206" s="53">
        <f>STOCK[[#This Row],[Precio Final]]*10%</f>
        <v>1.8</v>
      </c>
      <c r="N1206" s="53">
        <v>0</v>
      </c>
      <c r="O1206" s="53">
        <v>0</v>
      </c>
      <c r="P1206" s="53">
        <v>8.25</v>
      </c>
      <c r="Q1206" s="71">
        <v>0</v>
      </c>
      <c r="R1206" s="53">
        <v>0</v>
      </c>
      <c r="S1206" s="53">
        <v>1.97</v>
      </c>
      <c r="T1206" s="53">
        <f>STOCK[[#This Row],[Costo Unitario (USD)]]+STOCK[[#This Row],[Costo Envío (USD)]]+STOCK[[#This Row],[Comisión 10%]]</f>
        <v>12.02</v>
      </c>
      <c r="U1206" s="53">
        <f>STOCK[[#This Row],[Costo total]]*1.5</f>
        <v>18.03</v>
      </c>
      <c r="V1206" s="53">
        <v>18</v>
      </c>
      <c r="W1206" s="53">
        <f>STOCK[[#This Row],[Precio Final]]-STOCK[[#This Row],[Costo total]]</f>
        <v>5.98</v>
      </c>
      <c r="X1206" s="53">
        <f>STOCK[[#This Row],[Ganancia Unitaria]]*STOCK[[#This Row],[Salidas]]</f>
        <v>5.98</v>
      </c>
      <c r="AA1206" s="54">
        <f>STOCK[[#This Row],[Costo total]]*STOCK[[#This Row],[Entradas]]</f>
        <v>12.02</v>
      </c>
      <c r="AB1206" s="54">
        <f>STOCK[[#This Row],[Stock Actual]]*STOCK[[#This Row],[Costo total]]</f>
        <v>0</v>
      </c>
    </row>
    <row r="1207" s="54" customFormat="1" ht="50" customHeight="1" spans="1:28">
      <c r="A1207" s="54" t="s">
        <v>2530</v>
      </c>
      <c r="B1207" s="66"/>
      <c r="C1207" s="54" t="s">
        <v>32</v>
      </c>
      <c r="D1207" s="54" t="s">
        <v>174</v>
      </c>
      <c r="E1207" s="68" t="s">
        <v>2528</v>
      </c>
      <c r="F1207" s="54" t="s">
        <v>46</v>
      </c>
      <c r="G1207" s="54" t="s">
        <v>36</v>
      </c>
      <c r="H1207" s="54">
        <f>STOCK[[#This Row],[Precio Final]]</f>
        <v>18</v>
      </c>
      <c r="I1207" s="54">
        <f>STOCK[[#This Row],[Precio Venta Ideal (x1.5)]]</f>
        <v>18.03</v>
      </c>
      <c r="J1207" s="72">
        <v>1</v>
      </c>
      <c r="K1207" s="72">
        <f>SUMIFS(VENTAS[Cantidad],VENTAS[Código del producto Vendido],STOCK[[#This Row],[Code]])</f>
        <v>1</v>
      </c>
      <c r="L1207" s="72">
        <f>STOCK[[#This Row],[Entradas]]-STOCK[[#This Row],[Salidas]]</f>
        <v>0</v>
      </c>
      <c r="M1207" s="54">
        <f>STOCK[[#This Row],[Precio Final]]*10%</f>
        <v>1.8</v>
      </c>
      <c r="N1207" s="54">
        <v>0</v>
      </c>
      <c r="O1207" s="54">
        <v>0</v>
      </c>
      <c r="P1207" s="54">
        <v>8.25</v>
      </c>
      <c r="Q1207" s="72">
        <v>0</v>
      </c>
      <c r="R1207" s="54">
        <v>0</v>
      </c>
      <c r="S1207" s="54">
        <v>1.97</v>
      </c>
      <c r="T1207" s="53">
        <f>STOCK[[#This Row],[Costo Unitario (USD)]]+STOCK[[#This Row],[Costo Envío (USD)]]+STOCK[[#This Row],[Comisión 10%]]</f>
        <v>12.02</v>
      </c>
      <c r="U1207" s="54">
        <f>STOCK[[#This Row],[Costo total]]*1.5</f>
        <v>18.03</v>
      </c>
      <c r="V1207" s="54">
        <v>18</v>
      </c>
      <c r="W1207" s="54">
        <f>STOCK[[#This Row],[Precio Final]]-STOCK[[#This Row],[Costo total]]</f>
        <v>5.98</v>
      </c>
      <c r="X1207" s="54">
        <f>STOCK[[#This Row],[Ganancia Unitaria]]*STOCK[[#This Row],[Salidas]]</f>
        <v>5.98</v>
      </c>
      <c r="AA1207" s="54">
        <f>STOCK[[#This Row],[Costo total]]*STOCK[[#This Row],[Entradas]]</f>
        <v>12.02</v>
      </c>
      <c r="AB1207" s="54">
        <f>STOCK[[#This Row],[Stock Actual]]*STOCK[[#This Row],[Costo total]]</f>
        <v>0</v>
      </c>
    </row>
    <row r="1208" s="53" customFormat="1" ht="50" customHeight="1" spans="1:28">
      <c r="A1208" s="53" t="s">
        <v>2531</v>
      </c>
      <c r="B1208" s="66"/>
      <c r="C1208" s="53" t="s">
        <v>32</v>
      </c>
      <c r="D1208" s="53" t="s">
        <v>174</v>
      </c>
      <c r="E1208" s="67" t="s">
        <v>2532</v>
      </c>
      <c r="F1208" s="53" t="s">
        <v>62</v>
      </c>
      <c r="G1208" s="53" t="s">
        <v>36</v>
      </c>
      <c r="H1208" s="53">
        <f>STOCK[[#This Row],[Precio Final]]</f>
        <v>10</v>
      </c>
      <c r="I1208" s="53">
        <f>STOCK[[#This Row],[Precio Venta Ideal (x1.5)]]</f>
        <v>7.98</v>
      </c>
      <c r="J1208" s="71">
        <v>2</v>
      </c>
      <c r="K1208" s="71">
        <f>SUMIFS(VENTAS[Cantidad],VENTAS[Código del producto Vendido],STOCK[[#This Row],[Code]])</f>
        <v>0</v>
      </c>
      <c r="L1208" s="71">
        <f>STOCK[[#This Row],[Entradas]]-STOCK[[#This Row],[Salidas]]</f>
        <v>2</v>
      </c>
      <c r="M1208" s="53">
        <f>STOCK[[#This Row],[Precio Final]]*10%</f>
        <v>1</v>
      </c>
      <c r="N1208" s="53">
        <v>0</v>
      </c>
      <c r="O1208" s="53">
        <v>0</v>
      </c>
      <c r="P1208" s="53">
        <v>2.35</v>
      </c>
      <c r="Q1208" s="71">
        <v>0</v>
      </c>
      <c r="R1208" s="53">
        <v>0</v>
      </c>
      <c r="S1208" s="53">
        <v>1.97</v>
      </c>
      <c r="T1208" s="53">
        <f>STOCK[[#This Row],[Costo Unitario (USD)]]+STOCK[[#This Row],[Costo Envío (USD)]]+STOCK[[#This Row],[Comisión 10%]]</f>
        <v>5.32</v>
      </c>
      <c r="U1208" s="53">
        <f>STOCK[[#This Row],[Costo total]]*1.5</f>
        <v>7.98</v>
      </c>
      <c r="V1208" s="53">
        <v>10</v>
      </c>
      <c r="W1208" s="53">
        <f>STOCK[[#This Row],[Precio Final]]-STOCK[[#This Row],[Costo total]]</f>
        <v>4.68</v>
      </c>
      <c r="X1208" s="53">
        <f>STOCK[[#This Row],[Ganancia Unitaria]]*STOCK[[#This Row],[Salidas]]</f>
        <v>0</v>
      </c>
      <c r="AA1208" s="54">
        <f>STOCK[[#This Row],[Costo total]]*STOCK[[#This Row],[Entradas]]</f>
        <v>10.64</v>
      </c>
      <c r="AB1208" s="54">
        <f>STOCK[[#This Row],[Stock Actual]]*STOCK[[#This Row],[Costo total]]</f>
        <v>10.64</v>
      </c>
    </row>
    <row r="1209" s="54" customFormat="1" ht="50" customHeight="1" spans="1:28">
      <c r="A1209" s="54" t="s">
        <v>2533</v>
      </c>
      <c r="B1209" s="66"/>
      <c r="C1209" s="54" t="s">
        <v>32</v>
      </c>
      <c r="D1209" s="54" t="s">
        <v>174</v>
      </c>
      <c r="E1209" s="68" t="s">
        <v>2532</v>
      </c>
      <c r="F1209" s="54" t="s">
        <v>49</v>
      </c>
      <c r="G1209" s="54" t="s">
        <v>36</v>
      </c>
      <c r="H1209" s="54">
        <f>STOCK[[#This Row],[Precio Final]]</f>
        <v>10</v>
      </c>
      <c r="I1209" s="54">
        <f>STOCK[[#This Row],[Precio Venta Ideal (x1.5)]]</f>
        <v>7.98</v>
      </c>
      <c r="J1209" s="72">
        <v>3</v>
      </c>
      <c r="K1209" s="72">
        <f>SUMIFS(VENTAS[Cantidad],VENTAS[Código del producto Vendido],STOCK[[#This Row],[Code]])</f>
        <v>3</v>
      </c>
      <c r="L1209" s="72">
        <f>STOCK[[#This Row],[Entradas]]-STOCK[[#This Row],[Salidas]]</f>
        <v>0</v>
      </c>
      <c r="M1209" s="54">
        <f>STOCK[[#This Row],[Precio Final]]*10%</f>
        <v>1</v>
      </c>
      <c r="N1209" s="54">
        <v>0</v>
      </c>
      <c r="O1209" s="54">
        <v>0</v>
      </c>
      <c r="P1209" s="54">
        <v>2.35</v>
      </c>
      <c r="Q1209" s="72">
        <v>0</v>
      </c>
      <c r="R1209" s="54">
        <v>0</v>
      </c>
      <c r="S1209" s="54">
        <v>1.97</v>
      </c>
      <c r="T1209" s="53">
        <f>STOCK[[#This Row],[Costo Unitario (USD)]]+STOCK[[#This Row],[Costo Envío (USD)]]+STOCK[[#This Row],[Comisión 10%]]</f>
        <v>5.32</v>
      </c>
      <c r="U1209" s="54">
        <f>STOCK[[#This Row],[Costo total]]*1.5</f>
        <v>7.98</v>
      </c>
      <c r="V1209" s="54">
        <v>10</v>
      </c>
      <c r="W1209" s="54">
        <f>STOCK[[#This Row],[Precio Final]]-STOCK[[#This Row],[Costo total]]</f>
        <v>4.68</v>
      </c>
      <c r="X1209" s="54">
        <f>STOCK[[#This Row],[Ganancia Unitaria]]*STOCK[[#This Row],[Salidas]]</f>
        <v>14.04</v>
      </c>
      <c r="AA1209" s="54">
        <f>STOCK[[#This Row],[Costo total]]*STOCK[[#This Row],[Entradas]]</f>
        <v>15.96</v>
      </c>
      <c r="AB1209" s="54">
        <f>STOCK[[#This Row],[Stock Actual]]*STOCK[[#This Row],[Costo total]]</f>
        <v>0</v>
      </c>
    </row>
    <row r="1210" s="53" customFormat="1" ht="50" customHeight="1" spans="1:28">
      <c r="A1210" s="53" t="s">
        <v>2534</v>
      </c>
      <c r="B1210" s="66"/>
      <c r="C1210" s="53" t="s">
        <v>32</v>
      </c>
      <c r="D1210" s="53" t="s">
        <v>174</v>
      </c>
      <c r="E1210" s="67" t="s">
        <v>2532</v>
      </c>
      <c r="F1210" s="53" t="s">
        <v>46</v>
      </c>
      <c r="G1210" s="53" t="s">
        <v>36</v>
      </c>
      <c r="H1210" s="53">
        <f>STOCK[[#This Row],[Precio Final]]</f>
        <v>10</v>
      </c>
      <c r="I1210" s="53">
        <f>STOCK[[#This Row],[Precio Venta Ideal (x1.5)]]</f>
        <v>7.98</v>
      </c>
      <c r="J1210" s="71">
        <v>2</v>
      </c>
      <c r="K1210" s="71">
        <f>SUMIFS(VENTAS[Cantidad],VENTAS[Código del producto Vendido],STOCK[[#This Row],[Code]])</f>
        <v>1</v>
      </c>
      <c r="L1210" s="71">
        <f>STOCK[[#This Row],[Entradas]]-STOCK[[#This Row],[Salidas]]</f>
        <v>1</v>
      </c>
      <c r="M1210" s="53">
        <f>STOCK[[#This Row],[Precio Final]]*10%</f>
        <v>1</v>
      </c>
      <c r="N1210" s="53">
        <v>0</v>
      </c>
      <c r="O1210" s="53">
        <v>0</v>
      </c>
      <c r="P1210" s="53">
        <v>2.35</v>
      </c>
      <c r="Q1210" s="71">
        <v>0</v>
      </c>
      <c r="R1210" s="53">
        <v>0</v>
      </c>
      <c r="S1210" s="53">
        <v>1.97</v>
      </c>
      <c r="T1210" s="53">
        <f>STOCK[[#This Row],[Costo Unitario (USD)]]+STOCK[[#This Row],[Costo Envío (USD)]]+STOCK[[#This Row],[Comisión 10%]]</f>
        <v>5.32</v>
      </c>
      <c r="U1210" s="53">
        <f>STOCK[[#This Row],[Costo total]]*1.5</f>
        <v>7.98</v>
      </c>
      <c r="V1210" s="53">
        <v>10</v>
      </c>
      <c r="W1210" s="53">
        <f>STOCK[[#This Row],[Precio Final]]-STOCK[[#This Row],[Costo total]]</f>
        <v>4.68</v>
      </c>
      <c r="X1210" s="53">
        <f>STOCK[[#This Row],[Ganancia Unitaria]]*STOCK[[#This Row],[Salidas]]</f>
        <v>4.68</v>
      </c>
      <c r="AA1210" s="54">
        <f>STOCK[[#This Row],[Costo total]]*STOCK[[#This Row],[Entradas]]</f>
        <v>10.64</v>
      </c>
      <c r="AB1210" s="54">
        <f>STOCK[[#This Row],[Stock Actual]]*STOCK[[#This Row],[Costo total]]</f>
        <v>5.32</v>
      </c>
    </row>
    <row r="1211" s="54" customFormat="1" ht="50" customHeight="1" spans="1:28">
      <c r="A1211" s="54" t="s">
        <v>2535</v>
      </c>
      <c r="B1211" s="66"/>
      <c r="C1211" s="54" t="s">
        <v>32</v>
      </c>
      <c r="D1211" s="54" t="s">
        <v>174</v>
      </c>
      <c r="E1211" s="68" t="s">
        <v>2536</v>
      </c>
      <c r="F1211" s="54" t="s">
        <v>62</v>
      </c>
      <c r="G1211" s="54" t="s">
        <v>36</v>
      </c>
      <c r="H1211" s="54">
        <f>STOCK[[#This Row],[Precio Final]]</f>
        <v>10</v>
      </c>
      <c r="I1211" s="54">
        <f>STOCK[[#This Row],[Precio Venta Ideal (x1.5)]]</f>
        <v>7.98</v>
      </c>
      <c r="J1211" s="72">
        <v>2</v>
      </c>
      <c r="K1211" s="72">
        <f>SUMIFS(VENTAS[Cantidad],VENTAS[Código del producto Vendido],STOCK[[#This Row],[Code]])</f>
        <v>1</v>
      </c>
      <c r="L1211" s="72">
        <f>STOCK[[#This Row],[Entradas]]-STOCK[[#This Row],[Salidas]]</f>
        <v>1</v>
      </c>
      <c r="M1211" s="54">
        <f>STOCK[[#This Row],[Precio Final]]*10%</f>
        <v>1</v>
      </c>
      <c r="N1211" s="54">
        <v>0</v>
      </c>
      <c r="O1211" s="54">
        <v>0</v>
      </c>
      <c r="P1211" s="54">
        <v>2.35</v>
      </c>
      <c r="Q1211" s="72">
        <v>0</v>
      </c>
      <c r="R1211" s="54">
        <v>0</v>
      </c>
      <c r="S1211" s="54">
        <v>1.97</v>
      </c>
      <c r="T1211" s="53">
        <f>STOCK[[#This Row],[Costo Unitario (USD)]]+STOCK[[#This Row],[Costo Envío (USD)]]+STOCK[[#This Row],[Comisión 10%]]</f>
        <v>5.32</v>
      </c>
      <c r="U1211" s="54">
        <f>STOCK[[#This Row],[Costo total]]*1.5</f>
        <v>7.98</v>
      </c>
      <c r="V1211" s="54">
        <v>10</v>
      </c>
      <c r="W1211" s="54">
        <f>STOCK[[#This Row],[Precio Final]]-STOCK[[#This Row],[Costo total]]</f>
        <v>4.68</v>
      </c>
      <c r="X1211" s="54">
        <f>STOCK[[#This Row],[Ganancia Unitaria]]*STOCK[[#This Row],[Salidas]]</f>
        <v>4.68</v>
      </c>
      <c r="AA1211" s="54">
        <f>STOCK[[#This Row],[Costo total]]*STOCK[[#This Row],[Entradas]]</f>
        <v>10.64</v>
      </c>
      <c r="AB1211" s="54">
        <f>STOCK[[#This Row],[Stock Actual]]*STOCK[[#This Row],[Costo total]]</f>
        <v>5.32</v>
      </c>
    </row>
    <row r="1212" s="53" customFormat="1" ht="50" customHeight="1" spans="1:28">
      <c r="A1212" s="53" t="s">
        <v>2537</v>
      </c>
      <c r="B1212" s="66"/>
      <c r="C1212" s="53" t="s">
        <v>32</v>
      </c>
      <c r="D1212" s="53" t="s">
        <v>174</v>
      </c>
      <c r="E1212" s="67" t="s">
        <v>2536</v>
      </c>
      <c r="F1212" s="53" t="s">
        <v>49</v>
      </c>
      <c r="G1212" s="53" t="s">
        <v>36</v>
      </c>
      <c r="H1212" s="53">
        <f>STOCK[[#This Row],[Precio Final]]</f>
        <v>10</v>
      </c>
      <c r="I1212" s="53">
        <f>STOCK[[#This Row],[Precio Venta Ideal (x1.5)]]</f>
        <v>7.98</v>
      </c>
      <c r="J1212" s="71">
        <v>2</v>
      </c>
      <c r="K1212" s="71">
        <f>SUMIFS(VENTAS[Cantidad],VENTAS[Código del producto Vendido],STOCK[[#This Row],[Code]])</f>
        <v>2</v>
      </c>
      <c r="L1212" s="71">
        <f>STOCK[[#This Row],[Entradas]]-STOCK[[#This Row],[Salidas]]</f>
        <v>0</v>
      </c>
      <c r="M1212" s="53">
        <f>STOCK[[#This Row],[Precio Final]]*10%</f>
        <v>1</v>
      </c>
      <c r="N1212" s="53">
        <v>0</v>
      </c>
      <c r="O1212" s="53">
        <v>0</v>
      </c>
      <c r="P1212" s="53">
        <v>2.35</v>
      </c>
      <c r="Q1212" s="71">
        <v>0</v>
      </c>
      <c r="R1212" s="53">
        <v>0</v>
      </c>
      <c r="S1212" s="53">
        <v>1.97</v>
      </c>
      <c r="T1212" s="53">
        <f>STOCK[[#This Row],[Costo Unitario (USD)]]+STOCK[[#This Row],[Costo Envío (USD)]]+STOCK[[#This Row],[Comisión 10%]]</f>
        <v>5.32</v>
      </c>
      <c r="U1212" s="53">
        <f>STOCK[[#This Row],[Costo total]]*1.5</f>
        <v>7.98</v>
      </c>
      <c r="V1212" s="53">
        <v>10</v>
      </c>
      <c r="W1212" s="53">
        <f>STOCK[[#This Row],[Precio Final]]-STOCK[[#This Row],[Costo total]]</f>
        <v>4.68</v>
      </c>
      <c r="X1212" s="53">
        <f>STOCK[[#This Row],[Ganancia Unitaria]]*STOCK[[#This Row],[Salidas]]</f>
        <v>9.36</v>
      </c>
      <c r="AA1212" s="54">
        <f>STOCK[[#This Row],[Costo total]]*STOCK[[#This Row],[Entradas]]</f>
        <v>10.64</v>
      </c>
      <c r="AB1212" s="54">
        <f>STOCK[[#This Row],[Stock Actual]]*STOCK[[#This Row],[Costo total]]</f>
        <v>0</v>
      </c>
    </row>
    <row r="1213" s="54" customFormat="1" ht="50" customHeight="1" spans="1:28">
      <c r="A1213" s="54" t="s">
        <v>2538</v>
      </c>
      <c r="B1213" s="66"/>
      <c r="C1213" s="54" t="s">
        <v>32</v>
      </c>
      <c r="D1213" s="54" t="s">
        <v>174</v>
      </c>
      <c r="E1213" s="68" t="s">
        <v>2536</v>
      </c>
      <c r="F1213" s="54" t="s">
        <v>46</v>
      </c>
      <c r="G1213" s="54" t="s">
        <v>36</v>
      </c>
      <c r="H1213" s="54">
        <f>STOCK[[#This Row],[Precio Final]]</f>
        <v>10</v>
      </c>
      <c r="I1213" s="54">
        <f>STOCK[[#This Row],[Precio Venta Ideal (x1.5)]]</f>
        <v>7.98</v>
      </c>
      <c r="J1213" s="72">
        <v>2</v>
      </c>
      <c r="K1213" s="72">
        <f>SUMIFS(VENTAS[Cantidad],VENTAS[Código del producto Vendido],STOCK[[#This Row],[Code]])</f>
        <v>2</v>
      </c>
      <c r="L1213" s="72">
        <f>STOCK[[#This Row],[Entradas]]-STOCK[[#This Row],[Salidas]]</f>
        <v>0</v>
      </c>
      <c r="M1213" s="54">
        <f>STOCK[[#This Row],[Precio Final]]*10%</f>
        <v>1</v>
      </c>
      <c r="N1213" s="54">
        <v>0</v>
      </c>
      <c r="O1213" s="54">
        <v>0</v>
      </c>
      <c r="P1213" s="54">
        <v>2.35</v>
      </c>
      <c r="Q1213" s="72">
        <v>0</v>
      </c>
      <c r="R1213" s="54">
        <v>0</v>
      </c>
      <c r="S1213" s="54">
        <v>1.97</v>
      </c>
      <c r="T1213" s="53">
        <f>STOCK[[#This Row],[Costo Unitario (USD)]]+STOCK[[#This Row],[Costo Envío (USD)]]+STOCK[[#This Row],[Comisión 10%]]</f>
        <v>5.32</v>
      </c>
      <c r="U1213" s="54">
        <f>STOCK[[#This Row],[Costo total]]*1.5</f>
        <v>7.98</v>
      </c>
      <c r="V1213" s="54">
        <v>10</v>
      </c>
      <c r="W1213" s="54">
        <f>STOCK[[#This Row],[Precio Final]]-STOCK[[#This Row],[Costo total]]</f>
        <v>4.68</v>
      </c>
      <c r="X1213" s="54">
        <f>STOCK[[#This Row],[Ganancia Unitaria]]*STOCK[[#This Row],[Salidas]]</f>
        <v>9.36</v>
      </c>
      <c r="AA1213" s="54">
        <f>STOCK[[#This Row],[Costo total]]*STOCK[[#This Row],[Entradas]]</f>
        <v>10.64</v>
      </c>
      <c r="AB1213" s="54">
        <f>STOCK[[#This Row],[Stock Actual]]*STOCK[[#This Row],[Costo total]]</f>
        <v>0</v>
      </c>
    </row>
    <row r="1214" s="53" customFormat="1" ht="50" customHeight="1" spans="1:28">
      <c r="A1214" s="53" t="s">
        <v>2539</v>
      </c>
      <c r="B1214" s="66"/>
      <c r="C1214" s="53" t="s">
        <v>32</v>
      </c>
      <c r="D1214" s="53" t="s">
        <v>174</v>
      </c>
      <c r="E1214" s="67" t="s">
        <v>2540</v>
      </c>
      <c r="F1214" s="53" t="s">
        <v>46</v>
      </c>
      <c r="G1214" s="53" t="s">
        <v>36</v>
      </c>
      <c r="H1214" s="53">
        <f>STOCK[[#This Row],[Precio Final]]</f>
        <v>10</v>
      </c>
      <c r="I1214" s="53">
        <f>STOCK[[#This Row],[Precio Venta Ideal (x1.5)]]</f>
        <v>5.025</v>
      </c>
      <c r="J1214" s="71">
        <v>2</v>
      </c>
      <c r="K1214" s="71">
        <f>SUMIFS(VENTAS[Cantidad],VENTAS[Código del producto Vendido],STOCK[[#This Row],[Code]])</f>
        <v>2</v>
      </c>
      <c r="L1214" s="71">
        <f>STOCK[[#This Row],[Entradas]]-STOCK[[#This Row],[Salidas]]</f>
        <v>0</v>
      </c>
      <c r="M1214" s="53">
        <f>STOCK[[#This Row],[Precio Final]]*10%</f>
        <v>1</v>
      </c>
      <c r="N1214" s="53">
        <v>0</v>
      </c>
      <c r="O1214" s="53">
        <v>0</v>
      </c>
      <c r="P1214" s="54">
        <v>2.35</v>
      </c>
      <c r="Q1214" s="71">
        <v>0</v>
      </c>
      <c r="R1214" s="53">
        <v>0</v>
      </c>
      <c r="S1214" s="53">
        <v>0</v>
      </c>
      <c r="T1214" s="53">
        <f>STOCK[[#This Row],[Costo Unitario (USD)]]+STOCK[[#This Row],[Costo Envío (USD)]]+STOCK[[#This Row],[Comisión 10%]]</f>
        <v>3.35</v>
      </c>
      <c r="U1214" s="53">
        <f>STOCK[[#This Row],[Costo total]]*1.5</f>
        <v>5.025</v>
      </c>
      <c r="V1214" s="53">
        <v>10</v>
      </c>
      <c r="W1214" s="53">
        <f>STOCK[[#This Row],[Precio Final]]-STOCK[[#This Row],[Costo total]]</f>
        <v>6.65</v>
      </c>
      <c r="X1214" s="53">
        <f>STOCK[[#This Row],[Ganancia Unitaria]]*STOCK[[#This Row],[Salidas]]</f>
        <v>13.3</v>
      </c>
      <c r="AA1214" s="54">
        <f>STOCK[[#This Row],[Costo total]]*STOCK[[#This Row],[Entradas]]</f>
        <v>6.7</v>
      </c>
      <c r="AB1214" s="54">
        <f>STOCK[[#This Row],[Stock Actual]]*STOCK[[#This Row],[Costo total]]</f>
        <v>0</v>
      </c>
    </row>
    <row r="1215" s="53" customFormat="1" ht="50" customHeight="1" spans="1:28">
      <c r="A1215" s="53" t="s">
        <v>2541</v>
      </c>
      <c r="B1215" s="66"/>
      <c r="C1215" s="53" t="s">
        <v>32</v>
      </c>
      <c r="D1215" s="53" t="s">
        <v>174</v>
      </c>
      <c r="E1215" s="67" t="s">
        <v>2540</v>
      </c>
      <c r="F1215" s="53" t="s">
        <v>62</v>
      </c>
      <c r="G1215" s="53" t="s">
        <v>36</v>
      </c>
      <c r="H1215" s="53">
        <f>STOCK[[#This Row],[Precio Final]]</f>
        <v>10</v>
      </c>
      <c r="I1215" s="53">
        <f>STOCK[[#This Row],[Precio Venta Ideal (x1.5)]]</f>
        <v>4</v>
      </c>
      <c r="J1215" s="71">
        <v>2</v>
      </c>
      <c r="K1215" s="71">
        <f>SUMIFS(VENTAS[Cantidad],VENTAS[Código del producto Vendido],STOCK[[#This Row],[Code]])</f>
        <v>0</v>
      </c>
      <c r="L1215" s="71">
        <f>STOCK[[#This Row],[Entradas]]-STOCK[[#This Row],[Salidas]]</f>
        <v>2</v>
      </c>
      <c r="M1215" s="53">
        <f>STOCK[[#This Row],[Precio Final]]*10%</f>
        <v>1</v>
      </c>
      <c r="N1215" s="53">
        <v>0</v>
      </c>
      <c r="O1215" s="53">
        <v>0</v>
      </c>
      <c r="P1215" s="54">
        <v>2.33</v>
      </c>
      <c r="Q1215" s="71">
        <v>0</v>
      </c>
      <c r="R1215" s="53">
        <v>0</v>
      </c>
      <c r="S1215" s="53">
        <f>STOCK[[#This Row],[Peso (g)]]*STOCK[[#This Row],[Precio Envío Kilogramo (USD)]]/1000</f>
        <v>0</v>
      </c>
      <c r="T1215" s="53">
        <f>STOCK[[#This Row],[Costo Unitario (USD)]]+STOCK[[#This Row],[Costo Envío (USD)]]+STOCK[[#This Row],[Comisión 10%]]</f>
        <v>3.33</v>
      </c>
      <c r="U1215" s="53">
        <f>ROUNDUP(T1215,0)</f>
        <v>4</v>
      </c>
      <c r="V1215" s="53">
        <v>10</v>
      </c>
      <c r="W1215" s="53">
        <f>STOCK[[#This Row],[Precio Final]]-STOCK[[#This Row],[Costo total]]</f>
        <v>6.67</v>
      </c>
      <c r="X1215" s="53">
        <f>STOCK[[#This Row],[Ganancia Unitaria]]*STOCK[[#This Row],[Salidas]]</f>
        <v>0</v>
      </c>
      <c r="AA1215" s="54">
        <f>STOCK[[#This Row],[Costo total]]*STOCK[[#This Row],[Entradas]]</f>
        <v>6.66</v>
      </c>
      <c r="AB1215" s="54">
        <f>STOCK[[#This Row],[Stock Actual]]*STOCK[[#This Row],[Costo total]]</f>
        <v>6.66</v>
      </c>
    </row>
    <row r="1216" s="54" customFormat="1" ht="50" customHeight="1" spans="1:28">
      <c r="A1216" s="54" t="s">
        <v>2542</v>
      </c>
      <c r="B1216" s="66"/>
      <c r="C1216" s="54" t="s">
        <v>32</v>
      </c>
      <c r="D1216" s="54" t="s">
        <v>174</v>
      </c>
      <c r="E1216" s="68" t="s">
        <v>2540</v>
      </c>
      <c r="F1216" s="54" t="s">
        <v>49</v>
      </c>
      <c r="G1216" s="54" t="s">
        <v>36</v>
      </c>
      <c r="H1216" s="54">
        <f>STOCK[[#This Row],[Precio Final]]</f>
        <v>10</v>
      </c>
      <c r="I1216" s="54">
        <f>STOCK[[#This Row],[Precio Venta Ideal (x1.5)]]</f>
        <v>7.98</v>
      </c>
      <c r="J1216" s="72">
        <v>2</v>
      </c>
      <c r="K1216" s="72">
        <f>SUMIFS(VENTAS[Cantidad],VENTAS[Código del producto Vendido],STOCK[[#This Row],[Code]])</f>
        <v>2</v>
      </c>
      <c r="L1216" s="72">
        <f>STOCK[[#This Row],[Entradas]]-STOCK[[#This Row],[Salidas]]</f>
        <v>0</v>
      </c>
      <c r="M1216" s="54">
        <f>STOCK[[#This Row],[Precio Final]]*10%</f>
        <v>1</v>
      </c>
      <c r="N1216" s="54">
        <v>0</v>
      </c>
      <c r="O1216" s="54">
        <v>0</v>
      </c>
      <c r="P1216" s="54">
        <v>2.35</v>
      </c>
      <c r="Q1216" s="72">
        <v>0</v>
      </c>
      <c r="R1216" s="54">
        <v>0</v>
      </c>
      <c r="S1216" s="54">
        <v>1.97</v>
      </c>
      <c r="T1216" s="53">
        <f>STOCK[[#This Row],[Costo Unitario (USD)]]+STOCK[[#This Row],[Costo Envío (USD)]]+STOCK[[#This Row],[Comisión 10%]]</f>
        <v>5.32</v>
      </c>
      <c r="U1216" s="54">
        <f>STOCK[[#This Row],[Costo total]]*1.5</f>
        <v>7.98</v>
      </c>
      <c r="V1216" s="54">
        <v>10</v>
      </c>
      <c r="W1216" s="54">
        <f>STOCK[[#This Row],[Precio Final]]-STOCK[[#This Row],[Costo total]]</f>
        <v>4.68</v>
      </c>
      <c r="X1216" s="54">
        <f>STOCK[[#This Row],[Ganancia Unitaria]]*STOCK[[#This Row],[Salidas]]</f>
        <v>9.36</v>
      </c>
      <c r="AA1216" s="54">
        <f>STOCK[[#This Row],[Costo total]]*STOCK[[#This Row],[Entradas]]</f>
        <v>10.64</v>
      </c>
      <c r="AB1216" s="54">
        <f>STOCK[[#This Row],[Stock Actual]]*STOCK[[#This Row],[Costo total]]</f>
        <v>0</v>
      </c>
    </row>
    <row r="1217" s="53" customFormat="1" ht="50" customHeight="1" spans="1:28">
      <c r="A1217" s="53" t="s">
        <v>2543</v>
      </c>
      <c r="B1217" s="66"/>
      <c r="C1217" s="53" t="s">
        <v>32</v>
      </c>
      <c r="D1217" s="53" t="s">
        <v>174</v>
      </c>
      <c r="E1217" s="67" t="s">
        <v>2544</v>
      </c>
      <c r="F1217" s="53" t="s">
        <v>62</v>
      </c>
      <c r="G1217" s="53" t="s">
        <v>36</v>
      </c>
      <c r="H1217" s="53">
        <f>STOCK[[#This Row],[Precio Final]]</f>
        <v>10</v>
      </c>
      <c r="I1217" s="53">
        <f>STOCK[[#This Row],[Precio Venta Ideal (x1.5)]]</f>
        <v>7.98</v>
      </c>
      <c r="J1217" s="71">
        <v>2</v>
      </c>
      <c r="K1217" s="71">
        <f>SUMIFS(VENTAS[Cantidad],VENTAS[Código del producto Vendido],STOCK[[#This Row],[Code]])</f>
        <v>0</v>
      </c>
      <c r="L1217" s="71">
        <f>STOCK[[#This Row],[Entradas]]-STOCK[[#This Row],[Salidas]]</f>
        <v>2</v>
      </c>
      <c r="M1217" s="53">
        <f>STOCK[[#This Row],[Precio Final]]*10%</f>
        <v>1</v>
      </c>
      <c r="N1217" s="53">
        <v>0</v>
      </c>
      <c r="O1217" s="53">
        <v>0</v>
      </c>
      <c r="P1217" s="53">
        <v>2.35</v>
      </c>
      <c r="Q1217" s="71">
        <v>0</v>
      </c>
      <c r="R1217" s="53">
        <v>0</v>
      </c>
      <c r="S1217" s="53">
        <v>1.97</v>
      </c>
      <c r="T1217" s="53">
        <f>STOCK[[#This Row],[Costo Unitario (USD)]]+STOCK[[#This Row],[Costo Envío (USD)]]+STOCK[[#This Row],[Comisión 10%]]</f>
        <v>5.32</v>
      </c>
      <c r="U1217" s="53">
        <f>STOCK[[#This Row],[Costo total]]*1.5</f>
        <v>7.98</v>
      </c>
      <c r="V1217" s="53">
        <v>10</v>
      </c>
      <c r="W1217" s="53">
        <f>STOCK[[#This Row],[Precio Final]]-STOCK[[#This Row],[Costo total]]</f>
        <v>4.68</v>
      </c>
      <c r="X1217" s="53">
        <f>STOCK[[#This Row],[Ganancia Unitaria]]*STOCK[[#This Row],[Salidas]]</f>
        <v>0</v>
      </c>
      <c r="AA1217" s="54">
        <f>STOCK[[#This Row],[Costo total]]*STOCK[[#This Row],[Entradas]]</f>
        <v>10.64</v>
      </c>
      <c r="AB1217" s="54">
        <f>STOCK[[#This Row],[Stock Actual]]*STOCK[[#This Row],[Costo total]]</f>
        <v>10.64</v>
      </c>
    </row>
    <row r="1218" s="54" customFormat="1" ht="50" customHeight="1" spans="1:28">
      <c r="A1218" s="54" t="s">
        <v>2545</v>
      </c>
      <c r="B1218" s="66"/>
      <c r="C1218" s="54" t="s">
        <v>32</v>
      </c>
      <c r="D1218" s="54" t="s">
        <v>174</v>
      </c>
      <c r="E1218" s="68" t="s">
        <v>2544</v>
      </c>
      <c r="F1218" s="54" t="s">
        <v>49</v>
      </c>
      <c r="G1218" s="54" t="s">
        <v>36</v>
      </c>
      <c r="H1218" s="54">
        <f>STOCK[[#This Row],[Precio Final]]</f>
        <v>10</v>
      </c>
      <c r="I1218" s="54">
        <f>STOCK[[#This Row],[Precio Venta Ideal (x1.5)]]</f>
        <v>7.98</v>
      </c>
      <c r="J1218" s="72">
        <v>2</v>
      </c>
      <c r="K1218" s="72">
        <f>SUMIFS(VENTAS[Cantidad],VENTAS[Código del producto Vendido],STOCK[[#This Row],[Code]])</f>
        <v>2</v>
      </c>
      <c r="L1218" s="72">
        <f>STOCK[[#This Row],[Entradas]]-STOCK[[#This Row],[Salidas]]</f>
        <v>0</v>
      </c>
      <c r="M1218" s="54">
        <f>STOCK[[#This Row],[Precio Final]]*10%</f>
        <v>1</v>
      </c>
      <c r="N1218" s="54">
        <v>0</v>
      </c>
      <c r="O1218" s="54">
        <v>0</v>
      </c>
      <c r="P1218" s="54">
        <v>2.35</v>
      </c>
      <c r="Q1218" s="72">
        <v>0</v>
      </c>
      <c r="R1218" s="54">
        <v>0</v>
      </c>
      <c r="S1218" s="54">
        <v>1.97</v>
      </c>
      <c r="T1218" s="53">
        <f>STOCK[[#This Row],[Costo Unitario (USD)]]+STOCK[[#This Row],[Costo Envío (USD)]]+STOCK[[#This Row],[Comisión 10%]]</f>
        <v>5.32</v>
      </c>
      <c r="U1218" s="54">
        <f>STOCK[[#This Row],[Costo total]]*1.5</f>
        <v>7.98</v>
      </c>
      <c r="V1218" s="54">
        <v>10</v>
      </c>
      <c r="W1218" s="54">
        <f>STOCK[[#This Row],[Precio Final]]-STOCK[[#This Row],[Costo total]]</f>
        <v>4.68</v>
      </c>
      <c r="X1218" s="54">
        <f>STOCK[[#This Row],[Ganancia Unitaria]]*STOCK[[#This Row],[Salidas]]</f>
        <v>9.36</v>
      </c>
      <c r="AA1218" s="54">
        <f>STOCK[[#This Row],[Costo total]]*STOCK[[#This Row],[Entradas]]</f>
        <v>10.64</v>
      </c>
      <c r="AB1218" s="54">
        <f>STOCK[[#This Row],[Stock Actual]]*STOCK[[#This Row],[Costo total]]</f>
        <v>0</v>
      </c>
    </row>
    <row r="1219" s="53" customFormat="1" ht="50" customHeight="1" spans="1:28">
      <c r="A1219" s="53" t="s">
        <v>2546</v>
      </c>
      <c r="B1219" s="66"/>
      <c r="C1219" s="53" t="s">
        <v>32</v>
      </c>
      <c r="D1219" s="53" t="s">
        <v>174</v>
      </c>
      <c r="E1219" s="67" t="s">
        <v>2544</v>
      </c>
      <c r="F1219" s="53" t="s">
        <v>46</v>
      </c>
      <c r="G1219" s="53" t="s">
        <v>36</v>
      </c>
      <c r="H1219" s="53">
        <f>STOCK[[#This Row],[Precio Final]]</f>
        <v>10</v>
      </c>
      <c r="I1219" s="53">
        <f>STOCK[[#This Row],[Precio Venta Ideal (x1.5)]]</f>
        <v>7.98</v>
      </c>
      <c r="J1219" s="71">
        <v>2</v>
      </c>
      <c r="K1219" s="71">
        <f>SUMIFS(VENTAS[Cantidad],VENTAS[Código del producto Vendido],STOCK[[#This Row],[Code]])</f>
        <v>3</v>
      </c>
      <c r="L1219" s="71">
        <f>STOCK[[#This Row],[Entradas]]-STOCK[[#This Row],[Salidas]]</f>
        <v>-1</v>
      </c>
      <c r="M1219" s="53">
        <f>STOCK[[#This Row],[Precio Final]]*10%</f>
        <v>1</v>
      </c>
      <c r="N1219" s="53">
        <v>0</v>
      </c>
      <c r="O1219" s="53">
        <v>0</v>
      </c>
      <c r="P1219" s="53">
        <v>2.35</v>
      </c>
      <c r="Q1219" s="71">
        <v>0</v>
      </c>
      <c r="R1219" s="53">
        <v>0</v>
      </c>
      <c r="S1219" s="53">
        <v>1.97</v>
      </c>
      <c r="T1219" s="53">
        <f>STOCK[[#This Row],[Costo Unitario (USD)]]+STOCK[[#This Row],[Costo Envío (USD)]]+STOCK[[#This Row],[Comisión 10%]]</f>
        <v>5.32</v>
      </c>
      <c r="U1219" s="53">
        <f>STOCK[[#This Row],[Costo total]]*1.5</f>
        <v>7.98</v>
      </c>
      <c r="V1219" s="53">
        <v>10</v>
      </c>
      <c r="W1219" s="53">
        <f>STOCK[[#This Row],[Precio Final]]-STOCK[[#This Row],[Costo total]]</f>
        <v>4.68</v>
      </c>
      <c r="X1219" s="53">
        <f>STOCK[[#This Row],[Ganancia Unitaria]]*STOCK[[#This Row],[Salidas]]</f>
        <v>14.04</v>
      </c>
      <c r="AA1219" s="54">
        <f>STOCK[[#This Row],[Costo total]]*STOCK[[#This Row],[Entradas]]</f>
        <v>10.64</v>
      </c>
      <c r="AB1219" s="54">
        <f>STOCK[[#This Row],[Stock Actual]]*STOCK[[#This Row],[Costo total]]</f>
        <v>-5.32</v>
      </c>
    </row>
    <row r="1220" s="53" customFormat="1" ht="50" customHeight="1" spans="1:28">
      <c r="A1220" s="53" t="s">
        <v>2547</v>
      </c>
      <c r="B1220" s="66"/>
      <c r="C1220" s="53" t="s">
        <v>32</v>
      </c>
      <c r="D1220" s="53" t="s">
        <v>174</v>
      </c>
      <c r="E1220" s="67" t="s">
        <v>2548</v>
      </c>
      <c r="F1220" s="53" t="s">
        <v>49</v>
      </c>
      <c r="G1220" s="53" t="s">
        <v>36</v>
      </c>
      <c r="H1220" s="53">
        <f>STOCK[[#This Row],[Precio Final]]</f>
        <v>10</v>
      </c>
      <c r="I1220" s="53">
        <f>STOCK[[#This Row],[Precio Venta Ideal (x1.5)]]</f>
        <v>6</v>
      </c>
      <c r="J1220" s="71">
        <v>2</v>
      </c>
      <c r="K1220" s="71">
        <f>SUMIFS(VENTAS[Cantidad],VENTAS[Código del producto Vendido],STOCK[[#This Row],[Code]])</f>
        <v>2</v>
      </c>
      <c r="L1220" s="71">
        <f>STOCK[[#This Row],[Entradas]]-STOCK[[#This Row],[Salidas]]</f>
        <v>0</v>
      </c>
      <c r="M1220" s="53">
        <f>STOCK[[#This Row],[Precio Final]]*10%</f>
        <v>1</v>
      </c>
      <c r="N1220" s="53">
        <v>0</v>
      </c>
      <c r="O1220" s="53">
        <v>0</v>
      </c>
      <c r="P1220" s="53">
        <v>2.35</v>
      </c>
      <c r="Q1220" s="71">
        <v>0</v>
      </c>
      <c r="R1220" s="53">
        <v>0</v>
      </c>
      <c r="S1220" s="53">
        <v>1.97</v>
      </c>
      <c r="T1220" s="53">
        <f>STOCK[[#This Row],[Costo Unitario (USD)]]+STOCK[[#This Row],[Costo Envío (USD)]]+STOCK[[#This Row],[Comisión 10%]]</f>
        <v>5.32</v>
      </c>
      <c r="U1220" s="53">
        <f t="shared" ref="U1220:U1227" si="0">ROUNDUP(T1220,0)</f>
        <v>6</v>
      </c>
      <c r="V1220" s="53">
        <v>10</v>
      </c>
      <c r="W1220" s="53">
        <f>STOCK[[#This Row],[Precio Final]]-STOCK[[#This Row],[Costo total]]</f>
        <v>4.68</v>
      </c>
      <c r="X1220" s="53">
        <f>STOCK[[#This Row],[Ganancia Unitaria]]*STOCK[[#This Row],[Salidas]]</f>
        <v>9.36</v>
      </c>
      <c r="AA1220" s="54">
        <f>STOCK[[#This Row],[Costo total]]*STOCK[[#This Row],[Entradas]]</f>
        <v>10.64</v>
      </c>
      <c r="AB1220" s="54">
        <f>STOCK[[#This Row],[Stock Actual]]*STOCK[[#This Row],[Costo total]]</f>
        <v>0</v>
      </c>
    </row>
    <row r="1221" s="53" customFormat="1" ht="50" customHeight="1" spans="1:28">
      <c r="A1221" s="53" t="s">
        <v>2549</v>
      </c>
      <c r="B1221" s="66"/>
      <c r="C1221" s="53" t="s">
        <v>32</v>
      </c>
      <c r="D1221" s="53" t="s">
        <v>174</v>
      </c>
      <c r="E1221" s="67" t="s">
        <v>2548</v>
      </c>
      <c r="F1221" s="53" t="s">
        <v>62</v>
      </c>
      <c r="G1221" s="53" t="s">
        <v>36</v>
      </c>
      <c r="H1221" s="53">
        <f>STOCK[[#This Row],[Precio Final]]</f>
        <v>10</v>
      </c>
      <c r="I1221" s="53">
        <f>STOCK[[#This Row],[Precio Venta Ideal (x1.5)]]</f>
        <v>6</v>
      </c>
      <c r="J1221" s="71">
        <v>2</v>
      </c>
      <c r="K1221" s="71">
        <f>SUMIFS(VENTAS[Cantidad],VENTAS[Código del producto Vendido],STOCK[[#This Row],[Code]])</f>
        <v>1</v>
      </c>
      <c r="L1221" s="71">
        <f>STOCK[[#This Row],[Entradas]]-STOCK[[#This Row],[Salidas]]</f>
        <v>1</v>
      </c>
      <c r="M1221" s="53">
        <f>STOCK[[#This Row],[Precio Final]]*10%</f>
        <v>1</v>
      </c>
      <c r="N1221" s="53">
        <v>0</v>
      </c>
      <c r="O1221" s="53">
        <v>0</v>
      </c>
      <c r="P1221" s="53">
        <v>2.35</v>
      </c>
      <c r="Q1221" s="71">
        <v>0</v>
      </c>
      <c r="R1221" s="53">
        <v>0</v>
      </c>
      <c r="S1221" s="53">
        <v>1.97</v>
      </c>
      <c r="T1221" s="53">
        <f>STOCK[[#This Row],[Costo Unitario (USD)]]+STOCK[[#This Row],[Costo Envío (USD)]]+STOCK[[#This Row],[Comisión 10%]]</f>
        <v>5.32</v>
      </c>
      <c r="U1221" s="53">
        <f t="shared" si="0"/>
        <v>6</v>
      </c>
      <c r="V1221" s="53">
        <v>10</v>
      </c>
      <c r="W1221" s="53">
        <f>STOCK[[#This Row],[Precio Final]]-STOCK[[#This Row],[Costo total]]</f>
        <v>4.68</v>
      </c>
      <c r="X1221" s="53">
        <f>STOCK[[#This Row],[Ganancia Unitaria]]*STOCK[[#This Row],[Salidas]]</f>
        <v>4.68</v>
      </c>
      <c r="AA1221" s="54">
        <f>STOCK[[#This Row],[Costo total]]*STOCK[[#This Row],[Entradas]]</f>
        <v>10.64</v>
      </c>
      <c r="AB1221" s="54">
        <f>STOCK[[#This Row],[Stock Actual]]*STOCK[[#This Row],[Costo total]]</f>
        <v>5.32</v>
      </c>
    </row>
    <row r="1222" s="53" customFormat="1" ht="50" customHeight="1" spans="1:28">
      <c r="A1222" s="53" t="s">
        <v>2550</v>
      </c>
      <c r="B1222" s="66"/>
      <c r="C1222" s="53" t="s">
        <v>32</v>
      </c>
      <c r="D1222" s="53" t="s">
        <v>174</v>
      </c>
      <c r="E1222" s="67" t="s">
        <v>2548</v>
      </c>
      <c r="F1222" s="53" t="s">
        <v>46</v>
      </c>
      <c r="G1222" s="53" t="s">
        <v>36</v>
      </c>
      <c r="H1222" s="53">
        <f>STOCK[[#This Row],[Precio Final]]</f>
        <v>10</v>
      </c>
      <c r="I1222" s="53">
        <f>STOCK[[#This Row],[Precio Venta Ideal (x1.5)]]</f>
        <v>6</v>
      </c>
      <c r="J1222" s="71">
        <v>2</v>
      </c>
      <c r="K1222" s="71">
        <f>SUMIFS(VENTAS[Cantidad],VENTAS[Código del producto Vendido],STOCK[[#This Row],[Code]])</f>
        <v>2</v>
      </c>
      <c r="L1222" s="71">
        <f>STOCK[[#This Row],[Entradas]]-STOCK[[#This Row],[Salidas]]</f>
        <v>0</v>
      </c>
      <c r="M1222" s="53">
        <f>STOCK[[#This Row],[Precio Final]]*10%</f>
        <v>1</v>
      </c>
      <c r="N1222" s="53">
        <v>0</v>
      </c>
      <c r="O1222" s="53">
        <v>0</v>
      </c>
      <c r="P1222" s="53">
        <v>2.35</v>
      </c>
      <c r="Q1222" s="71">
        <v>0</v>
      </c>
      <c r="R1222" s="53">
        <v>0</v>
      </c>
      <c r="S1222" s="53">
        <v>1.97</v>
      </c>
      <c r="T1222" s="53">
        <f>STOCK[[#This Row],[Costo Unitario (USD)]]+STOCK[[#This Row],[Costo Envío (USD)]]+STOCK[[#This Row],[Comisión 10%]]</f>
        <v>5.32</v>
      </c>
      <c r="U1222" s="53">
        <f t="shared" si="0"/>
        <v>6</v>
      </c>
      <c r="V1222" s="53">
        <v>10</v>
      </c>
      <c r="W1222" s="53">
        <f>STOCK[[#This Row],[Precio Final]]-STOCK[[#This Row],[Costo total]]</f>
        <v>4.68</v>
      </c>
      <c r="X1222" s="53">
        <f>STOCK[[#This Row],[Ganancia Unitaria]]*STOCK[[#This Row],[Salidas]]</f>
        <v>9.36</v>
      </c>
      <c r="AA1222" s="54">
        <f>STOCK[[#This Row],[Costo total]]*STOCK[[#This Row],[Entradas]]</f>
        <v>10.64</v>
      </c>
      <c r="AB1222" s="54">
        <f>STOCK[[#This Row],[Stock Actual]]*STOCK[[#This Row],[Costo total]]</f>
        <v>0</v>
      </c>
    </row>
    <row r="1223" s="53" customFormat="1" ht="50" customHeight="1" spans="1:28">
      <c r="A1223" s="53" t="s">
        <v>2551</v>
      </c>
      <c r="B1223" s="66"/>
      <c r="C1223" s="53" t="s">
        <v>32</v>
      </c>
      <c r="D1223" s="53" t="s">
        <v>174</v>
      </c>
      <c r="E1223" s="67" t="s">
        <v>2552</v>
      </c>
      <c r="F1223" s="53" t="s">
        <v>49</v>
      </c>
      <c r="G1223" s="53" t="s">
        <v>36</v>
      </c>
      <c r="H1223" s="53">
        <f>STOCK[[#This Row],[Precio Final]]</f>
        <v>10</v>
      </c>
      <c r="I1223" s="53">
        <f>STOCK[[#This Row],[Precio Venta Ideal (x1.5)]]</f>
        <v>6</v>
      </c>
      <c r="J1223" s="71">
        <v>2</v>
      </c>
      <c r="K1223" s="71">
        <f>SUMIFS(VENTAS[Cantidad],VENTAS[Código del producto Vendido],STOCK[[#This Row],[Code]])</f>
        <v>1</v>
      </c>
      <c r="L1223" s="71">
        <f>STOCK[[#This Row],[Entradas]]-STOCK[[#This Row],[Salidas]]</f>
        <v>1</v>
      </c>
      <c r="M1223" s="53">
        <f>STOCK[[#This Row],[Precio Final]]*10%</f>
        <v>1</v>
      </c>
      <c r="N1223" s="53">
        <v>0</v>
      </c>
      <c r="O1223" s="53">
        <v>0</v>
      </c>
      <c r="P1223" s="53">
        <v>2.35</v>
      </c>
      <c r="Q1223" s="71">
        <v>0</v>
      </c>
      <c r="R1223" s="53">
        <v>0</v>
      </c>
      <c r="S1223" s="53">
        <v>1.97</v>
      </c>
      <c r="T1223" s="53">
        <f>STOCK[[#This Row],[Costo Unitario (USD)]]+STOCK[[#This Row],[Costo Envío (USD)]]+STOCK[[#This Row],[Comisión 10%]]</f>
        <v>5.32</v>
      </c>
      <c r="U1223" s="53">
        <f t="shared" si="0"/>
        <v>6</v>
      </c>
      <c r="V1223" s="53">
        <v>10</v>
      </c>
      <c r="W1223" s="53">
        <f>STOCK[[#This Row],[Precio Final]]-STOCK[[#This Row],[Costo total]]</f>
        <v>4.68</v>
      </c>
      <c r="X1223" s="53">
        <f>STOCK[[#This Row],[Ganancia Unitaria]]*STOCK[[#This Row],[Salidas]]</f>
        <v>4.68</v>
      </c>
      <c r="AA1223" s="54">
        <f>STOCK[[#This Row],[Costo total]]*STOCK[[#This Row],[Entradas]]</f>
        <v>10.64</v>
      </c>
      <c r="AB1223" s="54">
        <f>STOCK[[#This Row],[Stock Actual]]*STOCK[[#This Row],[Costo total]]</f>
        <v>5.32</v>
      </c>
    </row>
    <row r="1224" s="53" customFormat="1" ht="50" customHeight="1" spans="1:28">
      <c r="A1224" s="53" t="s">
        <v>2553</v>
      </c>
      <c r="B1224" s="66"/>
      <c r="C1224" s="53" t="s">
        <v>32</v>
      </c>
      <c r="D1224" s="53" t="s">
        <v>174</v>
      </c>
      <c r="E1224" s="67" t="s">
        <v>2552</v>
      </c>
      <c r="F1224" s="53" t="s">
        <v>46</v>
      </c>
      <c r="G1224" s="53" t="s">
        <v>36</v>
      </c>
      <c r="H1224" s="53">
        <f>STOCK[[#This Row],[Precio Final]]</f>
        <v>10</v>
      </c>
      <c r="I1224" s="53">
        <f>STOCK[[#This Row],[Precio Venta Ideal (x1.5)]]</f>
        <v>6</v>
      </c>
      <c r="J1224" s="71">
        <v>2</v>
      </c>
      <c r="K1224" s="71">
        <f>SUMIFS(VENTAS[Cantidad],VENTAS[Código del producto Vendido],STOCK[[#This Row],[Code]])</f>
        <v>2</v>
      </c>
      <c r="L1224" s="71">
        <f>STOCK[[#This Row],[Entradas]]-STOCK[[#This Row],[Salidas]]</f>
        <v>0</v>
      </c>
      <c r="M1224" s="53">
        <f>STOCK[[#This Row],[Precio Final]]*10%</f>
        <v>1</v>
      </c>
      <c r="N1224" s="53">
        <v>0</v>
      </c>
      <c r="O1224" s="53">
        <v>0</v>
      </c>
      <c r="P1224" s="53">
        <v>2.35</v>
      </c>
      <c r="Q1224" s="71">
        <v>0</v>
      </c>
      <c r="R1224" s="53">
        <v>0</v>
      </c>
      <c r="S1224" s="53">
        <v>1.97</v>
      </c>
      <c r="T1224" s="53">
        <f>STOCK[[#This Row],[Costo Unitario (USD)]]+STOCK[[#This Row],[Costo Envío (USD)]]+STOCK[[#This Row],[Comisión 10%]]</f>
        <v>5.32</v>
      </c>
      <c r="U1224" s="53">
        <f t="shared" si="0"/>
        <v>6</v>
      </c>
      <c r="V1224" s="53">
        <v>10</v>
      </c>
      <c r="W1224" s="53">
        <f>STOCK[[#This Row],[Precio Final]]-STOCK[[#This Row],[Costo total]]</f>
        <v>4.68</v>
      </c>
      <c r="X1224" s="53">
        <f>STOCK[[#This Row],[Ganancia Unitaria]]*STOCK[[#This Row],[Salidas]]</f>
        <v>9.36</v>
      </c>
      <c r="AA1224" s="54">
        <f>STOCK[[#This Row],[Costo total]]*STOCK[[#This Row],[Entradas]]</f>
        <v>10.64</v>
      </c>
      <c r="AB1224" s="54">
        <f>STOCK[[#This Row],[Stock Actual]]*STOCK[[#This Row],[Costo total]]</f>
        <v>0</v>
      </c>
    </row>
    <row r="1225" s="53" customFormat="1" ht="50" customHeight="1" spans="1:28">
      <c r="A1225" s="53" t="s">
        <v>2554</v>
      </c>
      <c r="B1225" s="66"/>
      <c r="C1225" s="53" t="s">
        <v>32</v>
      </c>
      <c r="D1225" s="53" t="s">
        <v>174</v>
      </c>
      <c r="E1225" s="67" t="s">
        <v>2555</v>
      </c>
      <c r="F1225" s="53" t="s">
        <v>62</v>
      </c>
      <c r="G1225" s="53" t="s">
        <v>36</v>
      </c>
      <c r="H1225" s="53">
        <f>STOCK[[#This Row],[Precio Final]]</f>
        <v>10</v>
      </c>
      <c r="I1225" s="53">
        <f>STOCK[[#This Row],[Precio Venta Ideal (x1.5)]]</f>
        <v>6</v>
      </c>
      <c r="J1225" s="71">
        <v>2</v>
      </c>
      <c r="K1225" s="71">
        <f>SUMIFS(VENTAS[Cantidad],VENTAS[Código del producto Vendido],STOCK[[#This Row],[Code]])</f>
        <v>1</v>
      </c>
      <c r="L1225" s="71">
        <f>STOCK[[#This Row],[Entradas]]-STOCK[[#This Row],[Salidas]]</f>
        <v>1</v>
      </c>
      <c r="M1225" s="53">
        <f>STOCK[[#This Row],[Precio Final]]*10%</f>
        <v>1</v>
      </c>
      <c r="N1225" s="53">
        <v>0</v>
      </c>
      <c r="O1225" s="53">
        <v>0</v>
      </c>
      <c r="P1225" s="53">
        <v>2.35</v>
      </c>
      <c r="Q1225" s="71">
        <v>0</v>
      </c>
      <c r="R1225" s="53">
        <v>0</v>
      </c>
      <c r="S1225" s="53">
        <v>1.97</v>
      </c>
      <c r="T1225" s="53">
        <f>STOCK[[#This Row],[Costo Unitario (USD)]]+STOCK[[#This Row],[Costo Envío (USD)]]+STOCK[[#This Row],[Comisión 10%]]</f>
        <v>5.32</v>
      </c>
      <c r="U1225" s="53">
        <f t="shared" si="0"/>
        <v>6</v>
      </c>
      <c r="V1225" s="53">
        <v>10</v>
      </c>
      <c r="W1225" s="53">
        <f>STOCK[[#This Row],[Precio Final]]-STOCK[[#This Row],[Costo total]]</f>
        <v>4.68</v>
      </c>
      <c r="X1225" s="53">
        <f>STOCK[[#This Row],[Ganancia Unitaria]]*STOCK[[#This Row],[Salidas]]</f>
        <v>4.68</v>
      </c>
      <c r="AA1225" s="54">
        <f>STOCK[[#This Row],[Costo total]]*STOCK[[#This Row],[Entradas]]</f>
        <v>10.64</v>
      </c>
      <c r="AB1225" s="54">
        <f>STOCK[[#This Row],[Stock Actual]]*STOCK[[#This Row],[Costo total]]</f>
        <v>5.32</v>
      </c>
    </row>
    <row r="1226" s="53" customFormat="1" ht="50" customHeight="1" spans="1:28">
      <c r="A1226" s="53" t="s">
        <v>2556</v>
      </c>
      <c r="B1226" s="66"/>
      <c r="C1226" s="53" t="s">
        <v>32</v>
      </c>
      <c r="D1226" s="53" t="s">
        <v>174</v>
      </c>
      <c r="E1226" s="67" t="s">
        <v>2555</v>
      </c>
      <c r="F1226" s="53" t="s">
        <v>49</v>
      </c>
      <c r="G1226" s="53" t="s">
        <v>36</v>
      </c>
      <c r="H1226" s="53">
        <f>STOCK[[#This Row],[Precio Final]]</f>
        <v>10</v>
      </c>
      <c r="I1226" s="53">
        <f>STOCK[[#This Row],[Precio Venta Ideal (x1.5)]]</f>
        <v>6</v>
      </c>
      <c r="J1226" s="71">
        <v>2</v>
      </c>
      <c r="K1226" s="71">
        <f>SUMIFS(VENTAS[Cantidad],VENTAS[Código del producto Vendido],STOCK[[#This Row],[Code]])</f>
        <v>2</v>
      </c>
      <c r="L1226" s="71">
        <f>STOCK[[#This Row],[Entradas]]-STOCK[[#This Row],[Salidas]]</f>
        <v>0</v>
      </c>
      <c r="M1226" s="53">
        <f>STOCK[[#This Row],[Precio Final]]*10%</f>
        <v>1</v>
      </c>
      <c r="N1226" s="53">
        <v>0</v>
      </c>
      <c r="O1226" s="53">
        <v>0</v>
      </c>
      <c r="P1226" s="53">
        <v>2.35</v>
      </c>
      <c r="Q1226" s="71">
        <v>0</v>
      </c>
      <c r="R1226" s="53">
        <v>0</v>
      </c>
      <c r="S1226" s="53">
        <v>1.97</v>
      </c>
      <c r="T1226" s="53">
        <f>STOCK[[#This Row],[Costo Unitario (USD)]]+STOCK[[#This Row],[Costo Envío (USD)]]+STOCK[[#This Row],[Comisión 10%]]</f>
        <v>5.32</v>
      </c>
      <c r="U1226" s="53">
        <f t="shared" si="0"/>
        <v>6</v>
      </c>
      <c r="V1226" s="53">
        <v>10</v>
      </c>
      <c r="W1226" s="53">
        <f>STOCK[[#This Row],[Precio Final]]-STOCK[[#This Row],[Costo total]]</f>
        <v>4.68</v>
      </c>
      <c r="X1226" s="53">
        <f>STOCK[[#This Row],[Ganancia Unitaria]]*STOCK[[#This Row],[Salidas]]</f>
        <v>9.36</v>
      </c>
      <c r="AA1226" s="54">
        <f>STOCK[[#This Row],[Costo total]]*STOCK[[#This Row],[Entradas]]</f>
        <v>10.64</v>
      </c>
      <c r="AB1226" s="54">
        <f>STOCK[[#This Row],[Stock Actual]]*STOCK[[#This Row],[Costo total]]</f>
        <v>0</v>
      </c>
    </row>
    <row r="1227" s="53" customFormat="1" ht="50" customHeight="1" spans="1:28">
      <c r="A1227" s="53" t="s">
        <v>2557</v>
      </c>
      <c r="B1227" s="66"/>
      <c r="C1227" s="53" t="s">
        <v>32</v>
      </c>
      <c r="D1227" s="53" t="s">
        <v>174</v>
      </c>
      <c r="E1227" s="67" t="s">
        <v>2555</v>
      </c>
      <c r="F1227" s="53" t="s">
        <v>46</v>
      </c>
      <c r="G1227" s="53" t="s">
        <v>36</v>
      </c>
      <c r="H1227" s="53">
        <f>STOCK[[#This Row],[Precio Final]]</f>
        <v>10</v>
      </c>
      <c r="I1227" s="53">
        <f>STOCK[[#This Row],[Precio Venta Ideal (x1.5)]]</f>
        <v>6</v>
      </c>
      <c r="J1227" s="71">
        <v>2</v>
      </c>
      <c r="K1227" s="71">
        <f>SUMIFS(VENTAS[Cantidad],VENTAS[Código del producto Vendido],STOCK[[#This Row],[Code]])</f>
        <v>2</v>
      </c>
      <c r="L1227" s="71">
        <f>STOCK[[#This Row],[Entradas]]-STOCK[[#This Row],[Salidas]]</f>
        <v>0</v>
      </c>
      <c r="M1227" s="53">
        <f>STOCK[[#This Row],[Precio Final]]*10%</f>
        <v>1</v>
      </c>
      <c r="N1227" s="53">
        <v>0</v>
      </c>
      <c r="O1227" s="53">
        <v>0</v>
      </c>
      <c r="P1227" s="53">
        <v>2.35</v>
      </c>
      <c r="Q1227" s="71">
        <v>0</v>
      </c>
      <c r="R1227" s="53">
        <v>0</v>
      </c>
      <c r="S1227" s="53">
        <v>1.97</v>
      </c>
      <c r="T1227" s="53">
        <f>STOCK[[#This Row],[Costo Unitario (USD)]]+STOCK[[#This Row],[Costo Envío (USD)]]+STOCK[[#This Row],[Comisión 10%]]</f>
        <v>5.32</v>
      </c>
      <c r="U1227" s="53">
        <f t="shared" si="0"/>
        <v>6</v>
      </c>
      <c r="V1227" s="53">
        <v>10</v>
      </c>
      <c r="W1227" s="53">
        <f>STOCK[[#This Row],[Precio Final]]-STOCK[[#This Row],[Costo total]]</f>
        <v>4.68</v>
      </c>
      <c r="X1227" s="53">
        <f>STOCK[[#This Row],[Ganancia Unitaria]]*STOCK[[#This Row],[Salidas]]</f>
        <v>9.36</v>
      </c>
      <c r="AA1227" s="54">
        <f>STOCK[[#This Row],[Costo total]]*STOCK[[#This Row],[Entradas]]</f>
        <v>10.64</v>
      </c>
      <c r="AB1227" s="54">
        <f>STOCK[[#This Row],[Stock Actual]]*STOCK[[#This Row],[Costo total]]</f>
        <v>0</v>
      </c>
    </row>
    <row r="1228" s="54" customFormat="1" ht="50" customHeight="1" spans="1:28">
      <c r="A1228" s="54" t="s">
        <v>2558</v>
      </c>
      <c r="B1228" s="66"/>
      <c r="C1228" s="54" t="s">
        <v>32</v>
      </c>
      <c r="D1228" s="54" t="s">
        <v>174</v>
      </c>
      <c r="E1228" s="68" t="s">
        <v>2552</v>
      </c>
      <c r="F1228" s="54" t="s">
        <v>62</v>
      </c>
      <c r="G1228" s="53" t="s">
        <v>36</v>
      </c>
      <c r="H1228" s="54">
        <f>STOCK[[#This Row],[Precio Final]]</f>
        <v>10</v>
      </c>
      <c r="I1228" s="54">
        <f>STOCK[[#This Row],[Precio Venta Ideal (x1.5)]]</f>
        <v>7.98</v>
      </c>
      <c r="J1228" s="72">
        <v>2</v>
      </c>
      <c r="K1228" s="72">
        <f>SUMIFS(VENTAS[Cantidad],VENTAS[Código del producto Vendido],STOCK[[#This Row],[Code]])</f>
        <v>2</v>
      </c>
      <c r="L1228" s="72">
        <f>STOCK[[#This Row],[Entradas]]-STOCK[[#This Row],[Salidas]]</f>
        <v>0</v>
      </c>
      <c r="M1228" s="54">
        <f>STOCK[[#This Row],[Precio Final]]*10%</f>
        <v>1</v>
      </c>
      <c r="N1228" s="54">
        <v>0</v>
      </c>
      <c r="O1228" s="54">
        <v>0</v>
      </c>
      <c r="P1228" s="54">
        <v>2.35</v>
      </c>
      <c r="Q1228" s="72">
        <v>0</v>
      </c>
      <c r="R1228" s="54">
        <v>0</v>
      </c>
      <c r="S1228" s="54">
        <v>1.97</v>
      </c>
      <c r="T1228" s="53">
        <f>STOCK[[#This Row],[Costo Unitario (USD)]]+STOCK[[#This Row],[Costo Envío (USD)]]+STOCK[[#This Row],[Comisión 10%]]</f>
        <v>5.32</v>
      </c>
      <c r="U1228" s="54">
        <f>STOCK[[#This Row],[Costo total]]*1.5</f>
        <v>7.98</v>
      </c>
      <c r="V1228" s="54">
        <v>10</v>
      </c>
      <c r="W1228" s="54">
        <f>STOCK[[#This Row],[Precio Final]]-STOCK[[#This Row],[Costo total]]</f>
        <v>4.68</v>
      </c>
      <c r="X1228" s="54">
        <f>STOCK[[#This Row],[Ganancia Unitaria]]*STOCK[[#This Row],[Salidas]]</f>
        <v>9.36</v>
      </c>
      <c r="AA1228" s="54">
        <f>STOCK[[#This Row],[Costo total]]*STOCK[[#This Row],[Entradas]]</f>
        <v>10.64</v>
      </c>
      <c r="AB1228" s="54">
        <f>STOCK[[#This Row],[Stock Actual]]*STOCK[[#This Row],[Costo total]]</f>
        <v>0</v>
      </c>
    </row>
    <row r="1229" s="53" customFormat="1" ht="50" customHeight="1" spans="1:28">
      <c r="A1229" s="53" t="s">
        <v>2559</v>
      </c>
      <c r="B1229" s="66"/>
      <c r="C1229" s="53" t="s">
        <v>32</v>
      </c>
      <c r="D1229" s="53" t="s">
        <v>2118</v>
      </c>
      <c r="E1229" s="67" t="s">
        <v>2560</v>
      </c>
      <c r="F1229" s="53" t="s">
        <v>49</v>
      </c>
      <c r="G1229" s="53" t="s">
        <v>1876</v>
      </c>
      <c r="H1229" s="53">
        <f>STOCK[[#This Row],[Precio Final]]</f>
        <v>35</v>
      </c>
      <c r="I1229" s="53">
        <f>STOCK[[#This Row],[Precio Venta Ideal (x1.5)]]</f>
        <v>32.64</v>
      </c>
      <c r="J1229" s="71">
        <v>2</v>
      </c>
      <c r="K1229" s="71">
        <f>SUMIFS(VENTAS[Cantidad],VENTAS[Código del producto Vendido],STOCK[[#This Row],[Code]])</f>
        <v>2</v>
      </c>
      <c r="L1229" s="71">
        <f>STOCK[[#This Row],[Entradas]]-STOCK[[#This Row],[Salidas]]</f>
        <v>0</v>
      </c>
      <c r="M1229" s="53">
        <f>STOCK[[#This Row],[Precio Final]]*10%</f>
        <v>3.5</v>
      </c>
      <c r="N1229" s="53">
        <v>0</v>
      </c>
      <c r="O1229" s="53">
        <v>0</v>
      </c>
      <c r="P1229" s="53">
        <v>16.29</v>
      </c>
      <c r="Q1229" s="71">
        <v>0</v>
      </c>
      <c r="R1229" s="53">
        <v>0</v>
      </c>
      <c r="S1229" s="53">
        <v>1.97</v>
      </c>
      <c r="T1229" s="53">
        <f>STOCK[[#This Row],[Costo Unitario (USD)]]+STOCK[[#This Row],[Costo Envío (USD)]]+STOCK[[#This Row],[Comisión 10%]]</f>
        <v>21.76</v>
      </c>
      <c r="U1229" s="53">
        <f>STOCK[[#This Row],[Costo total]]*1.5</f>
        <v>32.64</v>
      </c>
      <c r="V1229" s="53">
        <v>35</v>
      </c>
      <c r="W1229" s="53">
        <f>STOCK[[#This Row],[Precio Final]]-STOCK[[#This Row],[Costo total]]</f>
        <v>13.24</v>
      </c>
      <c r="X1229" s="53">
        <f>STOCK[[#This Row],[Ganancia Unitaria]]*STOCK[[#This Row],[Salidas]]</f>
        <v>26.48</v>
      </c>
      <c r="AA1229" s="54">
        <f>STOCK[[#This Row],[Costo total]]*STOCK[[#This Row],[Entradas]]</f>
        <v>43.52</v>
      </c>
      <c r="AB1229" s="54">
        <f>STOCK[[#This Row],[Stock Actual]]*STOCK[[#This Row],[Costo total]]</f>
        <v>0</v>
      </c>
    </row>
    <row r="1230" s="54" customFormat="1" ht="50" customHeight="1" spans="1:28">
      <c r="A1230" s="54" t="s">
        <v>2561</v>
      </c>
      <c r="B1230" s="66"/>
      <c r="C1230" s="54" t="s">
        <v>32</v>
      </c>
      <c r="D1230" s="54" t="s">
        <v>1808</v>
      </c>
      <c r="E1230" s="68" t="s">
        <v>2562</v>
      </c>
      <c r="F1230" s="54" t="s">
        <v>2563</v>
      </c>
      <c r="G1230" s="54" t="s">
        <v>1876</v>
      </c>
      <c r="H1230" s="54">
        <f>STOCK[[#This Row],[Precio Final]]</f>
        <v>15</v>
      </c>
      <c r="I1230" s="54">
        <f>STOCK[[#This Row],[Precio Venta Ideal (x1.5)]]</f>
        <v>11.79</v>
      </c>
      <c r="J1230" s="72">
        <v>5</v>
      </c>
      <c r="K1230" s="72">
        <f>SUMIFS(VENTAS[Cantidad],VENTAS[Código del producto Vendido],STOCK[[#This Row],[Code]])</f>
        <v>3</v>
      </c>
      <c r="L1230" s="72">
        <f>STOCK[[#This Row],[Entradas]]-STOCK[[#This Row],[Salidas]]</f>
        <v>2</v>
      </c>
      <c r="M1230" s="54">
        <f>STOCK[[#This Row],[Precio Final]]*10%</f>
        <v>1.5</v>
      </c>
      <c r="N1230" s="54">
        <v>0</v>
      </c>
      <c r="O1230" s="54">
        <v>0</v>
      </c>
      <c r="P1230" s="54">
        <v>4.39</v>
      </c>
      <c r="Q1230" s="72">
        <v>0</v>
      </c>
      <c r="R1230" s="54">
        <v>0</v>
      </c>
      <c r="S1230" s="54">
        <v>1.97</v>
      </c>
      <c r="T1230" s="53">
        <f>STOCK[[#This Row],[Costo Unitario (USD)]]+STOCK[[#This Row],[Costo Envío (USD)]]+STOCK[[#This Row],[Comisión 10%]]</f>
        <v>7.86</v>
      </c>
      <c r="U1230" s="54">
        <f>STOCK[[#This Row],[Costo total]]*1.5</f>
        <v>11.79</v>
      </c>
      <c r="V1230" s="54">
        <v>15</v>
      </c>
      <c r="W1230" s="54">
        <f>STOCK[[#This Row],[Precio Final]]-STOCK[[#This Row],[Costo total]]</f>
        <v>7.14</v>
      </c>
      <c r="X1230" s="54">
        <f>STOCK[[#This Row],[Ganancia Unitaria]]*STOCK[[#This Row],[Salidas]]</f>
        <v>21.42</v>
      </c>
      <c r="AA1230" s="54">
        <f>STOCK[[#This Row],[Costo total]]*STOCK[[#This Row],[Entradas]]</f>
        <v>39.3</v>
      </c>
      <c r="AB1230" s="54">
        <f>STOCK[[#This Row],[Stock Actual]]*STOCK[[#This Row],[Costo total]]</f>
        <v>15.72</v>
      </c>
    </row>
    <row r="1231" s="53" customFormat="1" ht="50" customHeight="1" spans="1:28">
      <c r="A1231" s="53" t="s">
        <v>2564</v>
      </c>
      <c r="B1231" s="66"/>
      <c r="C1231" s="53" t="s">
        <v>32</v>
      </c>
      <c r="D1231" s="53" t="s">
        <v>1190</v>
      </c>
      <c r="E1231" s="67" t="s">
        <v>2565</v>
      </c>
      <c r="F1231" s="53" t="s">
        <v>46</v>
      </c>
      <c r="G1231" s="53" t="s">
        <v>1876</v>
      </c>
      <c r="H1231" s="53">
        <f>STOCK[[#This Row],[Precio Final]]</f>
        <v>17</v>
      </c>
      <c r="I1231" s="53">
        <f>STOCK[[#This Row],[Precio Venta Ideal (x1.5)]]</f>
        <v>19.725</v>
      </c>
      <c r="J1231" s="71">
        <v>2</v>
      </c>
      <c r="K1231" s="71">
        <f>SUMIFS(VENTAS[Cantidad],VENTAS[Código del producto Vendido],STOCK[[#This Row],[Code]])</f>
        <v>2</v>
      </c>
      <c r="L1231" s="71">
        <f>STOCK[[#This Row],[Entradas]]-STOCK[[#This Row],[Salidas]]</f>
        <v>0</v>
      </c>
      <c r="M1231" s="53">
        <f>STOCK[[#This Row],[Precio Final]]*10%</f>
        <v>1.7</v>
      </c>
      <c r="N1231" s="53">
        <v>0</v>
      </c>
      <c r="O1231" s="53">
        <v>0</v>
      </c>
      <c r="P1231" s="53">
        <v>9.48</v>
      </c>
      <c r="Q1231" s="71">
        <v>0</v>
      </c>
      <c r="R1231" s="53">
        <v>0</v>
      </c>
      <c r="S1231" s="53">
        <v>1.97</v>
      </c>
      <c r="T1231" s="53">
        <f>STOCK[[#This Row],[Costo Unitario (USD)]]+STOCK[[#This Row],[Costo Envío (USD)]]+STOCK[[#This Row],[Comisión 10%]]</f>
        <v>13.15</v>
      </c>
      <c r="U1231" s="53">
        <f>STOCK[[#This Row],[Costo total]]*1.5</f>
        <v>19.725</v>
      </c>
      <c r="V1231" s="53">
        <v>17</v>
      </c>
      <c r="W1231" s="53">
        <f>STOCK[[#This Row],[Precio Final]]-STOCK[[#This Row],[Costo total]]</f>
        <v>3.85</v>
      </c>
      <c r="X1231" s="53">
        <f>STOCK[[#This Row],[Ganancia Unitaria]]*STOCK[[#This Row],[Salidas]]</f>
        <v>7.7</v>
      </c>
      <c r="AA1231" s="54">
        <f>STOCK[[#This Row],[Costo total]]*STOCK[[#This Row],[Entradas]]</f>
        <v>26.3</v>
      </c>
      <c r="AB1231" s="54">
        <f>STOCK[[#This Row],[Stock Actual]]*STOCK[[#This Row],[Costo total]]</f>
        <v>0</v>
      </c>
    </row>
    <row r="1232" s="54" customFormat="1" ht="50" customHeight="1" spans="1:28">
      <c r="A1232" s="54" t="s">
        <v>2566</v>
      </c>
      <c r="B1232" s="66"/>
      <c r="C1232" s="54" t="s">
        <v>32</v>
      </c>
      <c r="D1232" s="54" t="s">
        <v>1190</v>
      </c>
      <c r="E1232" s="68" t="s">
        <v>2565</v>
      </c>
      <c r="F1232" s="54" t="s">
        <v>62</v>
      </c>
      <c r="G1232" s="54" t="s">
        <v>1876</v>
      </c>
      <c r="H1232" s="54">
        <f>STOCK[[#This Row],[Precio Final]]</f>
        <v>17</v>
      </c>
      <c r="I1232" s="54">
        <f>STOCK[[#This Row],[Precio Venta Ideal (x1.5)]]</f>
        <v>19.725</v>
      </c>
      <c r="J1232" s="72">
        <v>2</v>
      </c>
      <c r="K1232" s="72">
        <f>SUMIFS(VENTAS[Cantidad],VENTAS[Código del producto Vendido],STOCK[[#This Row],[Code]])</f>
        <v>1</v>
      </c>
      <c r="L1232" s="72">
        <f>STOCK[[#This Row],[Entradas]]-STOCK[[#This Row],[Salidas]]</f>
        <v>1</v>
      </c>
      <c r="M1232" s="54">
        <f>STOCK[[#This Row],[Precio Final]]*10%</f>
        <v>1.7</v>
      </c>
      <c r="N1232" s="54">
        <v>0</v>
      </c>
      <c r="O1232" s="54">
        <v>0</v>
      </c>
      <c r="P1232" s="54">
        <v>9.48</v>
      </c>
      <c r="Q1232" s="72">
        <v>0</v>
      </c>
      <c r="R1232" s="54">
        <v>0</v>
      </c>
      <c r="S1232" s="54">
        <v>1.97</v>
      </c>
      <c r="T1232" s="53">
        <f>STOCK[[#This Row],[Costo Unitario (USD)]]+STOCK[[#This Row],[Costo Envío (USD)]]+STOCK[[#This Row],[Comisión 10%]]</f>
        <v>13.15</v>
      </c>
      <c r="U1232" s="54">
        <f>STOCK[[#This Row],[Costo total]]*1.5</f>
        <v>19.725</v>
      </c>
      <c r="V1232" s="54">
        <v>17</v>
      </c>
      <c r="W1232" s="54">
        <f>STOCK[[#This Row],[Precio Final]]-STOCK[[#This Row],[Costo total]]</f>
        <v>3.85</v>
      </c>
      <c r="X1232" s="54">
        <f>STOCK[[#This Row],[Ganancia Unitaria]]*STOCK[[#This Row],[Salidas]]</f>
        <v>3.85</v>
      </c>
      <c r="AA1232" s="54">
        <f>STOCK[[#This Row],[Costo total]]*STOCK[[#This Row],[Entradas]]</f>
        <v>26.3</v>
      </c>
      <c r="AB1232" s="54">
        <f>STOCK[[#This Row],[Stock Actual]]*STOCK[[#This Row],[Costo total]]</f>
        <v>13.15</v>
      </c>
    </row>
    <row r="1233" s="53" customFormat="1" ht="50" customHeight="1" spans="1:28">
      <c r="A1233" s="53" t="s">
        <v>2567</v>
      </c>
      <c r="B1233" s="66"/>
      <c r="C1233" s="53" t="s">
        <v>32</v>
      </c>
      <c r="D1233" s="53" t="s">
        <v>1190</v>
      </c>
      <c r="E1233" s="67" t="s">
        <v>2565</v>
      </c>
      <c r="F1233" s="53" t="s">
        <v>49</v>
      </c>
      <c r="G1233" s="53" t="s">
        <v>1876</v>
      </c>
      <c r="H1233" s="53">
        <f>STOCK[[#This Row],[Precio Final]]</f>
        <v>17</v>
      </c>
      <c r="I1233" s="53">
        <f>STOCK[[#This Row],[Precio Venta Ideal (x1.5)]]</f>
        <v>19.725</v>
      </c>
      <c r="J1233" s="71">
        <v>2</v>
      </c>
      <c r="K1233" s="71">
        <f>SUMIFS(VENTAS[Cantidad],VENTAS[Código del producto Vendido],STOCK[[#This Row],[Code]])</f>
        <v>2</v>
      </c>
      <c r="L1233" s="71">
        <f>STOCK[[#This Row],[Entradas]]-STOCK[[#This Row],[Salidas]]</f>
        <v>0</v>
      </c>
      <c r="M1233" s="53">
        <f>STOCK[[#This Row],[Precio Final]]*10%</f>
        <v>1.7</v>
      </c>
      <c r="N1233" s="53">
        <v>0</v>
      </c>
      <c r="O1233" s="53">
        <v>0</v>
      </c>
      <c r="P1233" s="53">
        <v>9.48</v>
      </c>
      <c r="Q1233" s="71">
        <v>0</v>
      </c>
      <c r="R1233" s="53">
        <v>0</v>
      </c>
      <c r="S1233" s="53">
        <v>1.97</v>
      </c>
      <c r="T1233" s="53">
        <f>STOCK[[#This Row],[Costo Unitario (USD)]]+STOCK[[#This Row],[Costo Envío (USD)]]+STOCK[[#This Row],[Comisión 10%]]</f>
        <v>13.15</v>
      </c>
      <c r="U1233" s="53">
        <f>STOCK[[#This Row],[Costo total]]*1.5</f>
        <v>19.725</v>
      </c>
      <c r="V1233" s="53">
        <v>17</v>
      </c>
      <c r="W1233" s="53">
        <f>STOCK[[#This Row],[Precio Final]]-STOCK[[#This Row],[Costo total]]</f>
        <v>3.85</v>
      </c>
      <c r="X1233" s="53">
        <f>STOCK[[#This Row],[Ganancia Unitaria]]*STOCK[[#This Row],[Salidas]]</f>
        <v>7.7</v>
      </c>
      <c r="AA1233" s="54">
        <f>STOCK[[#This Row],[Costo total]]*STOCK[[#This Row],[Entradas]]</f>
        <v>26.3</v>
      </c>
      <c r="AB1233" s="54">
        <f>STOCK[[#This Row],[Stock Actual]]*STOCK[[#This Row],[Costo total]]</f>
        <v>0</v>
      </c>
    </row>
    <row r="1234" s="54" customFormat="1" ht="50" customHeight="1" spans="1:28">
      <c r="A1234" s="54" t="s">
        <v>2568</v>
      </c>
      <c r="B1234" s="66"/>
      <c r="C1234" s="54" t="s">
        <v>32</v>
      </c>
      <c r="D1234" s="54" t="s">
        <v>2569</v>
      </c>
      <c r="E1234" s="68" t="s">
        <v>2570</v>
      </c>
      <c r="F1234" s="54" t="s">
        <v>49</v>
      </c>
      <c r="G1234" s="54" t="s">
        <v>1876</v>
      </c>
      <c r="H1234" s="54">
        <f>STOCK[[#This Row],[Precio Final]]</f>
        <v>25</v>
      </c>
      <c r="I1234" s="54">
        <f>STOCK[[#This Row],[Precio Venta Ideal (x1.5)]]</f>
        <v>23.49</v>
      </c>
      <c r="J1234" s="72">
        <v>1</v>
      </c>
      <c r="K1234" s="72">
        <f>SUMIFS(VENTAS[Cantidad],VENTAS[Código del producto Vendido],STOCK[[#This Row],[Code]])</f>
        <v>0</v>
      </c>
      <c r="L1234" s="72">
        <f>STOCK[[#This Row],[Entradas]]-STOCK[[#This Row],[Salidas]]</f>
        <v>1</v>
      </c>
      <c r="M1234" s="54">
        <f>STOCK[[#This Row],[Precio Final]]*10%</f>
        <v>2.5</v>
      </c>
      <c r="N1234" s="54">
        <v>0</v>
      </c>
      <c r="O1234" s="54">
        <v>0</v>
      </c>
      <c r="P1234" s="54">
        <v>11.19</v>
      </c>
      <c r="Q1234" s="72">
        <v>0</v>
      </c>
      <c r="R1234" s="54">
        <v>0</v>
      </c>
      <c r="S1234" s="54">
        <v>1.97</v>
      </c>
      <c r="T1234" s="53">
        <f>STOCK[[#This Row],[Costo Unitario (USD)]]+STOCK[[#This Row],[Costo Envío (USD)]]+STOCK[[#This Row],[Comisión 10%]]</f>
        <v>15.66</v>
      </c>
      <c r="U1234" s="54">
        <f>STOCK[[#This Row],[Costo total]]*1.5</f>
        <v>23.49</v>
      </c>
      <c r="V1234" s="54">
        <v>25</v>
      </c>
      <c r="W1234" s="54">
        <f>STOCK[[#This Row],[Precio Final]]-STOCK[[#This Row],[Costo total]]</f>
        <v>9.34</v>
      </c>
      <c r="X1234" s="54">
        <f>STOCK[[#This Row],[Ganancia Unitaria]]*STOCK[[#This Row],[Salidas]]</f>
        <v>0</v>
      </c>
      <c r="AA1234" s="54">
        <f>STOCK[[#This Row],[Costo total]]*STOCK[[#This Row],[Entradas]]</f>
        <v>15.66</v>
      </c>
      <c r="AB1234" s="54">
        <f>STOCK[[#This Row],[Stock Actual]]*STOCK[[#This Row],[Costo total]]</f>
        <v>15.66</v>
      </c>
    </row>
    <row r="1235" s="53" customFormat="1" ht="50" customHeight="1" spans="1:28">
      <c r="A1235" s="53" t="s">
        <v>2571</v>
      </c>
      <c r="B1235" s="66"/>
      <c r="C1235" s="53" t="s">
        <v>32</v>
      </c>
      <c r="D1235" s="53" t="s">
        <v>2569</v>
      </c>
      <c r="E1235" s="67" t="s">
        <v>2570</v>
      </c>
      <c r="F1235" s="53" t="s">
        <v>62</v>
      </c>
      <c r="G1235" s="53" t="s">
        <v>1876</v>
      </c>
      <c r="H1235" s="53">
        <f>STOCK[[#This Row],[Precio Final]]</f>
        <v>25</v>
      </c>
      <c r="I1235" s="53">
        <f>STOCK[[#This Row],[Precio Venta Ideal (x1.5)]]</f>
        <v>23.49</v>
      </c>
      <c r="J1235" s="71">
        <v>1</v>
      </c>
      <c r="K1235" s="71">
        <f>SUMIFS(VENTAS[Cantidad],VENTAS[Código del producto Vendido],STOCK[[#This Row],[Code]])</f>
        <v>0</v>
      </c>
      <c r="L1235" s="71">
        <f>STOCK[[#This Row],[Entradas]]-STOCK[[#This Row],[Salidas]]</f>
        <v>1</v>
      </c>
      <c r="M1235" s="53">
        <f>STOCK[[#This Row],[Precio Final]]*10%</f>
        <v>2.5</v>
      </c>
      <c r="N1235" s="53">
        <v>0</v>
      </c>
      <c r="O1235" s="53">
        <v>0</v>
      </c>
      <c r="P1235" s="53">
        <v>11.19</v>
      </c>
      <c r="Q1235" s="71">
        <v>0</v>
      </c>
      <c r="R1235" s="53">
        <v>0</v>
      </c>
      <c r="S1235" s="53">
        <v>1.97</v>
      </c>
      <c r="T1235" s="53">
        <f>STOCK[[#This Row],[Costo Unitario (USD)]]+STOCK[[#This Row],[Costo Envío (USD)]]+STOCK[[#This Row],[Comisión 10%]]</f>
        <v>15.66</v>
      </c>
      <c r="U1235" s="53">
        <f>STOCK[[#This Row],[Costo total]]*1.5</f>
        <v>23.49</v>
      </c>
      <c r="V1235" s="53">
        <v>25</v>
      </c>
      <c r="W1235" s="53">
        <f>STOCK[[#This Row],[Precio Final]]-STOCK[[#This Row],[Costo total]]</f>
        <v>9.34</v>
      </c>
      <c r="X1235" s="53">
        <f>STOCK[[#This Row],[Ganancia Unitaria]]*STOCK[[#This Row],[Salidas]]</f>
        <v>0</v>
      </c>
      <c r="AA1235" s="54">
        <f>STOCK[[#This Row],[Costo total]]*STOCK[[#This Row],[Entradas]]</f>
        <v>15.66</v>
      </c>
      <c r="AB1235" s="54">
        <f>STOCK[[#This Row],[Stock Actual]]*STOCK[[#This Row],[Costo total]]</f>
        <v>15.66</v>
      </c>
    </row>
    <row r="1236" s="54" customFormat="1" ht="50" customHeight="1" spans="1:28">
      <c r="A1236" s="54" t="s">
        <v>2572</v>
      </c>
      <c r="B1236" s="66"/>
      <c r="C1236" s="54" t="s">
        <v>32</v>
      </c>
      <c r="D1236" s="54" t="s">
        <v>1190</v>
      </c>
      <c r="E1236" s="68" t="s">
        <v>2573</v>
      </c>
      <c r="F1236" s="54" t="s">
        <v>525</v>
      </c>
      <c r="G1236" s="54" t="s">
        <v>1876</v>
      </c>
      <c r="H1236" s="54">
        <f>STOCK[[#This Row],[Precio Final]]</f>
        <v>18</v>
      </c>
      <c r="I1236" s="54">
        <f>STOCK[[#This Row],[Precio Venta Ideal (x1.5)]]</f>
        <v>13.2</v>
      </c>
      <c r="J1236" s="72">
        <v>2</v>
      </c>
      <c r="K1236" s="72">
        <f>SUMIFS(VENTAS[Cantidad],VENTAS[Código del producto Vendido],STOCK[[#This Row],[Code]])</f>
        <v>0</v>
      </c>
      <c r="L1236" s="72">
        <f>STOCK[[#This Row],[Entradas]]-STOCK[[#This Row],[Salidas]]</f>
        <v>2</v>
      </c>
      <c r="M1236" s="54">
        <f>STOCK[[#This Row],[Precio Final]]*10%</f>
        <v>1.8</v>
      </c>
      <c r="N1236" s="54">
        <v>0</v>
      </c>
      <c r="O1236" s="54">
        <v>0</v>
      </c>
      <c r="P1236" s="54">
        <v>5.03</v>
      </c>
      <c r="Q1236" s="72">
        <v>0</v>
      </c>
      <c r="R1236" s="54">
        <v>0</v>
      </c>
      <c r="S1236" s="54">
        <v>1.97</v>
      </c>
      <c r="T1236" s="53">
        <f>STOCK[[#This Row],[Costo Unitario (USD)]]+STOCK[[#This Row],[Costo Envío (USD)]]+STOCK[[#This Row],[Comisión 10%]]</f>
        <v>8.8</v>
      </c>
      <c r="U1236" s="54">
        <f>STOCK[[#This Row],[Costo total]]*1.5</f>
        <v>13.2</v>
      </c>
      <c r="V1236" s="54">
        <v>18</v>
      </c>
      <c r="W1236" s="54">
        <f>STOCK[[#This Row],[Precio Final]]-STOCK[[#This Row],[Costo total]]</f>
        <v>9.2</v>
      </c>
      <c r="X1236" s="54">
        <f>STOCK[[#This Row],[Ganancia Unitaria]]*STOCK[[#This Row],[Salidas]]</f>
        <v>0</v>
      </c>
      <c r="AA1236" s="54">
        <f>STOCK[[#This Row],[Costo total]]*STOCK[[#This Row],[Entradas]]</f>
        <v>17.6</v>
      </c>
      <c r="AB1236" s="54">
        <f>STOCK[[#This Row],[Stock Actual]]*STOCK[[#This Row],[Costo total]]</f>
        <v>17.6</v>
      </c>
    </row>
    <row r="1237" s="53" customFormat="1" ht="50" customHeight="1" spans="1:28">
      <c r="A1237" s="53" t="s">
        <v>2574</v>
      </c>
      <c r="B1237" s="66"/>
      <c r="C1237" s="53" t="s">
        <v>32</v>
      </c>
      <c r="D1237" s="53" t="s">
        <v>2569</v>
      </c>
      <c r="E1237" s="67" t="s">
        <v>2575</v>
      </c>
      <c r="F1237" s="53" t="s">
        <v>62</v>
      </c>
      <c r="G1237" s="53" t="s">
        <v>1876</v>
      </c>
      <c r="H1237" s="53">
        <f>STOCK[[#This Row],[Precio Final]]</f>
        <v>30</v>
      </c>
      <c r="I1237" s="53">
        <f>STOCK[[#This Row],[Precio Venta Ideal (x1.5)]]</f>
        <v>24.99</v>
      </c>
      <c r="J1237" s="71">
        <v>1</v>
      </c>
      <c r="K1237" s="71">
        <f>SUMIFS(VENTAS[Cantidad],VENTAS[Código del producto Vendido],STOCK[[#This Row],[Code]])</f>
        <v>1</v>
      </c>
      <c r="L1237" s="71">
        <f>STOCK[[#This Row],[Entradas]]-STOCK[[#This Row],[Salidas]]</f>
        <v>0</v>
      </c>
      <c r="M1237" s="53">
        <f>STOCK[[#This Row],[Precio Final]]*10%</f>
        <v>3</v>
      </c>
      <c r="N1237" s="53">
        <v>0</v>
      </c>
      <c r="O1237" s="53">
        <v>0</v>
      </c>
      <c r="P1237" s="53">
        <v>11.69</v>
      </c>
      <c r="Q1237" s="71">
        <v>0</v>
      </c>
      <c r="R1237" s="53">
        <v>0</v>
      </c>
      <c r="S1237" s="53">
        <v>1.97</v>
      </c>
      <c r="T1237" s="53">
        <f>STOCK[[#This Row],[Costo Unitario (USD)]]+STOCK[[#This Row],[Costo Envío (USD)]]+STOCK[[#This Row],[Comisión 10%]]</f>
        <v>16.66</v>
      </c>
      <c r="U1237" s="53">
        <f>STOCK[[#This Row],[Costo total]]*1.5</f>
        <v>24.99</v>
      </c>
      <c r="V1237" s="53">
        <v>30</v>
      </c>
      <c r="W1237" s="53">
        <f>STOCK[[#This Row],[Precio Final]]-STOCK[[#This Row],[Costo total]]</f>
        <v>13.34</v>
      </c>
      <c r="X1237" s="53">
        <f>STOCK[[#This Row],[Ganancia Unitaria]]*STOCK[[#This Row],[Salidas]]</f>
        <v>13.34</v>
      </c>
      <c r="AA1237" s="54">
        <f>STOCK[[#This Row],[Costo total]]*STOCK[[#This Row],[Entradas]]</f>
        <v>16.66</v>
      </c>
      <c r="AB1237" s="54">
        <f>STOCK[[#This Row],[Stock Actual]]*STOCK[[#This Row],[Costo total]]</f>
        <v>0</v>
      </c>
    </row>
    <row r="1238" s="54" customFormat="1" ht="50" customHeight="1" spans="1:28">
      <c r="A1238" s="54" t="s">
        <v>2576</v>
      </c>
      <c r="B1238" s="66"/>
      <c r="C1238" s="54" t="s">
        <v>32</v>
      </c>
      <c r="D1238" s="54" t="s">
        <v>2569</v>
      </c>
      <c r="E1238" s="68" t="s">
        <v>2575</v>
      </c>
      <c r="F1238" s="54" t="s">
        <v>46</v>
      </c>
      <c r="G1238" s="54" t="s">
        <v>1876</v>
      </c>
      <c r="H1238" s="54">
        <f>STOCK[[#This Row],[Precio Final]]</f>
        <v>30</v>
      </c>
      <c r="I1238" s="54">
        <f>STOCK[[#This Row],[Precio Venta Ideal (x1.5)]]</f>
        <v>24.99</v>
      </c>
      <c r="J1238" s="72">
        <v>2</v>
      </c>
      <c r="K1238" s="72">
        <f>SUMIFS(VENTAS[Cantidad],VENTAS[Código del producto Vendido],STOCK[[#This Row],[Code]])</f>
        <v>2</v>
      </c>
      <c r="L1238" s="72">
        <f>STOCK[[#This Row],[Entradas]]-STOCK[[#This Row],[Salidas]]</f>
        <v>0</v>
      </c>
      <c r="M1238" s="54">
        <f>STOCK[[#This Row],[Precio Final]]*10%</f>
        <v>3</v>
      </c>
      <c r="N1238" s="54">
        <v>0</v>
      </c>
      <c r="O1238" s="54">
        <v>0</v>
      </c>
      <c r="P1238" s="54">
        <v>11.69</v>
      </c>
      <c r="Q1238" s="72">
        <v>0</v>
      </c>
      <c r="R1238" s="54">
        <v>0</v>
      </c>
      <c r="S1238" s="54">
        <v>1.97</v>
      </c>
      <c r="T1238" s="53">
        <f>STOCK[[#This Row],[Costo Unitario (USD)]]+STOCK[[#This Row],[Costo Envío (USD)]]+STOCK[[#This Row],[Comisión 10%]]</f>
        <v>16.66</v>
      </c>
      <c r="U1238" s="54">
        <f>STOCK[[#This Row],[Costo total]]*1.5</f>
        <v>24.99</v>
      </c>
      <c r="V1238" s="54">
        <v>30</v>
      </c>
      <c r="W1238" s="54">
        <f>STOCK[[#This Row],[Precio Final]]-STOCK[[#This Row],[Costo total]]</f>
        <v>13.34</v>
      </c>
      <c r="X1238" s="54">
        <f>STOCK[[#This Row],[Ganancia Unitaria]]*STOCK[[#This Row],[Salidas]]</f>
        <v>26.68</v>
      </c>
      <c r="AA1238" s="54">
        <f>STOCK[[#This Row],[Costo total]]*STOCK[[#This Row],[Entradas]]</f>
        <v>33.32</v>
      </c>
      <c r="AB1238" s="54">
        <f>STOCK[[#This Row],[Stock Actual]]*STOCK[[#This Row],[Costo total]]</f>
        <v>0</v>
      </c>
    </row>
    <row r="1239" s="53" customFormat="1" ht="50" customHeight="1" spans="1:28">
      <c r="A1239" s="53" t="s">
        <v>2577</v>
      </c>
      <c r="B1239" s="66"/>
      <c r="C1239" s="53" t="s">
        <v>32</v>
      </c>
      <c r="D1239" s="53" t="s">
        <v>2569</v>
      </c>
      <c r="E1239" s="67" t="s">
        <v>2575</v>
      </c>
      <c r="F1239" s="53" t="s">
        <v>46</v>
      </c>
      <c r="G1239" s="53" t="s">
        <v>1876</v>
      </c>
      <c r="H1239" s="53">
        <f>STOCK[[#This Row],[Precio Final]]</f>
        <v>30</v>
      </c>
      <c r="I1239" s="53">
        <f>STOCK[[#This Row],[Precio Venta Ideal (x1.5)]]</f>
        <v>24.99</v>
      </c>
      <c r="J1239" s="71">
        <v>1</v>
      </c>
      <c r="K1239" s="71">
        <f>SUMIFS(VENTAS[Cantidad],VENTAS[Código del producto Vendido],STOCK[[#This Row],[Code]])</f>
        <v>1</v>
      </c>
      <c r="L1239" s="71">
        <f>STOCK[[#This Row],[Entradas]]-STOCK[[#This Row],[Salidas]]</f>
        <v>0</v>
      </c>
      <c r="M1239" s="53">
        <f>STOCK[[#This Row],[Precio Final]]*10%</f>
        <v>3</v>
      </c>
      <c r="N1239" s="53">
        <v>0</v>
      </c>
      <c r="O1239" s="53">
        <v>0</v>
      </c>
      <c r="P1239" s="53">
        <v>11.69</v>
      </c>
      <c r="Q1239" s="71">
        <v>0</v>
      </c>
      <c r="R1239" s="53">
        <v>0</v>
      </c>
      <c r="S1239" s="53">
        <v>1.97</v>
      </c>
      <c r="T1239" s="53">
        <f>STOCK[[#This Row],[Costo Unitario (USD)]]+STOCK[[#This Row],[Costo Envío (USD)]]+STOCK[[#This Row],[Comisión 10%]]</f>
        <v>16.66</v>
      </c>
      <c r="U1239" s="53">
        <f>STOCK[[#This Row],[Costo total]]*1.5</f>
        <v>24.99</v>
      </c>
      <c r="V1239" s="53">
        <v>30</v>
      </c>
      <c r="W1239" s="53">
        <f>STOCK[[#This Row],[Precio Final]]-STOCK[[#This Row],[Costo total]]</f>
        <v>13.34</v>
      </c>
      <c r="X1239" s="53">
        <f>STOCK[[#This Row],[Ganancia Unitaria]]*STOCK[[#This Row],[Salidas]]</f>
        <v>13.34</v>
      </c>
      <c r="AA1239" s="54">
        <f>STOCK[[#This Row],[Costo total]]*STOCK[[#This Row],[Entradas]]</f>
        <v>16.66</v>
      </c>
      <c r="AB1239" s="54">
        <f>STOCK[[#This Row],[Stock Actual]]*STOCK[[#This Row],[Costo total]]</f>
        <v>0</v>
      </c>
    </row>
    <row r="1240" s="54" customFormat="1" ht="50" customHeight="1" spans="1:28">
      <c r="A1240" s="54" t="s">
        <v>2578</v>
      </c>
      <c r="B1240" s="66"/>
      <c r="C1240" s="54" t="s">
        <v>32</v>
      </c>
      <c r="D1240" s="54" t="s">
        <v>2378</v>
      </c>
      <c r="E1240" s="68" t="s">
        <v>2575</v>
      </c>
      <c r="F1240" s="54" t="s">
        <v>281</v>
      </c>
      <c r="G1240" s="54" t="s">
        <v>1876</v>
      </c>
      <c r="H1240" s="54">
        <f>STOCK[[#This Row],[Precio Final]]</f>
        <v>30</v>
      </c>
      <c r="I1240" s="54">
        <f>STOCK[[#This Row],[Precio Venta Ideal (x1.5)]]</f>
        <v>24.99</v>
      </c>
      <c r="J1240" s="72">
        <v>1</v>
      </c>
      <c r="K1240" s="72">
        <f>SUMIFS(VENTAS[Cantidad],VENTAS[Código del producto Vendido],STOCK[[#This Row],[Code]])</f>
        <v>1</v>
      </c>
      <c r="L1240" s="72">
        <f>STOCK[[#This Row],[Entradas]]-STOCK[[#This Row],[Salidas]]</f>
        <v>0</v>
      </c>
      <c r="M1240" s="54">
        <f>STOCK[[#This Row],[Precio Final]]*10%</f>
        <v>3</v>
      </c>
      <c r="N1240" s="54">
        <v>0</v>
      </c>
      <c r="O1240" s="54">
        <v>0</v>
      </c>
      <c r="P1240" s="54">
        <v>11.69</v>
      </c>
      <c r="Q1240" s="72">
        <v>0</v>
      </c>
      <c r="R1240" s="54">
        <v>0</v>
      </c>
      <c r="S1240" s="54">
        <v>1.97</v>
      </c>
      <c r="T1240" s="53">
        <f>STOCK[[#This Row],[Costo Unitario (USD)]]+STOCK[[#This Row],[Costo Envío (USD)]]+STOCK[[#This Row],[Comisión 10%]]</f>
        <v>16.66</v>
      </c>
      <c r="U1240" s="54">
        <f>STOCK[[#This Row],[Costo total]]*1.5</f>
        <v>24.99</v>
      </c>
      <c r="V1240" s="54">
        <v>30</v>
      </c>
      <c r="W1240" s="54">
        <f>STOCK[[#This Row],[Precio Final]]-STOCK[[#This Row],[Costo total]]</f>
        <v>13.34</v>
      </c>
      <c r="X1240" s="54">
        <f>STOCK[[#This Row],[Ganancia Unitaria]]*STOCK[[#This Row],[Salidas]]</f>
        <v>13.34</v>
      </c>
      <c r="AA1240" s="54">
        <f>STOCK[[#This Row],[Costo total]]*STOCK[[#This Row],[Entradas]]</f>
        <v>16.66</v>
      </c>
      <c r="AB1240" s="54">
        <f>STOCK[[#This Row],[Stock Actual]]*STOCK[[#This Row],[Costo total]]</f>
        <v>0</v>
      </c>
    </row>
    <row r="1241" s="53" customFormat="1" ht="50" customHeight="1" spans="1:28">
      <c r="A1241" s="53" t="s">
        <v>2579</v>
      </c>
      <c r="B1241" s="66"/>
      <c r="C1241" s="53" t="s">
        <v>32</v>
      </c>
      <c r="D1241" s="53" t="s">
        <v>2118</v>
      </c>
      <c r="E1241" s="67" t="s">
        <v>2580</v>
      </c>
      <c r="F1241" s="53" t="s">
        <v>62</v>
      </c>
      <c r="H1241" s="53">
        <f>STOCK[[#This Row],[Precio Final]]</f>
        <v>25</v>
      </c>
      <c r="I1241" s="53">
        <f>STOCK[[#This Row],[Precio Venta Ideal (x1.5)]]</f>
        <v>23.16</v>
      </c>
      <c r="J1241" s="71">
        <v>1</v>
      </c>
      <c r="K1241" s="71">
        <f>SUMIFS(VENTAS[Cantidad],VENTAS[Código del producto Vendido],STOCK[[#This Row],[Code]])</f>
        <v>1</v>
      </c>
      <c r="L1241" s="71">
        <f>STOCK[[#This Row],[Entradas]]-STOCK[[#This Row],[Salidas]]</f>
        <v>0</v>
      </c>
      <c r="M1241" s="53">
        <f>STOCK[[#This Row],[Precio Final]]*10%</f>
        <v>2.5</v>
      </c>
      <c r="N1241" s="53">
        <v>0</v>
      </c>
      <c r="O1241" s="53">
        <v>0</v>
      </c>
      <c r="P1241" s="53">
        <v>10.97</v>
      </c>
      <c r="Q1241" s="71">
        <v>0</v>
      </c>
      <c r="R1241" s="53">
        <v>0</v>
      </c>
      <c r="S1241" s="53">
        <v>1.97</v>
      </c>
      <c r="T1241" s="53">
        <f>STOCK[[#This Row],[Costo Unitario (USD)]]+STOCK[[#This Row],[Costo Envío (USD)]]+STOCK[[#This Row],[Comisión 10%]]</f>
        <v>15.44</v>
      </c>
      <c r="U1241" s="53">
        <f>STOCK[[#This Row],[Costo total]]*1.5</f>
        <v>23.16</v>
      </c>
      <c r="V1241" s="53">
        <v>25</v>
      </c>
      <c r="W1241" s="53">
        <f>STOCK[[#This Row],[Precio Final]]-STOCK[[#This Row],[Costo total]]</f>
        <v>9.56</v>
      </c>
      <c r="X1241" s="53">
        <f>STOCK[[#This Row],[Ganancia Unitaria]]*STOCK[[#This Row],[Salidas]]</f>
        <v>9.56</v>
      </c>
      <c r="AA1241" s="54">
        <f>STOCK[[#This Row],[Costo total]]*STOCK[[#This Row],[Entradas]]</f>
        <v>15.44</v>
      </c>
      <c r="AB1241" s="54">
        <f>STOCK[[#This Row],[Stock Actual]]*STOCK[[#This Row],[Costo total]]</f>
        <v>0</v>
      </c>
    </row>
    <row r="1242" s="54" customFormat="1" ht="50" customHeight="1" spans="1:28">
      <c r="A1242" s="54" t="s">
        <v>2581</v>
      </c>
      <c r="B1242" s="66"/>
      <c r="C1242" s="54" t="s">
        <v>32</v>
      </c>
      <c r="D1242" s="54" t="s">
        <v>2118</v>
      </c>
      <c r="E1242" s="68" t="s">
        <v>2580</v>
      </c>
      <c r="F1242" s="54" t="s">
        <v>49</v>
      </c>
      <c r="H1242" s="54">
        <f>STOCK[[#This Row],[Precio Final]]</f>
        <v>25</v>
      </c>
      <c r="I1242" s="54">
        <f>STOCK[[#This Row],[Precio Venta Ideal (x1.5)]]</f>
        <v>23.16</v>
      </c>
      <c r="J1242" s="72">
        <v>1</v>
      </c>
      <c r="K1242" s="72">
        <f>SUMIFS(VENTAS[Cantidad],VENTAS[Código del producto Vendido],STOCK[[#This Row],[Code]])</f>
        <v>1</v>
      </c>
      <c r="L1242" s="72">
        <f>STOCK[[#This Row],[Entradas]]-STOCK[[#This Row],[Salidas]]</f>
        <v>0</v>
      </c>
      <c r="M1242" s="54">
        <f>STOCK[[#This Row],[Precio Final]]*10%</f>
        <v>2.5</v>
      </c>
      <c r="N1242" s="54">
        <v>0</v>
      </c>
      <c r="O1242" s="54">
        <v>0</v>
      </c>
      <c r="P1242" s="54">
        <v>10.97</v>
      </c>
      <c r="Q1242" s="72">
        <v>0</v>
      </c>
      <c r="R1242" s="54">
        <v>0</v>
      </c>
      <c r="S1242" s="54">
        <v>1.97</v>
      </c>
      <c r="T1242" s="53">
        <f>STOCK[[#This Row],[Costo Unitario (USD)]]+STOCK[[#This Row],[Costo Envío (USD)]]+STOCK[[#This Row],[Comisión 10%]]</f>
        <v>15.44</v>
      </c>
      <c r="U1242" s="54">
        <f>STOCK[[#This Row],[Costo total]]*1.5</f>
        <v>23.16</v>
      </c>
      <c r="V1242" s="54">
        <v>25</v>
      </c>
      <c r="W1242" s="54">
        <f>STOCK[[#This Row],[Precio Final]]-STOCK[[#This Row],[Costo total]]</f>
        <v>9.56</v>
      </c>
      <c r="X1242" s="54">
        <f>STOCK[[#This Row],[Ganancia Unitaria]]*STOCK[[#This Row],[Salidas]]</f>
        <v>9.56</v>
      </c>
      <c r="AA1242" s="54">
        <f>STOCK[[#This Row],[Costo total]]*STOCK[[#This Row],[Entradas]]</f>
        <v>15.44</v>
      </c>
      <c r="AB1242" s="54">
        <f>STOCK[[#This Row],[Stock Actual]]*STOCK[[#This Row],[Costo total]]</f>
        <v>0</v>
      </c>
    </row>
    <row r="1243" s="53" customFormat="1" ht="50" customHeight="1" spans="1:28">
      <c r="A1243" s="53" t="s">
        <v>2582</v>
      </c>
      <c r="B1243" s="66"/>
      <c r="C1243" s="53" t="s">
        <v>32</v>
      </c>
      <c r="D1243" s="53" t="s">
        <v>2378</v>
      </c>
      <c r="E1243" s="67" t="s">
        <v>2580</v>
      </c>
      <c r="F1243" s="53" t="s">
        <v>46</v>
      </c>
      <c r="H1243" s="53">
        <f>STOCK[[#This Row],[Precio Final]]</f>
        <v>25</v>
      </c>
      <c r="I1243" s="53">
        <f>STOCK[[#This Row],[Precio Venta Ideal (x1.5)]]</f>
        <v>23.16</v>
      </c>
      <c r="J1243" s="71">
        <v>1</v>
      </c>
      <c r="K1243" s="71">
        <f>SUMIFS(VENTAS[Cantidad],VENTAS[Código del producto Vendido],STOCK[[#This Row],[Code]])</f>
        <v>1</v>
      </c>
      <c r="L1243" s="71">
        <f>STOCK[[#This Row],[Entradas]]-STOCK[[#This Row],[Salidas]]</f>
        <v>0</v>
      </c>
      <c r="M1243" s="53">
        <f>STOCK[[#This Row],[Precio Final]]*10%</f>
        <v>2.5</v>
      </c>
      <c r="N1243" s="53">
        <v>0</v>
      </c>
      <c r="O1243" s="53">
        <v>0</v>
      </c>
      <c r="P1243" s="53">
        <v>10.97</v>
      </c>
      <c r="Q1243" s="71">
        <v>0</v>
      </c>
      <c r="R1243" s="53">
        <v>0</v>
      </c>
      <c r="S1243" s="53">
        <v>1.97</v>
      </c>
      <c r="T1243" s="53">
        <f>STOCK[[#This Row],[Costo Unitario (USD)]]+STOCK[[#This Row],[Costo Envío (USD)]]+STOCK[[#This Row],[Comisión 10%]]</f>
        <v>15.44</v>
      </c>
      <c r="U1243" s="53">
        <f>STOCK[[#This Row],[Costo total]]*1.5</f>
        <v>23.16</v>
      </c>
      <c r="V1243" s="53">
        <v>25</v>
      </c>
      <c r="W1243" s="53">
        <f>STOCK[[#This Row],[Precio Final]]-STOCK[[#This Row],[Costo total]]</f>
        <v>9.56</v>
      </c>
      <c r="X1243" s="53">
        <f>STOCK[[#This Row],[Ganancia Unitaria]]*STOCK[[#This Row],[Salidas]]</f>
        <v>9.56</v>
      </c>
      <c r="AA1243" s="54">
        <f>STOCK[[#This Row],[Costo total]]*STOCK[[#This Row],[Entradas]]</f>
        <v>15.44</v>
      </c>
      <c r="AB1243" s="54">
        <f>STOCK[[#This Row],[Stock Actual]]*STOCK[[#This Row],[Costo total]]</f>
        <v>0</v>
      </c>
    </row>
    <row r="1244" s="54" customFormat="1" ht="50" customHeight="1" spans="1:28">
      <c r="A1244" s="54" t="s">
        <v>2583</v>
      </c>
      <c r="B1244" s="66"/>
      <c r="C1244" s="54" t="s">
        <v>32</v>
      </c>
      <c r="D1244" s="54" t="s">
        <v>2118</v>
      </c>
      <c r="E1244" s="68" t="s">
        <v>2584</v>
      </c>
      <c r="F1244" s="54" t="s">
        <v>62</v>
      </c>
      <c r="H1244" s="54">
        <f>STOCK[[#This Row],[Precio Final]]</f>
        <v>30</v>
      </c>
      <c r="I1244" s="54">
        <f>STOCK[[#This Row],[Precio Venta Ideal (x1.5)]]</f>
        <v>18.96</v>
      </c>
      <c r="J1244" s="72">
        <v>1</v>
      </c>
      <c r="K1244" s="72">
        <f>SUMIFS(VENTAS[Cantidad],VENTAS[Código del producto Vendido],STOCK[[#This Row],[Code]])</f>
        <v>1</v>
      </c>
      <c r="L1244" s="72">
        <f>STOCK[[#This Row],[Entradas]]-STOCK[[#This Row],[Salidas]]</f>
        <v>0</v>
      </c>
      <c r="M1244" s="54">
        <f>STOCK[[#This Row],[Precio Final]]*10%</f>
        <v>3</v>
      </c>
      <c r="N1244" s="54">
        <v>0</v>
      </c>
      <c r="O1244" s="54">
        <v>0</v>
      </c>
      <c r="P1244" s="54">
        <v>7.67</v>
      </c>
      <c r="Q1244" s="72">
        <v>0</v>
      </c>
      <c r="R1244" s="54">
        <v>0</v>
      </c>
      <c r="S1244" s="54">
        <v>1.97</v>
      </c>
      <c r="T1244" s="53">
        <f>STOCK[[#This Row],[Costo Unitario (USD)]]+STOCK[[#This Row],[Costo Envío (USD)]]+STOCK[[#This Row],[Comisión 10%]]</f>
        <v>12.64</v>
      </c>
      <c r="U1244" s="54">
        <f>STOCK[[#This Row],[Costo total]]*1.5</f>
        <v>18.96</v>
      </c>
      <c r="V1244" s="54">
        <v>30</v>
      </c>
      <c r="W1244" s="54">
        <f>STOCK[[#This Row],[Precio Final]]-STOCK[[#This Row],[Costo total]]</f>
        <v>17.36</v>
      </c>
      <c r="X1244" s="54">
        <f>STOCK[[#This Row],[Ganancia Unitaria]]*STOCK[[#This Row],[Salidas]]</f>
        <v>17.36</v>
      </c>
      <c r="AA1244" s="54">
        <f>STOCK[[#This Row],[Costo total]]*STOCK[[#This Row],[Entradas]]</f>
        <v>12.64</v>
      </c>
      <c r="AB1244" s="54">
        <f>STOCK[[#This Row],[Stock Actual]]*STOCK[[#This Row],[Costo total]]</f>
        <v>0</v>
      </c>
    </row>
    <row r="1245" s="53" customFormat="1" ht="50" customHeight="1" spans="1:28">
      <c r="A1245" s="53" t="s">
        <v>2585</v>
      </c>
      <c r="B1245" s="66"/>
      <c r="C1245" s="53" t="s">
        <v>32</v>
      </c>
      <c r="D1245" s="53" t="s">
        <v>2318</v>
      </c>
      <c r="E1245" s="67" t="s">
        <v>2231</v>
      </c>
      <c r="F1245" s="53" t="s">
        <v>46</v>
      </c>
      <c r="H1245" s="53">
        <f>STOCK[[#This Row],[Precio Final]]</f>
        <v>30</v>
      </c>
      <c r="I1245" s="53">
        <f>STOCK[[#This Row],[Precio Venta Ideal (x1.5)]]</f>
        <v>27.66</v>
      </c>
      <c r="J1245" s="71">
        <v>2</v>
      </c>
      <c r="K1245" s="71">
        <f>SUMIFS(VENTAS[Cantidad],VENTAS[Código del producto Vendido],STOCK[[#This Row],[Code]])</f>
        <v>1</v>
      </c>
      <c r="L1245" s="71">
        <f>STOCK[[#This Row],[Entradas]]-STOCK[[#This Row],[Salidas]]</f>
        <v>1</v>
      </c>
      <c r="M1245" s="53">
        <f>STOCK[[#This Row],[Precio Final]]*10%</f>
        <v>3</v>
      </c>
      <c r="N1245" s="53">
        <v>0</v>
      </c>
      <c r="O1245" s="53">
        <v>0</v>
      </c>
      <c r="P1245" s="53">
        <v>13.47</v>
      </c>
      <c r="Q1245" s="71">
        <v>0</v>
      </c>
      <c r="R1245" s="53">
        <v>0</v>
      </c>
      <c r="S1245" s="53">
        <v>1.97</v>
      </c>
      <c r="T1245" s="53">
        <f>STOCK[[#This Row],[Costo Unitario (USD)]]+STOCK[[#This Row],[Costo Envío (USD)]]+STOCK[[#This Row],[Comisión 10%]]</f>
        <v>18.44</v>
      </c>
      <c r="U1245" s="53">
        <f>STOCK[[#This Row],[Costo total]]*1.5</f>
        <v>27.66</v>
      </c>
      <c r="V1245" s="53">
        <v>30</v>
      </c>
      <c r="W1245" s="53">
        <f>STOCK[[#This Row],[Precio Final]]-STOCK[[#This Row],[Costo total]]</f>
        <v>11.56</v>
      </c>
      <c r="X1245" s="53">
        <f>STOCK[[#This Row],[Ganancia Unitaria]]*STOCK[[#This Row],[Salidas]]</f>
        <v>11.56</v>
      </c>
      <c r="AA1245" s="54">
        <f>STOCK[[#This Row],[Costo total]]*STOCK[[#This Row],[Entradas]]</f>
        <v>36.88</v>
      </c>
      <c r="AB1245" s="54">
        <f>STOCK[[#This Row],[Stock Actual]]*STOCK[[#This Row],[Costo total]]</f>
        <v>18.44</v>
      </c>
    </row>
    <row r="1246" s="54" customFormat="1" ht="50" customHeight="1" spans="1:28">
      <c r="A1246" s="54" t="s">
        <v>2586</v>
      </c>
      <c r="B1246" s="66"/>
      <c r="C1246" s="54" t="s">
        <v>32</v>
      </c>
      <c r="D1246" s="54" t="s">
        <v>2118</v>
      </c>
      <c r="E1246" s="68" t="s">
        <v>2231</v>
      </c>
      <c r="F1246" s="54" t="s">
        <v>49</v>
      </c>
      <c r="H1246" s="54">
        <f>STOCK[[#This Row],[Precio Final]]</f>
        <v>30</v>
      </c>
      <c r="I1246" s="54">
        <f>STOCK[[#This Row],[Precio Venta Ideal (x1.5)]]</f>
        <v>27.66</v>
      </c>
      <c r="J1246" s="72">
        <v>2</v>
      </c>
      <c r="K1246" s="72">
        <f>SUMIFS(VENTAS[Cantidad],VENTAS[Código del producto Vendido],STOCK[[#This Row],[Code]])</f>
        <v>2</v>
      </c>
      <c r="L1246" s="72">
        <f>STOCK[[#This Row],[Entradas]]-STOCK[[#This Row],[Salidas]]</f>
        <v>0</v>
      </c>
      <c r="M1246" s="54">
        <f>STOCK[[#This Row],[Precio Final]]*10%</f>
        <v>3</v>
      </c>
      <c r="N1246" s="54">
        <v>0</v>
      </c>
      <c r="O1246" s="54">
        <v>0</v>
      </c>
      <c r="P1246" s="54">
        <v>13.47</v>
      </c>
      <c r="Q1246" s="72">
        <v>0</v>
      </c>
      <c r="R1246" s="54">
        <v>0</v>
      </c>
      <c r="S1246" s="54">
        <v>1.97</v>
      </c>
      <c r="T1246" s="53">
        <f>STOCK[[#This Row],[Costo Unitario (USD)]]+STOCK[[#This Row],[Costo Envío (USD)]]+STOCK[[#This Row],[Comisión 10%]]</f>
        <v>18.44</v>
      </c>
      <c r="U1246" s="54">
        <f>STOCK[[#This Row],[Costo total]]*1.5</f>
        <v>27.66</v>
      </c>
      <c r="V1246" s="54">
        <v>30</v>
      </c>
      <c r="W1246" s="54">
        <f>STOCK[[#This Row],[Precio Final]]-STOCK[[#This Row],[Costo total]]</f>
        <v>11.56</v>
      </c>
      <c r="X1246" s="54">
        <f>STOCK[[#This Row],[Ganancia Unitaria]]*STOCK[[#This Row],[Salidas]]</f>
        <v>23.12</v>
      </c>
      <c r="AA1246" s="54">
        <f>STOCK[[#This Row],[Costo total]]*STOCK[[#This Row],[Entradas]]</f>
        <v>36.88</v>
      </c>
      <c r="AB1246" s="54">
        <f>STOCK[[#This Row],[Stock Actual]]*STOCK[[#This Row],[Costo total]]</f>
        <v>0</v>
      </c>
    </row>
    <row r="1247" s="53" customFormat="1" ht="50" customHeight="1" spans="1:28">
      <c r="A1247" s="53" t="s">
        <v>2587</v>
      </c>
      <c r="B1247" s="66"/>
      <c r="C1247" s="53" t="s">
        <v>32</v>
      </c>
      <c r="D1247" s="53" t="s">
        <v>2118</v>
      </c>
      <c r="E1247" s="67" t="s">
        <v>2234</v>
      </c>
      <c r="F1247" s="53" t="s">
        <v>49</v>
      </c>
      <c r="H1247" s="53">
        <f>STOCK[[#This Row],[Precio Final]]</f>
        <v>30</v>
      </c>
      <c r="I1247" s="53">
        <f>STOCK[[#This Row],[Precio Venta Ideal (x1.5)]]</f>
        <v>27.66</v>
      </c>
      <c r="J1247" s="71">
        <v>2</v>
      </c>
      <c r="K1247" s="71">
        <f>SUMIFS(VENTAS[Cantidad],VENTAS[Código del producto Vendido],STOCK[[#This Row],[Code]])</f>
        <v>2</v>
      </c>
      <c r="L1247" s="71">
        <f>STOCK[[#This Row],[Entradas]]-STOCK[[#This Row],[Salidas]]</f>
        <v>0</v>
      </c>
      <c r="M1247" s="53">
        <f>STOCK[[#This Row],[Precio Final]]*10%</f>
        <v>3</v>
      </c>
      <c r="N1247" s="53">
        <v>0</v>
      </c>
      <c r="O1247" s="53">
        <v>0</v>
      </c>
      <c r="P1247" s="53">
        <v>13.47</v>
      </c>
      <c r="Q1247" s="71">
        <v>0</v>
      </c>
      <c r="R1247" s="53">
        <v>0</v>
      </c>
      <c r="S1247" s="53">
        <v>1.97</v>
      </c>
      <c r="T1247" s="53">
        <f>STOCK[[#This Row],[Costo Unitario (USD)]]+STOCK[[#This Row],[Costo Envío (USD)]]+STOCK[[#This Row],[Comisión 10%]]</f>
        <v>18.44</v>
      </c>
      <c r="U1247" s="53">
        <f>STOCK[[#This Row],[Costo total]]*1.5</f>
        <v>27.66</v>
      </c>
      <c r="V1247" s="53">
        <v>30</v>
      </c>
      <c r="W1247" s="53">
        <f>STOCK[[#This Row],[Precio Final]]-STOCK[[#This Row],[Costo total]]</f>
        <v>11.56</v>
      </c>
      <c r="X1247" s="53">
        <f>STOCK[[#This Row],[Ganancia Unitaria]]*STOCK[[#This Row],[Salidas]]</f>
        <v>23.12</v>
      </c>
      <c r="AA1247" s="54">
        <f>STOCK[[#This Row],[Costo total]]*STOCK[[#This Row],[Entradas]]</f>
        <v>36.88</v>
      </c>
      <c r="AB1247" s="54">
        <f>STOCK[[#This Row],[Stock Actual]]*STOCK[[#This Row],[Costo total]]</f>
        <v>0</v>
      </c>
    </row>
    <row r="1248" s="54" customFormat="1" ht="50" customHeight="1" spans="1:28">
      <c r="A1248" s="54" t="s">
        <v>2588</v>
      </c>
      <c r="B1248" s="66"/>
      <c r="C1248" s="54" t="s">
        <v>32</v>
      </c>
      <c r="D1248" s="54" t="s">
        <v>2118</v>
      </c>
      <c r="E1248" s="68" t="s">
        <v>2234</v>
      </c>
      <c r="F1248" s="54" t="s">
        <v>46</v>
      </c>
      <c r="H1248" s="54">
        <f>STOCK[[#This Row],[Precio Final]]</f>
        <v>30</v>
      </c>
      <c r="I1248" s="54">
        <f>STOCK[[#This Row],[Precio Venta Ideal (x1.5)]]</f>
        <v>27.66</v>
      </c>
      <c r="J1248" s="72">
        <v>2</v>
      </c>
      <c r="K1248" s="72">
        <f>SUMIFS(VENTAS[Cantidad],VENTAS[Código del producto Vendido],STOCK[[#This Row],[Code]])</f>
        <v>2</v>
      </c>
      <c r="L1248" s="72">
        <f>STOCK[[#This Row],[Entradas]]-STOCK[[#This Row],[Salidas]]</f>
        <v>0</v>
      </c>
      <c r="M1248" s="54">
        <f>STOCK[[#This Row],[Precio Final]]*10%</f>
        <v>3</v>
      </c>
      <c r="N1248" s="54">
        <v>0</v>
      </c>
      <c r="O1248" s="54">
        <v>0</v>
      </c>
      <c r="P1248" s="54">
        <v>13.47</v>
      </c>
      <c r="Q1248" s="72">
        <v>0</v>
      </c>
      <c r="R1248" s="54">
        <v>0</v>
      </c>
      <c r="S1248" s="54">
        <v>1.97</v>
      </c>
      <c r="T1248" s="53">
        <f>STOCK[[#This Row],[Costo Unitario (USD)]]+STOCK[[#This Row],[Costo Envío (USD)]]+STOCK[[#This Row],[Comisión 10%]]</f>
        <v>18.44</v>
      </c>
      <c r="U1248" s="54">
        <f>STOCK[[#This Row],[Costo total]]*1.5</f>
        <v>27.66</v>
      </c>
      <c r="V1248" s="54">
        <v>30</v>
      </c>
      <c r="W1248" s="54">
        <f>STOCK[[#This Row],[Precio Final]]-STOCK[[#This Row],[Costo total]]</f>
        <v>11.56</v>
      </c>
      <c r="X1248" s="54">
        <f>STOCK[[#This Row],[Ganancia Unitaria]]*STOCK[[#This Row],[Salidas]]</f>
        <v>23.12</v>
      </c>
      <c r="AA1248" s="54">
        <f>STOCK[[#This Row],[Costo total]]*STOCK[[#This Row],[Entradas]]</f>
        <v>36.88</v>
      </c>
      <c r="AB1248" s="54">
        <f>STOCK[[#This Row],[Stock Actual]]*STOCK[[#This Row],[Costo total]]</f>
        <v>0</v>
      </c>
    </row>
    <row r="1249" s="53" customFormat="1" ht="50" customHeight="1" spans="1:28">
      <c r="A1249" s="53" t="s">
        <v>2589</v>
      </c>
      <c r="B1249" s="66"/>
      <c r="C1249" s="53" t="s">
        <v>32</v>
      </c>
      <c r="D1249" s="53" t="s">
        <v>2118</v>
      </c>
      <c r="E1249" s="67" t="s">
        <v>2590</v>
      </c>
      <c r="F1249" s="53" t="s">
        <v>62</v>
      </c>
      <c r="H1249" s="53">
        <f>STOCK[[#This Row],[Precio Final]]</f>
        <v>30</v>
      </c>
      <c r="I1249" s="53">
        <f>STOCK[[#This Row],[Precio Venta Ideal (x1.5)]]</f>
        <v>25.53</v>
      </c>
      <c r="J1249" s="71">
        <v>1</v>
      </c>
      <c r="K1249" s="71">
        <f>SUMIFS(VENTAS[Cantidad],VENTAS[Código del producto Vendido],STOCK[[#This Row],[Code]])</f>
        <v>1</v>
      </c>
      <c r="L1249" s="71">
        <f>STOCK[[#This Row],[Entradas]]-STOCK[[#This Row],[Salidas]]</f>
        <v>0</v>
      </c>
      <c r="M1249" s="53">
        <f>STOCK[[#This Row],[Precio Final]]*10%</f>
        <v>3</v>
      </c>
      <c r="N1249" s="53">
        <v>0</v>
      </c>
      <c r="O1249" s="53">
        <v>0</v>
      </c>
      <c r="P1249" s="53">
        <v>12.05</v>
      </c>
      <c r="Q1249" s="71">
        <v>0</v>
      </c>
      <c r="R1249" s="53">
        <v>0</v>
      </c>
      <c r="S1249" s="53">
        <v>1.97</v>
      </c>
      <c r="T1249" s="53">
        <f>STOCK[[#This Row],[Costo Unitario (USD)]]+STOCK[[#This Row],[Costo Envío (USD)]]+STOCK[[#This Row],[Comisión 10%]]</f>
        <v>17.02</v>
      </c>
      <c r="U1249" s="53">
        <f>STOCK[[#This Row],[Costo total]]*1.5</f>
        <v>25.53</v>
      </c>
      <c r="V1249" s="53">
        <v>30</v>
      </c>
      <c r="W1249" s="53">
        <f>STOCK[[#This Row],[Precio Final]]-STOCK[[#This Row],[Costo total]]</f>
        <v>12.98</v>
      </c>
      <c r="X1249" s="53">
        <f>STOCK[[#This Row],[Ganancia Unitaria]]*STOCK[[#This Row],[Salidas]]</f>
        <v>12.98</v>
      </c>
      <c r="AA1249" s="54">
        <f>STOCK[[#This Row],[Costo total]]*STOCK[[#This Row],[Entradas]]</f>
        <v>17.02</v>
      </c>
      <c r="AB1249" s="54">
        <f>STOCK[[#This Row],[Stock Actual]]*STOCK[[#This Row],[Costo total]]</f>
        <v>0</v>
      </c>
    </row>
    <row r="1250" s="54" customFormat="1" ht="50" customHeight="1" spans="1:28">
      <c r="A1250" s="54" t="s">
        <v>2591</v>
      </c>
      <c r="B1250" s="66"/>
      <c r="C1250" s="54" t="s">
        <v>32</v>
      </c>
      <c r="D1250" s="54" t="s">
        <v>2118</v>
      </c>
      <c r="E1250" s="68" t="s">
        <v>2590</v>
      </c>
      <c r="F1250" s="54" t="s">
        <v>49</v>
      </c>
      <c r="H1250" s="54">
        <f>STOCK[[#This Row],[Precio Final]]</f>
        <v>30</v>
      </c>
      <c r="I1250" s="54">
        <f>STOCK[[#This Row],[Precio Venta Ideal (x1.5)]]</f>
        <v>25.53</v>
      </c>
      <c r="J1250" s="72">
        <v>1</v>
      </c>
      <c r="K1250" s="72">
        <f>SUMIFS(VENTAS[Cantidad],VENTAS[Código del producto Vendido],STOCK[[#This Row],[Code]])</f>
        <v>1</v>
      </c>
      <c r="L1250" s="72">
        <f>STOCK[[#This Row],[Entradas]]-STOCK[[#This Row],[Salidas]]</f>
        <v>0</v>
      </c>
      <c r="M1250" s="54">
        <f>STOCK[[#This Row],[Precio Final]]*10%</f>
        <v>3</v>
      </c>
      <c r="N1250" s="54">
        <v>0</v>
      </c>
      <c r="O1250" s="54">
        <v>0</v>
      </c>
      <c r="P1250" s="54">
        <v>12.05</v>
      </c>
      <c r="Q1250" s="72">
        <v>0</v>
      </c>
      <c r="R1250" s="54">
        <v>0</v>
      </c>
      <c r="S1250" s="54">
        <v>1.97</v>
      </c>
      <c r="T1250" s="53">
        <f>STOCK[[#This Row],[Costo Unitario (USD)]]+STOCK[[#This Row],[Costo Envío (USD)]]+STOCK[[#This Row],[Comisión 10%]]</f>
        <v>17.02</v>
      </c>
      <c r="U1250" s="54">
        <f>STOCK[[#This Row],[Costo total]]*1.5</f>
        <v>25.53</v>
      </c>
      <c r="V1250" s="54">
        <v>30</v>
      </c>
      <c r="W1250" s="54">
        <f>STOCK[[#This Row],[Precio Final]]-STOCK[[#This Row],[Costo total]]</f>
        <v>12.98</v>
      </c>
      <c r="X1250" s="54">
        <f>STOCK[[#This Row],[Ganancia Unitaria]]*STOCK[[#This Row],[Salidas]]</f>
        <v>12.98</v>
      </c>
      <c r="AA1250" s="54">
        <f>STOCK[[#This Row],[Costo total]]*STOCK[[#This Row],[Entradas]]</f>
        <v>17.02</v>
      </c>
      <c r="AB1250" s="54">
        <f>STOCK[[#This Row],[Stock Actual]]*STOCK[[#This Row],[Costo total]]</f>
        <v>0</v>
      </c>
    </row>
    <row r="1251" s="53" customFormat="1" ht="50" customHeight="1" spans="1:28">
      <c r="A1251" s="53" t="s">
        <v>2592</v>
      </c>
      <c r="B1251" s="66"/>
      <c r="C1251" s="53" t="s">
        <v>32</v>
      </c>
      <c r="D1251" s="53" t="s">
        <v>2118</v>
      </c>
      <c r="E1251" s="67" t="s">
        <v>2590</v>
      </c>
      <c r="F1251" s="53" t="s">
        <v>46</v>
      </c>
      <c r="H1251" s="53">
        <f>STOCK[[#This Row],[Precio Final]]</f>
        <v>30</v>
      </c>
      <c r="I1251" s="53">
        <f>STOCK[[#This Row],[Precio Venta Ideal (x1.5)]]</f>
        <v>25.53</v>
      </c>
      <c r="J1251" s="71">
        <v>1</v>
      </c>
      <c r="K1251" s="71">
        <f>SUMIFS(VENTAS[Cantidad],VENTAS[Código del producto Vendido],STOCK[[#This Row],[Code]])</f>
        <v>1</v>
      </c>
      <c r="L1251" s="71">
        <f>STOCK[[#This Row],[Entradas]]-STOCK[[#This Row],[Salidas]]</f>
        <v>0</v>
      </c>
      <c r="M1251" s="53">
        <f>STOCK[[#This Row],[Precio Final]]*10%</f>
        <v>3</v>
      </c>
      <c r="N1251" s="53">
        <v>0</v>
      </c>
      <c r="O1251" s="53">
        <v>0</v>
      </c>
      <c r="P1251" s="53">
        <v>12.05</v>
      </c>
      <c r="Q1251" s="71">
        <v>0</v>
      </c>
      <c r="R1251" s="53">
        <v>0</v>
      </c>
      <c r="S1251" s="53">
        <v>1.97</v>
      </c>
      <c r="T1251" s="53">
        <f>STOCK[[#This Row],[Costo Unitario (USD)]]+STOCK[[#This Row],[Costo Envío (USD)]]+STOCK[[#This Row],[Comisión 10%]]</f>
        <v>17.02</v>
      </c>
      <c r="U1251" s="53">
        <f>STOCK[[#This Row],[Costo total]]*1.5</f>
        <v>25.53</v>
      </c>
      <c r="V1251" s="53">
        <v>30</v>
      </c>
      <c r="W1251" s="53">
        <f>STOCK[[#This Row],[Precio Final]]-STOCK[[#This Row],[Costo total]]</f>
        <v>12.98</v>
      </c>
      <c r="X1251" s="53">
        <f>STOCK[[#This Row],[Ganancia Unitaria]]*STOCK[[#This Row],[Salidas]]</f>
        <v>12.98</v>
      </c>
      <c r="AA1251" s="54">
        <f>STOCK[[#This Row],[Costo total]]*STOCK[[#This Row],[Entradas]]</f>
        <v>17.02</v>
      </c>
      <c r="AB1251" s="54">
        <f>STOCK[[#This Row],[Stock Actual]]*STOCK[[#This Row],[Costo total]]</f>
        <v>0</v>
      </c>
    </row>
    <row r="1252" s="54" customFormat="1" ht="50" customHeight="1" spans="1:28">
      <c r="A1252" s="54" t="s">
        <v>2593</v>
      </c>
      <c r="B1252" s="66"/>
      <c r="C1252" s="54" t="s">
        <v>32</v>
      </c>
      <c r="D1252" s="54" t="s">
        <v>2118</v>
      </c>
      <c r="E1252" s="68" t="s">
        <v>2594</v>
      </c>
      <c r="F1252" s="54" t="s">
        <v>49</v>
      </c>
      <c r="H1252" s="54">
        <f>STOCK[[#This Row],[Precio Final]]</f>
        <v>30</v>
      </c>
      <c r="I1252" s="54">
        <f>STOCK[[#This Row],[Precio Venta Ideal (x1.5)]]</f>
        <v>24.84</v>
      </c>
      <c r="J1252" s="72">
        <v>2</v>
      </c>
      <c r="K1252" s="72">
        <f>SUMIFS(VENTAS[Cantidad],VENTAS[Código del producto Vendido],STOCK[[#This Row],[Code]])</f>
        <v>2</v>
      </c>
      <c r="L1252" s="72">
        <f>STOCK[[#This Row],[Entradas]]-STOCK[[#This Row],[Salidas]]</f>
        <v>0</v>
      </c>
      <c r="M1252" s="54">
        <f>STOCK[[#This Row],[Precio Final]]*10%</f>
        <v>3</v>
      </c>
      <c r="N1252" s="54">
        <v>0</v>
      </c>
      <c r="O1252" s="54">
        <v>0</v>
      </c>
      <c r="P1252" s="54">
        <v>11.59</v>
      </c>
      <c r="Q1252" s="72">
        <v>0</v>
      </c>
      <c r="R1252" s="54">
        <v>0</v>
      </c>
      <c r="S1252" s="54">
        <v>1.97</v>
      </c>
      <c r="T1252" s="53">
        <f>STOCK[[#This Row],[Costo Unitario (USD)]]+STOCK[[#This Row],[Costo Envío (USD)]]+STOCK[[#This Row],[Comisión 10%]]</f>
        <v>16.56</v>
      </c>
      <c r="U1252" s="54">
        <f>STOCK[[#This Row],[Costo total]]*1.5</f>
        <v>24.84</v>
      </c>
      <c r="V1252" s="54">
        <v>30</v>
      </c>
      <c r="W1252" s="54">
        <f>STOCK[[#This Row],[Precio Final]]-STOCK[[#This Row],[Costo total]]</f>
        <v>13.44</v>
      </c>
      <c r="X1252" s="54">
        <f>STOCK[[#This Row],[Ganancia Unitaria]]*STOCK[[#This Row],[Salidas]]</f>
        <v>26.88</v>
      </c>
      <c r="AA1252" s="54">
        <f>STOCK[[#This Row],[Costo total]]*STOCK[[#This Row],[Entradas]]</f>
        <v>33.12</v>
      </c>
      <c r="AB1252" s="54">
        <f>STOCK[[#This Row],[Stock Actual]]*STOCK[[#This Row],[Costo total]]</f>
        <v>0</v>
      </c>
    </row>
    <row r="1253" s="53" customFormat="1" ht="50" customHeight="1" spans="1:28">
      <c r="A1253" s="53" t="s">
        <v>2595</v>
      </c>
      <c r="B1253" s="66"/>
      <c r="C1253" s="53" t="s">
        <v>32</v>
      </c>
      <c r="D1253" s="53" t="s">
        <v>152</v>
      </c>
      <c r="E1253" s="67" t="s">
        <v>2596</v>
      </c>
      <c r="F1253" s="53" t="s">
        <v>49</v>
      </c>
      <c r="H1253" s="53">
        <f>STOCK[[#This Row],[Precio Final]]</f>
        <v>25</v>
      </c>
      <c r="I1253" s="53">
        <f>STOCK[[#This Row],[Precio Venta Ideal (x1.5)]]</f>
        <v>25.44</v>
      </c>
      <c r="J1253" s="71">
        <v>1</v>
      </c>
      <c r="K1253" s="71">
        <f>SUMIFS(VENTAS[Cantidad],VENTAS[Código del producto Vendido],STOCK[[#This Row],[Code]])</f>
        <v>0</v>
      </c>
      <c r="L1253" s="71">
        <f>STOCK[[#This Row],[Entradas]]-STOCK[[#This Row],[Salidas]]</f>
        <v>1</v>
      </c>
      <c r="M1253" s="53">
        <f>STOCK[[#This Row],[Precio Final]]*10%</f>
        <v>2.5</v>
      </c>
      <c r="N1253" s="53">
        <v>0</v>
      </c>
      <c r="O1253" s="53">
        <v>0</v>
      </c>
      <c r="P1253" s="53">
        <v>12.49</v>
      </c>
      <c r="Q1253" s="71">
        <v>0</v>
      </c>
      <c r="R1253" s="53">
        <v>0</v>
      </c>
      <c r="S1253" s="53">
        <v>1.97</v>
      </c>
      <c r="T1253" s="53">
        <f>STOCK[[#This Row],[Costo Unitario (USD)]]+STOCK[[#This Row],[Costo Envío (USD)]]+STOCK[[#This Row],[Comisión 10%]]</f>
        <v>16.96</v>
      </c>
      <c r="U1253" s="53">
        <f>STOCK[[#This Row],[Costo total]]*1.5</f>
        <v>25.44</v>
      </c>
      <c r="V1253" s="53">
        <v>25</v>
      </c>
      <c r="W1253" s="53">
        <f>STOCK[[#This Row],[Precio Final]]-STOCK[[#This Row],[Costo total]]</f>
        <v>8.04</v>
      </c>
      <c r="X1253" s="53">
        <f>STOCK[[#This Row],[Ganancia Unitaria]]*STOCK[[#This Row],[Salidas]]</f>
        <v>0</v>
      </c>
      <c r="AA1253" s="54">
        <f>STOCK[[#This Row],[Costo total]]*STOCK[[#This Row],[Entradas]]</f>
        <v>16.96</v>
      </c>
      <c r="AB1253" s="54">
        <f>STOCK[[#This Row],[Stock Actual]]*STOCK[[#This Row],[Costo total]]</f>
        <v>16.96</v>
      </c>
    </row>
    <row r="1254" s="54" customFormat="1" ht="50" customHeight="1" spans="1:28">
      <c r="A1254" s="54" t="s">
        <v>2597</v>
      </c>
      <c r="B1254" s="66"/>
      <c r="C1254" s="54" t="s">
        <v>32</v>
      </c>
      <c r="D1254" s="54" t="s">
        <v>152</v>
      </c>
      <c r="E1254" s="68" t="s">
        <v>2598</v>
      </c>
      <c r="F1254" s="54" t="s">
        <v>62</v>
      </c>
      <c r="H1254" s="54">
        <f>STOCK[[#This Row],[Precio Final]]</f>
        <v>25</v>
      </c>
      <c r="I1254" s="54">
        <f>STOCK[[#This Row],[Precio Venta Ideal (x1.5)]]</f>
        <v>29.94</v>
      </c>
      <c r="J1254" s="72">
        <v>0</v>
      </c>
      <c r="K1254" s="72">
        <f>SUMIFS(VENTAS[Cantidad],VENTAS[Código del producto Vendido],STOCK[[#This Row],[Code]])</f>
        <v>0</v>
      </c>
      <c r="L1254" s="72">
        <f>STOCK[[#This Row],[Entradas]]-STOCK[[#This Row],[Salidas]]</f>
        <v>0</v>
      </c>
      <c r="M1254" s="54">
        <f>STOCK[[#This Row],[Precio Final]]*10%</f>
        <v>2.5</v>
      </c>
      <c r="N1254" s="54">
        <v>0</v>
      </c>
      <c r="O1254" s="54">
        <v>0</v>
      </c>
      <c r="P1254" s="54">
        <v>15.49</v>
      </c>
      <c r="Q1254" s="72">
        <v>0</v>
      </c>
      <c r="R1254" s="54">
        <v>0</v>
      </c>
      <c r="S1254" s="54">
        <v>1.97</v>
      </c>
      <c r="T1254" s="53">
        <f>STOCK[[#This Row],[Costo Unitario (USD)]]+STOCK[[#This Row],[Costo Envío (USD)]]+STOCK[[#This Row],[Comisión 10%]]</f>
        <v>19.96</v>
      </c>
      <c r="U1254" s="54">
        <f>STOCK[[#This Row],[Costo total]]*1.5</f>
        <v>29.94</v>
      </c>
      <c r="V1254" s="54">
        <v>25</v>
      </c>
      <c r="W1254" s="54">
        <f>STOCK[[#This Row],[Precio Final]]-STOCK[[#This Row],[Costo total]]</f>
        <v>5.04</v>
      </c>
      <c r="X1254" s="54">
        <f>STOCK[[#This Row],[Ganancia Unitaria]]*STOCK[[#This Row],[Salidas]]</f>
        <v>0</v>
      </c>
      <c r="AA1254" s="54">
        <f>STOCK[[#This Row],[Costo total]]*STOCK[[#This Row],[Entradas]]</f>
        <v>0</v>
      </c>
      <c r="AB1254" s="54">
        <f>STOCK[[#This Row],[Stock Actual]]*STOCK[[#This Row],[Costo total]]</f>
        <v>0</v>
      </c>
    </row>
    <row r="1255" s="53" customFormat="1" ht="50" customHeight="1" spans="1:28">
      <c r="A1255" s="53" t="s">
        <v>2599</v>
      </c>
      <c r="B1255" s="66"/>
      <c r="C1255" s="53" t="s">
        <v>32</v>
      </c>
      <c r="D1255" s="53" t="s">
        <v>2118</v>
      </c>
      <c r="E1255" s="67" t="s">
        <v>2600</v>
      </c>
      <c r="F1255" s="53" t="s">
        <v>62</v>
      </c>
      <c r="H1255" s="53">
        <f>STOCK[[#This Row],[Precio Final]]</f>
        <v>30</v>
      </c>
      <c r="I1255" s="53">
        <f>STOCK[[#This Row],[Precio Venta Ideal (x1.5)]]</f>
        <v>20.94</v>
      </c>
      <c r="J1255" s="71">
        <v>1</v>
      </c>
      <c r="K1255" s="71">
        <f>SUMIFS(VENTAS[Cantidad],VENTAS[Código del producto Vendido],STOCK[[#This Row],[Code]])</f>
        <v>0</v>
      </c>
      <c r="L1255" s="71">
        <f>STOCK[[#This Row],[Entradas]]-STOCK[[#This Row],[Salidas]]</f>
        <v>1</v>
      </c>
      <c r="M1255" s="53">
        <f>STOCK[[#This Row],[Precio Final]]*10%</f>
        <v>3</v>
      </c>
      <c r="N1255" s="53">
        <v>0</v>
      </c>
      <c r="O1255" s="53">
        <v>0</v>
      </c>
      <c r="P1255" s="53">
        <v>8.99</v>
      </c>
      <c r="Q1255" s="71">
        <v>0</v>
      </c>
      <c r="R1255" s="53">
        <v>0</v>
      </c>
      <c r="S1255" s="53">
        <v>1.97</v>
      </c>
      <c r="T1255" s="53">
        <f>STOCK[[#This Row],[Costo Unitario (USD)]]+STOCK[[#This Row],[Costo Envío (USD)]]+STOCK[[#This Row],[Comisión 10%]]</f>
        <v>13.96</v>
      </c>
      <c r="U1255" s="53">
        <f>STOCK[[#This Row],[Costo total]]*1.5</f>
        <v>20.94</v>
      </c>
      <c r="V1255" s="53">
        <v>30</v>
      </c>
      <c r="W1255" s="53">
        <f>STOCK[[#This Row],[Precio Final]]-STOCK[[#This Row],[Costo total]]</f>
        <v>16.04</v>
      </c>
      <c r="X1255" s="53">
        <f>STOCK[[#This Row],[Ganancia Unitaria]]*STOCK[[#This Row],[Salidas]]</f>
        <v>0</v>
      </c>
      <c r="AA1255" s="54">
        <f>STOCK[[#This Row],[Costo total]]*STOCK[[#This Row],[Entradas]]</f>
        <v>13.96</v>
      </c>
      <c r="AB1255" s="54">
        <f>STOCK[[#This Row],[Stock Actual]]*STOCK[[#This Row],[Costo total]]</f>
        <v>13.96</v>
      </c>
    </row>
    <row r="1256" s="54" customFormat="1" ht="50" customHeight="1" spans="1:28">
      <c r="A1256" s="54" t="s">
        <v>2601</v>
      </c>
      <c r="B1256" s="66"/>
      <c r="C1256" s="54" t="s">
        <v>32</v>
      </c>
      <c r="D1256" s="54" t="s">
        <v>488</v>
      </c>
      <c r="E1256" s="68" t="s">
        <v>2602</v>
      </c>
      <c r="F1256" s="54" t="s">
        <v>1534</v>
      </c>
      <c r="H1256" s="54">
        <f>STOCK[[#This Row],[Precio Final]]</f>
        <v>20</v>
      </c>
      <c r="I1256" s="54">
        <f>STOCK[[#This Row],[Precio Venta Ideal (x1.5)]]</f>
        <v>11.94</v>
      </c>
      <c r="J1256" s="72">
        <v>3</v>
      </c>
      <c r="K1256" s="72">
        <f>SUMIFS(VENTAS[Cantidad],VENTAS[Código del producto Vendido],STOCK[[#This Row],[Code]])</f>
        <v>3</v>
      </c>
      <c r="L1256" s="72">
        <f>STOCK[[#This Row],[Entradas]]-STOCK[[#This Row],[Salidas]]</f>
        <v>0</v>
      </c>
      <c r="M1256" s="54">
        <f>STOCK[[#This Row],[Precio Final]]*10%</f>
        <v>2</v>
      </c>
      <c r="N1256" s="54">
        <v>0</v>
      </c>
      <c r="O1256" s="54">
        <v>0</v>
      </c>
      <c r="P1256" s="54">
        <v>3.99</v>
      </c>
      <c r="Q1256" s="72">
        <v>0</v>
      </c>
      <c r="R1256" s="54">
        <v>0</v>
      </c>
      <c r="S1256" s="54">
        <v>1.97</v>
      </c>
      <c r="T1256" s="53">
        <f>STOCK[[#This Row],[Costo Unitario (USD)]]+STOCK[[#This Row],[Costo Envío (USD)]]+STOCK[[#This Row],[Comisión 10%]]</f>
        <v>7.96</v>
      </c>
      <c r="U1256" s="54">
        <f>STOCK[[#This Row],[Costo total]]*1.5</f>
        <v>11.94</v>
      </c>
      <c r="V1256" s="54">
        <v>20</v>
      </c>
      <c r="W1256" s="54">
        <f>STOCK[[#This Row],[Precio Final]]-STOCK[[#This Row],[Costo total]]</f>
        <v>12.04</v>
      </c>
      <c r="X1256" s="54">
        <f>STOCK[[#This Row],[Ganancia Unitaria]]*STOCK[[#This Row],[Salidas]]</f>
        <v>36.12</v>
      </c>
      <c r="AA1256" s="54">
        <f>STOCK[[#This Row],[Costo total]]*STOCK[[#This Row],[Entradas]]</f>
        <v>23.88</v>
      </c>
      <c r="AB1256" s="54">
        <f>STOCK[[#This Row],[Stock Actual]]*STOCK[[#This Row],[Costo total]]</f>
        <v>0</v>
      </c>
    </row>
    <row r="1257" s="53" customFormat="1" ht="50" customHeight="1" spans="1:28">
      <c r="A1257" s="53" t="s">
        <v>2603</v>
      </c>
      <c r="B1257" s="66"/>
      <c r="C1257" s="53" t="s">
        <v>32</v>
      </c>
      <c r="D1257" s="53" t="s">
        <v>2133</v>
      </c>
      <c r="E1257" s="67" t="s">
        <v>2604</v>
      </c>
      <c r="F1257" s="53" t="s">
        <v>62</v>
      </c>
      <c r="H1257" s="53">
        <f>STOCK[[#This Row],[Precio Final]]</f>
        <v>35</v>
      </c>
      <c r="I1257" s="53">
        <f>STOCK[[#This Row],[Precio Venta Ideal (x1.5)]]</f>
        <v>25.59</v>
      </c>
      <c r="J1257" s="71">
        <v>1</v>
      </c>
      <c r="K1257" s="71">
        <f>SUMIFS(VENTAS[Cantidad],VENTAS[Código del producto Vendido],STOCK[[#This Row],[Code]])</f>
        <v>1</v>
      </c>
      <c r="L1257" s="71">
        <f>STOCK[[#This Row],[Entradas]]-STOCK[[#This Row],[Salidas]]</f>
        <v>0</v>
      </c>
      <c r="M1257" s="53">
        <f>STOCK[[#This Row],[Precio Final]]*10%</f>
        <v>3.5</v>
      </c>
      <c r="N1257" s="53">
        <v>0</v>
      </c>
      <c r="O1257" s="53">
        <v>0</v>
      </c>
      <c r="P1257" s="53">
        <v>11.59</v>
      </c>
      <c r="Q1257" s="71">
        <v>0</v>
      </c>
      <c r="R1257" s="53">
        <v>0</v>
      </c>
      <c r="S1257" s="53">
        <v>1.97</v>
      </c>
      <c r="T1257" s="53">
        <f>STOCK[[#This Row],[Costo Unitario (USD)]]+STOCK[[#This Row],[Costo Envío (USD)]]+STOCK[[#This Row],[Comisión 10%]]</f>
        <v>17.06</v>
      </c>
      <c r="U1257" s="53">
        <f>STOCK[[#This Row],[Costo total]]*1.5</f>
        <v>25.59</v>
      </c>
      <c r="V1257" s="53">
        <v>35</v>
      </c>
      <c r="W1257" s="53">
        <f>STOCK[[#This Row],[Precio Final]]-STOCK[[#This Row],[Costo total]]</f>
        <v>17.94</v>
      </c>
      <c r="X1257" s="53">
        <f>STOCK[[#This Row],[Ganancia Unitaria]]*STOCK[[#This Row],[Salidas]]</f>
        <v>17.94</v>
      </c>
      <c r="AA1257" s="54">
        <f>STOCK[[#This Row],[Costo total]]*STOCK[[#This Row],[Entradas]]</f>
        <v>17.06</v>
      </c>
      <c r="AB1257" s="54">
        <f>STOCK[[#This Row],[Stock Actual]]*STOCK[[#This Row],[Costo total]]</f>
        <v>0</v>
      </c>
    </row>
    <row r="1258" s="54" customFormat="1" ht="50" customHeight="1" spans="1:28">
      <c r="A1258" s="54" t="s">
        <v>2605</v>
      </c>
      <c r="B1258" s="66"/>
      <c r="C1258" s="54" t="s">
        <v>32</v>
      </c>
      <c r="D1258" s="54" t="s">
        <v>2118</v>
      </c>
      <c r="E1258" s="68" t="s">
        <v>2606</v>
      </c>
      <c r="F1258" s="54" t="s">
        <v>40</v>
      </c>
      <c r="H1258" s="54">
        <f>STOCK[[#This Row],[Precio Final]]</f>
        <v>25</v>
      </c>
      <c r="I1258" s="54">
        <f>STOCK[[#This Row],[Precio Venta Ideal (x1.5)]]</f>
        <v>23.91</v>
      </c>
      <c r="J1258" s="72">
        <v>1</v>
      </c>
      <c r="K1258" s="72">
        <f>SUMIFS(VENTAS[Cantidad],VENTAS[Código del producto Vendido],STOCK[[#This Row],[Code]])</f>
        <v>1</v>
      </c>
      <c r="L1258" s="72">
        <f>STOCK[[#This Row],[Entradas]]-STOCK[[#This Row],[Salidas]]</f>
        <v>0</v>
      </c>
      <c r="M1258" s="54">
        <f>STOCK[[#This Row],[Precio Final]]*10%</f>
        <v>2.5</v>
      </c>
      <c r="N1258" s="54">
        <v>0</v>
      </c>
      <c r="O1258" s="54">
        <v>0</v>
      </c>
      <c r="P1258" s="54">
        <v>11.47</v>
      </c>
      <c r="Q1258" s="72">
        <v>0</v>
      </c>
      <c r="R1258" s="54">
        <v>0</v>
      </c>
      <c r="S1258" s="54">
        <v>1.97</v>
      </c>
      <c r="T1258" s="53">
        <f>STOCK[[#This Row],[Costo Unitario (USD)]]+STOCK[[#This Row],[Costo Envío (USD)]]+STOCK[[#This Row],[Comisión 10%]]</f>
        <v>15.94</v>
      </c>
      <c r="U1258" s="54">
        <f>STOCK[[#This Row],[Costo total]]*1.5</f>
        <v>23.91</v>
      </c>
      <c r="V1258" s="54">
        <v>25</v>
      </c>
      <c r="W1258" s="54">
        <f>STOCK[[#This Row],[Precio Final]]-STOCK[[#This Row],[Costo total]]</f>
        <v>9.06</v>
      </c>
      <c r="X1258" s="54">
        <f>STOCK[[#This Row],[Ganancia Unitaria]]*STOCK[[#This Row],[Salidas]]</f>
        <v>9.06</v>
      </c>
      <c r="AA1258" s="54">
        <f>STOCK[[#This Row],[Costo total]]*STOCK[[#This Row],[Entradas]]</f>
        <v>15.94</v>
      </c>
      <c r="AB1258" s="54">
        <f>STOCK[[#This Row],[Stock Actual]]*STOCK[[#This Row],[Costo total]]</f>
        <v>0</v>
      </c>
    </row>
    <row r="1259" s="53" customFormat="1" ht="50" customHeight="1" spans="1:28">
      <c r="A1259" s="53" t="s">
        <v>2607</v>
      </c>
      <c r="B1259" s="66"/>
      <c r="C1259" s="53" t="s">
        <v>32</v>
      </c>
      <c r="D1259" s="53" t="s">
        <v>2118</v>
      </c>
      <c r="E1259" s="67" t="s">
        <v>2606</v>
      </c>
      <c r="F1259" s="53" t="s">
        <v>62</v>
      </c>
      <c r="H1259" s="53">
        <f>STOCK[[#This Row],[Precio Final]]</f>
        <v>25</v>
      </c>
      <c r="I1259" s="53">
        <f>STOCK[[#This Row],[Precio Venta Ideal (x1.5)]]</f>
        <v>23.91</v>
      </c>
      <c r="J1259" s="71">
        <v>1</v>
      </c>
      <c r="K1259" s="71">
        <f>SUMIFS(VENTAS[Cantidad],VENTAS[Código del producto Vendido],STOCK[[#This Row],[Code]])</f>
        <v>1</v>
      </c>
      <c r="L1259" s="71">
        <f>STOCK[[#This Row],[Entradas]]-STOCK[[#This Row],[Salidas]]</f>
        <v>0</v>
      </c>
      <c r="M1259" s="53">
        <f>STOCK[[#This Row],[Precio Final]]*10%</f>
        <v>2.5</v>
      </c>
      <c r="N1259" s="53">
        <v>0</v>
      </c>
      <c r="O1259" s="53">
        <v>0</v>
      </c>
      <c r="P1259" s="53">
        <v>11.47</v>
      </c>
      <c r="Q1259" s="71">
        <v>0</v>
      </c>
      <c r="R1259" s="53">
        <v>0</v>
      </c>
      <c r="S1259" s="53">
        <v>1.97</v>
      </c>
      <c r="T1259" s="53">
        <f>STOCK[[#This Row],[Costo Unitario (USD)]]+STOCK[[#This Row],[Costo Envío (USD)]]+STOCK[[#This Row],[Comisión 10%]]</f>
        <v>15.94</v>
      </c>
      <c r="U1259" s="53">
        <f>STOCK[[#This Row],[Costo total]]*1.5</f>
        <v>23.91</v>
      </c>
      <c r="V1259" s="53">
        <v>25</v>
      </c>
      <c r="W1259" s="53">
        <f>STOCK[[#This Row],[Precio Final]]-STOCK[[#This Row],[Costo total]]</f>
        <v>9.06</v>
      </c>
      <c r="X1259" s="53">
        <f>STOCK[[#This Row],[Ganancia Unitaria]]*STOCK[[#This Row],[Salidas]]</f>
        <v>9.06</v>
      </c>
      <c r="AA1259" s="54">
        <f>STOCK[[#This Row],[Costo total]]*STOCK[[#This Row],[Entradas]]</f>
        <v>15.94</v>
      </c>
      <c r="AB1259" s="54">
        <f>STOCK[[#This Row],[Stock Actual]]*STOCK[[#This Row],[Costo total]]</f>
        <v>0</v>
      </c>
    </row>
    <row r="1260" s="54" customFormat="1" ht="50" customHeight="1" spans="1:28">
      <c r="A1260" s="54" t="s">
        <v>2608</v>
      </c>
      <c r="B1260" s="66"/>
      <c r="C1260" s="54" t="s">
        <v>32</v>
      </c>
      <c r="D1260" s="54" t="s">
        <v>2118</v>
      </c>
      <c r="E1260" s="68" t="s">
        <v>2606</v>
      </c>
      <c r="F1260" s="54" t="s">
        <v>49</v>
      </c>
      <c r="H1260" s="54">
        <f>STOCK[[#This Row],[Precio Final]]</f>
        <v>25</v>
      </c>
      <c r="I1260" s="54">
        <f>STOCK[[#This Row],[Precio Venta Ideal (x1.5)]]</f>
        <v>23.91</v>
      </c>
      <c r="J1260" s="72">
        <v>1</v>
      </c>
      <c r="K1260" s="72">
        <f>SUMIFS(VENTAS[Cantidad],VENTAS[Código del producto Vendido],STOCK[[#This Row],[Code]])</f>
        <v>0</v>
      </c>
      <c r="L1260" s="72">
        <f>STOCK[[#This Row],[Entradas]]-STOCK[[#This Row],[Salidas]]</f>
        <v>1</v>
      </c>
      <c r="M1260" s="54">
        <f>STOCK[[#This Row],[Precio Final]]*10%</f>
        <v>2.5</v>
      </c>
      <c r="N1260" s="54">
        <v>0</v>
      </c>
      <c r="O1260" s="54">
        <v>0</v>
      </c>
      <c r="P1260" s="54">
        <v>11.47</v>
      </c>
      <c r="Q1260" s="72">
        <v>0</v>
      </c>
      <c r="R1260" s="54">
        <v>0</v>
      </c>
      <c r="S1260" s="54">
        <v>1.97</v>
      </c>
      <c r="T1260" s="53">
        <f>STOCK[[#This Row],[Costo Unitario (USD)]]+STOCK[[#This Row],[Costo Envío (USD)]]+STOCK[[#This Row],[Comisión 10%]]</f>
        <v>15.94</v>
      </c>
      <c r="U1260" s="54">
        <f>STOCK[[#This Row],[Costo total]]*1.5</f>
        <v>23.91</v>
      </c>
      <c r="V1260" s="54">
        <v>25</v>
      </c>
      <c r="W1260" s="54">
        <f>STOCK[[#This Row],[Precio Final]]-STOCK[[#This Row],[Costo total]]</f>
        <v>9.06</v>
      </c>
      <c r="X1260" s="54">
        <f>STOCK[[#This Row],[Ganancia Unitaria]]*STOCK[[#This Row],[Salidas]]</f>
        <v>0</v>
      </c>
      <c r="AA1260" s="54">
        <f>STOCK[[#This Row],[Costo total]]*STOCK[[#This Row],[Entradas]]</f>
        <v>15.94</v>
      </c>
      <c r="AB1260" s="54">
        <f>STOCK[[#This Row],[Stock Actual]]*STOCK[[#This Row],[Costo total]]</f>
        <v>15.94</v>
      </c>
    </row>
    <row r="1261" s="53" customFormat="1" ht="50" customHeight="1" spans="1:28">
      <c r="A1261" s="53" t="s">
        <v>2609</v>
      </c>
      <c r="B1261" s="66"/>
      <c r="C1261" s="53" t="s">
        <v>32</v>
      </c>
      <c r="D1261" s="53" t="s">
        <v>2118</v>
      </c>
      <c r="E1261" s="67" t="s">
        <v>2606</v>
      </c>
      <c r="F1261" s="53" t="s">
        <v>46</v>
      </c>
      <c r="H1261" s="53">
        <f>STOCK[[#This Row],[Precio Final]]</f>
        <v>25</v>
      </c>
      <c r="I1261" s="53">
        <f>STOCK[[#This Row],[Precio Venta Ideal (x1.5)]]</f>
        <v>23.91</v>
      </c>
      <c r="J1261" s="71">
        <v>1</v>
      </c>
      <c r="K1261" s="71">
        <f>SUMIFS(VENTAS[Cantidad],VENTAS[Código del producto Vendido],STOCK[[#This Row],[Code]])</f>
        <v>0</v>
      </c>
      <c r="L1261" s="71">
        <f>STOCK[[#This Row],[Entradas]]-STOCK[[#This Row],[Salidas]]</f>
        <v>1</v>
      </c>
      <c r="M1261" s="53">
        <f>STOCK[[#This Row],[Precio Final]]*10%</f>
        <v>2.5</v>
      </c>
      <c r="N1261" s="53">
        <v>0</v>
      </c>
      <c r="O1261" s="53">
        <v>0</v>
      </c>
      <c r="P1261" s="53">
        <v>11.47</v>
      </c>
      <c r="Q1261" s="71">
        <v>0</v>
      </c>
      <c r="R1261" s="53">
        <v>0</v>
      </c>
      <c r="S1261" s="53">
        <v>1.97</v>
      </c>
      <c r="T1261" s="53">
        <f>STOCK[[#This Row],[Costo Unitario (USD)]]+STOCK[[#This Row],[Costo Envío (USD)]]+STOCK[[#This Row],[Comisión 10%]]</f>
        <v>15.94</v>
      </c>
      <c r="U1261" s="53">
        <f>STOCK[[#This Row],[Costo total]]*1.5</f>
        <v>23.91</v>
      </c>
      <c r="V1261" s="53">
        <v>25</v>
      </c>
      <c r="W1261" s="53">
        <f>STOCK[[#This Row],[Precio Final]]-STOCK[[#This Row],[Costo total]]</f>
        <v>9.06</v>
      </c>
      <c r="X1261" s="53">
        <f>STOCK[[#This Row],[Ganancia Unitaria]]*STOCK[[#This Row],[Salidas]]</f>
        <v>0</v>
      </c>
      <c r="AA1261" s="54">
        <f>STOCK[[#This Row],[Costo total]]*STOCK[[#This Row],[Entradas]]</f>
        <v>15.94</v>
      </c>
      <c r="AB1261" s="54">
        <f>STOCK[[#This Row],[Stock Actual]]*STOCK[[#This Row],[Costo total]]</f>
        <v>15.94</v>
      </c>
    </row>
    <row r="1262" s="54" customFormat="1" ht="50" customHeight="1" spans="1:28">
      <c r="A1262" s="54" t="s">
        <v>2610</v>
      </c>
      <c r="B1262" s="66"/>
      <c r="C1262" s="54" t="s">
        <v>32</v>
      </c>
      <c r="D1262" s="54" t="s">
        <v>1212</v>
      </c>
      <c r="E1262" s="68" t="s">
        <v>2611</v>
      </c>
      <c r="F1262" s="54" t="s">
        <v>62</v>
      </c>
      <c r="H1262" s="54">
        <f>STOCK[[#This Row],[Precio Final]]</f>
        <v>25</v>
      </c>
      <c r="I1262" s="54">
        <f>STOCK[[#This Row],[Precio Venta Ideal (x1.5)]]</f>
        <v>27.315</v>
      </c>
      <c r="J1262" s="72">
        <v>1</v>
      </c>
      <c r="K1262" s="72">
        <f>SUMIFS(VENTAS[Cantidad],VENTAS[Código del producto Vendido],STOCK[[#This Row],[Code]])</f>
        <v>1</v>
      </c>
      <c r="L1262" s="72">
        <f>STOCK[[#This Row],[Entradas]]-STOCK[[#This Row],[Salidas]]</f>
        <v>0</v>
      </c>
      <c r="M1262" s="54">
        <f>STOCK[[#This Row],[Precio Final]]*10%</f>
        <v>2.5</v>
      </c>
      <c r="N1262" s="54">
        <v>0</v>
      </c>
      <c r="O1262" s="54">
        <v>0</v>
      </c>
      <c r="P1262" s="54">
        <v>13.74</v>
      </c>
      <c r="Q1262" s="72">
        <v>0</v>
      </c>
      <c r="R1262" s="54">
        <v>0</v>
      </c>
      <c r="S1262" s="54">
        <v>1.97</v>
      </c>
      <c r="T1262" s="53">
        <f>STOCK[[#This Row],[Costo Unitario (USD)]]+STOCK[[#This Row],[Costo Envío (USD)]]+STOCK[[#This Row],[Comisión 10%]]</f>
        <v>18.21</v>
      </c>
      <c r="U1262" s="54">
        <f>STOCK[[#This Row],[Costo total]]*1.5</f>
        <v>27.315</v>
      </c>
      <c r="V1262" s="54">
        <v>25</v>
      </c>
      <c r="W1262" s="54">
        <f>STOCK[[#This Row],[Precio Final]]-STOCK[[#This Row],[Costo total]]</f>
        <v>6.79</v>
      </c>
      <c r="X1262" s="54">
        <f>STOCK[[#This Row],[Ganancia Unitaria]]*STOCK[[#This Row],[Salidas]]</f>
        <v>6.79</v>
      </c>
      <c r="AA1262" s="54">
        <f>STOCK[[#This Row],[Costo total]]*STOCK[[#This Row],[Entradas]]</f>
        <v>18.21</v>
      </c>
      <c r="AB1262" s="54">
        <f>STOCK[[#This Row],[Stock Actual]]*STOCK[[#This Row],[Costo total]]</f>
        <v>0</v>
      </c>
    </row>
    <row r="1263" s="53" customFormat="1" ht="50" customHeight="1" spans="1:28">
      <c r="A1263" s="53" t="s">
        <v>2612</v>
      </c>
      <c r="B1263" s="66"/>
      <c r="C1263" s="53" t="s">
        <v>32</v>
      </c>
      <c r="D1263" s="53" t="s">
        <v>1212</v>
      </c>
      <c r="E1263" s="67" t="s">
        <v>2613</v>
      </c>
      <c r="F1263" s="53" t="s">
        <v>49</v>
      </c>
      <c r="H1263" s="53">
        <f>STOCK[[#This Row],[Precio Final]]</f>
        <v>20</v>
      </c>
      <c r="I1263" s="53">
        <f>STOCK[[#This Row],[Precio Venta Ideal (x1.5)]]</f>
        <v>18.54</v>
      </c>
      <c r="J1263" s="71">
        <v>1</v>
      </c>
      <c r="K1263" s="71">
        <f>SUMIFS(VENTAS[Cantidad],VENTAS[Código del producto Vendido],STOCK[[#This Row],[Code]])</f>
        <v>0</v>
      </c>
      <c r="L1263" s="71">
        <f>STOCK[[#This Row],[Entradas]]-STOCK[[#This Row],[Salidas]]</f>
        <v>1</v>
      </c>
      <c r="M1263" s="53">
        <f>STOCK[[#This Row],[Precio Final]]*10%</f>
        <v>2</v>
      </c>
      <c r="N1263" s="53">
        <v>0</v>
      </c>
      <c r="O1263" s="53">
        <v>0</v>
      </c>
      <c r="P1263" s="53">
        <v>8.39</v>
      </c>
      <c r="Q1263" s="71">
        <v>0</v>
      </c>
      <c r="R1263" s="53">
        <v>0</v>
      </c>
      <c r="S1263" s="53">
        <v>1.97</v>
      </c>
      <c r="T1263" s="53">
        <f>STOCK[[#This Row],[Costo Unitario (USD)]]+STOCK[[#This Row],[Costo Envío (USD)]]+STOCK[[#This Row],[Comisión 10%]]</f>
        <v>12.36</v>
      </c>
      <c r="U1263" s="53">
        <f>STOCK[[#This Row],[Costo total]]*1.5</f>
        <v>18.54</v>
      </c>
      <c r="V1263" s="53">
        <v>20</v>
      </c>
      <c r="W1263" s="53">
        <f>STOCK[[#This Row],[Precio Final]]-STOCK[[#This Row],[Costo total]]</f>
        <v>7.64</v>
      </c>
      <c r="X1263" s="53">
        <f>STOCK[[#This Row],[Ganancia Unitaria]]*STOCK[[#This Row],[Salidas]]</f>
        <v>0</v>
      </c>
      <c r="AA1263" s="54">
        <f>STOCK[[#This Row],[Costo total]]*STOCK[[#This Row],[Entradas]]</f>
        <v>12.36</v>
      </c>
      <c r="AB1263" s="54">
        <f>STOCK[[#This Row],[Stock Actual]]*STOCK[[#This Row],[Costo total]]</f>
        <v>12.36</v>
      </c>
    </row>
    <row r="1264" s="54" customFormat="1" ht="50" customHeight="1" spans="1:28">
      <c r="A1264" s="54" t="s">
        <v>2614</v>
      </c>
      <c r="B1264" s="66"/>
      <c r="C1264" s="54" t="s">
        <v>32</v>
      </c>
      <c r="D1264" s="54" t="s">
        <v>2118</v>
      </c>
      <c r="E1264" s="68" t="s">
        <v>2615</v>
      </c>
      <c r="F1264" s="54" t="s">
        <v>49</v>
      </c>
      <c r="H1264" s="54">
        <f>STOCK[[#This Row],[Precio Final]]</f>
        <v>25</v>
      </c>
      <c r="I1264" s="54">
        <f>STOCK[[#This Row],[Precio Venta Ideal (x1.5)]]</f>
        <v>23.46</v>
      </c>
      <c r="J1264" s="72">
        <v>1</v>
      </c>
      <c r="K1264" s="72">
        <f>SUMIFS(VENTAS[Cantidad],VENTAS[Código del producto Vendido],STOCK[[#This Row],[Code]])</f>
        <v>1</v>
      </c>
      <c r="L1264" s="72">
        <f>STOCK[[#This Row],[Entradas]]-STOCK[[#This Row],[Salidas]]</f>
        <v>0</v>
      </c>
      <c r="M1264" s="54">
        <f>STOCK[[#This Row],[Precio Final]]*10%</f>
        <v>2.5</v>
      </c>
      <c r="N1264" s="54">
        <v>0</v>
      </c>
      <c r="O1264" s="54">
        <v>0</v>
      </c>
      <c r="P1264" s="54">
        <v>11.17</v>
      </c>
      <c r="Q1264" s="72">
        <v>0</v>
      </c>
      <c r="R1264" s="54">
        <v>0</v>
      </c>
      <c r="S1264" s="54">
        <v>1.97</v>
      </c>
      <c r="T1264" s="53">
        <f>STOCK[[#This Row],[Costo Unitario (USD)]]+STOCK[[#This Row],[Costo Envío (USD)]]+STOCK[[#This Row],[Comisión 10%]]</f>
        <v>15.64</v>
      </c>
      <c r="U1264" s="54">
        <f>STOCK[[#This Row],[Costo total]]*1.5</f>
        <v>23.46</v>
      </c>
      <c r="V1264" s="54">
        <v>25</v>
      </c>
      <c r="W1264" s="54">
        <f>STOCK[[#This Row],[Precio Final]]-STOCK[[#This Row],[Costo total]]</f>
        <v>9.36</v>
      </c>
      <c r="X1264" s="54">
        <f>STOCK[[#This Row],[Ganancia Unitaria]]*STOCK[[#This Row],[Salidas]]</f>
        <v>9.36</v>
      </c>
      <c r="AA1264" s="54">
        <f>STOCK[[#This Row],[Costo total]]*STOCK[[#This Row],[Entradas]]</f>
        <v>15.64</v>
      </c>
      <c r="AB1264" s="54">
        <f>STOCK[[#This Row],[Stock Actual]]*STOCK[[#This Row],[Costo total]]</f>
        <v>0</v>
      </c>
    </row>
    <row r="1265" s="53" customFormat="1" ht="50" customHeight="1" spans="1:28">
      <c r="A1265" s="53" t="s">
        <v>2616</v>
      </c>
      <c r="B1265" s="66"/>
      <c r="C1265" s="53" t="s">
        <v>32</v>
      </c>
      <c r="D1265" s="53" t="s">
        <v>2118</v>
      </c>
      <c r="E1265" s="67" t="s">
        <v>2617</v>
      </c>
      <c r="F1265" s="53" t="s">
        <v>46</v>
      </c>
      <c r="H1265" s="53">
        <f>STOCK[[#This Row],[Precio Final]]</f>
        <v>25</v>
      </c>
      <c r="I1265" s="53">
        <f>STOCK[[#This Row],[Precio Venta Ideal (x1.5)]]</f>
        <v>23.97</v>
      </c>
      <c r="J1265" s="71">
        <v>1</v>
      </c>
      <c r="K1265" s="71">
        <f>SUMIFS(VENTAS[Cantidad],VENTAS[Código del producto Vendido],STOCK[[#This Row],[Code]])</f>
        <v>1</v>
      </c>
      <c r="L1265" s="71">
        <f>STOCK[[#This Row],[Entradas]]-STOCK[[#This Row],[Salidas]]</f>
        <v>0</v>
      </c>
      <c r="M1265" s="53">
        <f>STOCK[[#This Row],[Precio Final]]*10%</f>
        <v>2.5</v>
      </c>
      <c r="N1265" s="53">
        <v>0</v>
      </c>
      <c r="O1265" s="53">
        <v>0</v>
      </c>
      <c r="P1265" s="53">
        <v>11.51</v>
      </c>
      <c r="Q1265" s="71">
        <v>0</v>
      </c>
      <c r="R1265" s="53">
        <v>0</v>
      </c>
      <c r="S1265" s="53">
        <v>1.97</v>
      </c>
      <c r="T1265" s="53">
        <f>STOCK[[#This Row],[Costo Unitario (USD)]]+STOCK[[#This Row],[Costo Envío (USD)]]+STOCK[[#This Row],[Comisión 10%]]</f>
        <v>15.98</v>
      </c>
      <c r="U1265" s="53">
        <f>STOCK[[#This Row],[Costo total]]*1.5</f>
        <v>23.97</v>
      </c>
      <c r="V1265" s="53">
        <v>25</v>
      </c>
      <c r="W1265" s="53">
        <f>STOCK[[#This Row],[Precio Final]]-STOCK[[#This Row],[Costo total]]</f>
        <v>9.02</v>
      </c>
      <c r="X1265" s="53">
        <f>STOCK[[#This Row],[Ganancia Unitaria]]*STOCK[[#This Row],[Salidas]]</f>
        <v>9.02</v>
      </c>
      <c r="AA1265" s="54">
        <f>STOCK[[#This Row],[Costo total]]*STOCK[[#This Row],[Entradas]]</f>
        <v>15.98</v>
      </c>
      <c r="AB1265" s="54">
        <f>STOCK[[#This Row],[Stock Actual]]*STOCK[[#This Row],[Costo total]]</f>
        <v>0</v>
      </c>
    </row>
    <row r="1266" s="54" customFormat="1" ht="50" customHeight="1" spans="1:28">
      <c r="A1266" s="54" t="s">
        <v>2618</v>
      </c>
      <c r="B1266" s="66"/>
      <c r="C1266" s="54" t="s">
        <v>32</v>
      </c>
      <c r="D1266" s="54" t="s">
        <v>2118</v>
      </c>
      <c r="E1266" s="68" t="s">
        <v>2617</v>
      </c>
      <c r="F1266" s="54" t="s">
        <v>62</v>
      </c>
      <c r="H1266" s="54">
        <f>STOCK[[#This Row],[Precio Final]]</f>
        <v>25</v>
      </c>
      <c r="I1266" s="54">
        <f>STOCK[[#This Row],[Precio Venta Ideal (x1.5)]]</f>
        <v>23.97</v>
      </c>
      <c r="J1266" s="72">
        <v>1</v>
      </c>
      <c r="K1266" s="72">
        <f>SUMIFS(VENTAS[Cantidad],VENTAS[Código del producto Vendido],STOCK[[#This Row],[Code]])</f>
        <v>1</v>
      </c>
      <c r="L1266" s="72">
        <f>STOCK[[#This Row],[Entradas]]-STOCK[[#This Row],[Salidas]]</f>
        <v>0</v>
      </c>
      <c r="M1266" s="54">
        <f>STOCK[[#This Row],[Precio Final]]*10%</f>
        <v>2.5</v>
      </c>
      <c r="N1266" s="54">
        <v>0</v>
      </c>
      <c r="O1266" s="54">
        <v>0</v>
      </c>
      <c r="P1266" s="54">
        <v>11.51</v>
      </c>
      <c r="Q1266" s="72">
        <v>0</v>
      </c>
      <c r="R1266" s="54">
        <v>0</v>
      </c>
      <c r="S1266" s="54">
        <v>1.97</v>
      </c>
      <c r="T1266" s="53">
        <f>STOCK[[#This Row],[Costo Unitario (USD)]]+STOCK[[#This Row],[Costo Envío (USD)]]+STOCK[[#This Row],[Comisión 10%]]</f>
        <v>15.98</v>
      </c>
      <c r="U1266" s="54">
        <f>STOCK[[#This Row],[Costo total]]*1.5</f>
        <v>23.97</v>
      </c>
      <c r="V1266" s="54">
        <v>25</v>
      </c>
      <c r="W1266" s="54">
        <f>STOCK[[#This Row],[Precio Final]]-STOCK[[#This Row],[Costo total]]</f>
        <v>9.02</v>
      </c>
      <c r="X1266" s="54">
        <f>STOCK[[#This Row],[Ganancia Unitaria]]*STOCK[[#This Row],[Salidas]]</f>
        <v>9.02</v>
      </c>
      <c r="AA1266" s="54">
        <f>STOCK[[#This Row],[Costo total]]*STOCK[[#This Row],[Entradas]]</f>
        <v>15.98</v>
      </c>
      <c r="AB1266" s="54">
        <f>STOCK[[#This Row],[Stock Actual]]*STOCK[[#This Row],[Costo total]]</f>
        <v>0</v>
      </c>
    </row>
    <row r="1267" s="53" customFormat="1" ht="50" customHeight="1" spans="1:28">
      <c r="A1267" s="53" t="s">
        <v>2619</v>
      </c>
      <c r="B1267" s="66"/>
      <c r="C1267" s="53" t="s">
        <v>32</v>
      </c>
      <c r="D1267" s="53" t="s">
        <v>2118</v>
      </c>
      <c r="E1267" s="67" t="s">
        <v>2620</v>
      </c>
      <c r="F1267" s="53" t="s">
        <v>49</v>
      </c>
      <c r="H1267" s="53">
        <f>STOCK[[#This Row],[Precio Final]]</f>
        <v>35</v>
      </c>
      <c r="I1267" s="53">
        <f>STOCK[[#This Row],[Precio Venta Ideal (x1.5)]]</f>
        <v>28.44</v>
      </c>
      <c r="J1267" s="71">
        <v>1</v>
      </c>
      <c r="K1267" s="71">
        <f>SUMIFS(VENTAS[Cantidad],VENTAS[Código del producto Vendido],STOCK[[#This Row],[Code]])</f>
        <v>1</v>
      </c>
      <c r="L1267" s="71">
        <f>STOCK[[#This Row],[Entradas]]-STOCK[[#This Row],[Salidas]]</f>
        <v>0</v>
      </c>
      <c r="M1267" s="53">
        <f>STOCK[[#This Row],[Precio Final]]*10%</f>
        <v>3.5</v>
      </c>
      <c r="N1267" s="53">
        <v>0</v>
      </c>
      <c r="O1267" s="53">
        <v>0</v>
      </c>
      <c r="P1267" s="53">
        <v>13.49</v>
      </c>
      <c r="Q1267" s="71">
        <v>0</v>
      </c>
      <c r="R1267" s="53">
        <v>0</v>
      </c>
      <c r="S1267" s="53">
        <v>1.97</v>
      </c>
      <c r="T1267" s="53">
        <f>STOCK[[#This Row],[Costo Unitario (USD)]]+STOCK[[#This Row],[Costo Envío (USD)]]+STOCK[[#This Row],[Comisión 10%]]</f>
        <v>18.96</v>
      </c>
      <c r="U1267" s="53">
        <f>STOCK[[#This Row],[Costo total]]*1.5</f>
        <v>28.44</v>
      </c>
      <c r="V1267" s="53">
        <v>35</v>
      </c>
      <c r="W1267" s="53">
        <f>STOCK[[#This Row],[Precio Final]]-STOCK[[#This Row],[Costo total]]</f>
        <v>16.04</v>
      </c>
      <c r="X1267" s="53">
        <f>STOCK[[#This Row],[Ganancia Unitaria]]*STOCK[[#This Row],[Salidas]]</f>
        <v>16.04</v>
      </c>
      <c r="AA1267" s="54">
        <f>STOCK[[#This Row],[Costo total]]*STOCK[[#This Row],[Entradas]]</f>
        <v>18.96</v>
      </c>
      <c r="AB1267" s="54">
        <f>STOCK[[#This Row],[Stock Actual]]*STOCK[[#This Row],[Costo total]]</f>
        <v>0</v>
      </c>
    </row>
    <row r="1268" s="54" customFormat="1" ht="50" customHeight="1" spans="1:28">
      <c r="A1268" s="54" t="s">
        <v>2621</v>
      </c>
      <c r="B1268" s="66"/>
      <c r="C1268" s="54" t="s">
        <v>32</v>
      </c>
      <c r="D1268" s="54" t="s">
        <v>2622</v>
      </c>
      <c r="E1268" s="68" t="s">
        <v>2623</v>
      </c>
      <c r="F1268" s="54" t="s">
        <v>42</v>
      </c>
      <c r="H1268" s="54">
        <f>STOCK[[#This Row],[Precio Final]]</f>
        <v>28</v>
      </c>
      <c r="I1268" s="54">
        <f>STOCK[[#This Row],[Precio Venta Ideal (x1.5)]]</f>
        <v>25.14</v>
      </c>
      <c r="J1268" s="72">
        <v>1</v>
      </c>
      <c r="K1268" s="72">
        <f>SUMIFS(VENTAS[Cantidad],VENTAS[Código del producto Vendido],STOCK[[#This Row],[Code]])</f>
        <v>0</v>
      </c>
      <c r="L1268" s="72">
        <f>STOCK[[#This Row],[Entradas]]-STOCK[[#This Row],[Salidas]]</f>
        <v>1</v>
      </c>
      <c r="M1268" s="54">
        <f>STOCK[[#This Row],[Precio Final]]*10%</f>
        <v>2.8</v>
      </c>
      <c r="N1268" s="54">
        <v>0</v>
      </c>
      <c r="O1268" s="54">
        <v>0</v>
      </c>
      <c r="P1268" s="54">
        <v>11.99</v>
      </c>
      <c r="Q1268" s="72">
        <v>0</v>
      </c>
      <c r="R1268" s="54">
        <v>0</v>
      </c>
      <c r="S1268" s="54">
        <v>1.97</v>
      </c>
      <c r="T1268" s="53">
        <f>STOCK[[#This Row],[Costo Unitario (USD)]]+STOCK[[#This Row],[Costo Envío (USD)]]+STOCK[[#This Row],[Comisión 10%]]</f>
        <v>16.76</v>
      </c>
      <c r="U1268" s="54">
        <f>STOCK[[#This Row],[Costo total]]*1.5</f>
        <v>25.14</v>
      </c>
      <c r="V1268" s="54">
        <v>28</v>
      </c>
      <c r="W1268" s="54">
        <f>STOCK[[#This Row],[Precio Final]]-STOCK[[#This Row],[Costo total]]</f>
        <v>11.24</v>
      </c>
      <c r="X1268" s="54">
        <f>STOCK[[#This Row],[Ganancia Unitaria]]*STOCK[[#This Row],[Salidas]]</f>
        <v>0</v>
      </c>
      <c r="AA1268" s="54">
        <f>STOCK[[#This Row],[Costo total]]*STOCK[[#This Row],[Entradas]]</f>
        <v>16.76</v>
      </c>
      <c r="AB1268" s="54">
        <f>STOCK[[#This Row],[Stock Actual]]*STOCK[[#This Row],[Costo total]]</f>
        <v>16.76</v>
      </c>
    </row>
    <row r="1269" s="53" customFormat="1" ht="50" customHeight="1" spans="1:28">
      <c r="A1269" s="53" t="s">
        <v>2624</v>
      </c>
      <c r="B1269" s="66"/>
      <c r="C1269" s="53" t="s">
        <v>32</v>
      </c>
      <c r="D1269" s="53" t="s">
        <v>2625</v>
      </c>
      <c r="E1269" s="67" t="s">
        <v>2623</v>
      </c>
      <c r="F1269" s="53" t="s">
        <v>49</v>
      </c>
      <c r="H1269" s="53">
        <f>STOCK[[#This Row],[Precio Final]]</f>
        <v>28</v>
      </c>
      <c r="I1269" s="53">
        <f>STOCK[[#This Row],[Precio Venta Ideal (x1.5)]]</f>
        <v>25.14</v>
      </c>
      <c r="J1269" s="71">
        <v>1</v>
      </c>
      <c r="K1269" s="71">
        <f>SUMIFS(VENTAS[Cantidad],VENTAS[Código del producto Vendido],STOCK[[#This Row],[Code]])</f>
        <v>0</v>
      </c>
      <c r="L1269" s="71">
        <f>STOCK[[#This Row],[Entradas]]-STOCK[[#This Row],[Salidas]]</f>
        <v>1</v>
      </c>
      <c r="M1269" s="53">
        <f>STOCK[[#This Row],[Precio Final]]*10%</f>
        <v>2.8</v>
      </c>
      <c r="N1269" s="53">
        <v>0</v>
      </c>
      <c r="O1269" s="53">
        <v>0</v>
      </c>
      <c r="P1269" s="53">
        <v>11.99</v>
      </c>
      <c r="Q1269" s="71">
        <v>0</v>
      </c>
      <c r="R1269" s="53">
        <v>0</v>
      </c>
      <c r="S1269" s="53">
        <v>1.97</v>
      </c>
      <c r="T1269" s="53">
        <f>STOCK[[#This Row],[Costo Unitario (USD)]]+STOCK[[#This Row],[Costo Envío (USD)]]+STOCK[[#This Row],[Comisión 10%]]</f>
        <v>16.76</v>
      </c>
      <c r="U1269" s="53">
        <f>STOCK[[#This Row],[Costo total]]*1.5</f>
        <v>25.14</v>
      </c>
      <c r="V1269" s="53">
        <v>28</v>
      </c>
      <c r="W1269" s="53">
        <f>STOCK[[#This Row],[Precio Final]]-STOCK[[#This Row],[Costo total]]</f>
        <v>11.24</v>
      </c>
      <c r="X1269" s="53">
        <f>STOCK[[#This Row],[Ganancia Unitaria]]*STOCK[[#This Row],[Salidas]]</f>
        <v>0</v>
      </c>
      <c r="AA1269" s="54">
        <f>STOCK[[#This Row],[Costo total]]*STOCK[[#This Row],[Entradas]]</f>
        <v>16.76</v>
      </c>
      <c r="AB1269" s="54">
        <f>STOCK[[#This Row],[Stock Actual]]*STOCK[[#This Row],[Costo total]]</f>
        <v>16.76</v>
      </c>
    </row>
    <row r="1270" s="54" customFormat="1" ht="50" customHeight="1" spans="1:28">
      <c r="A1270" s="54" t="s">
        <v>2626</v>
      </c>
      <c r="B1270" s="66"/>
      <c r="C1270" s="54" t="s">
        <v>32</v>
      </c>
      <c r="D1270" s="54" t="s">
        <v>2622</v>
      </c>
      <c r="E1270" s="68" t="s">
        <v>2627</v>
      </c>
      <c r="F1270" s="54" t="s">
        <v>40</v>
      </c>
      <c r="H1270" s="54">
        <f>STOCK[[#This Row],[Precio Final]]</f>
        <v>28</v>
      </c>
      <c r="I1270" s="54">
        <f>STOCK[[#This Row],[Precio Venta Ideal (x1.5)]]</f>
        <v>25.14</v>
      </c>
      <c r="J1270" s="72">
        <v>1</v>
      </c>
      <c r="K1270" s="72">
        <f>SUMIFS(VENTAS[Cantidad],VENTAS[Código del producto Vendido],STOCK[[#This Row],[Code]])</f>
        <v>0</v>
      </c>
      <c r="L1270" s="72">
        <f>STOCK[[#This Row],[Entradas]]-STOCK[[#This Row],[Salidas]]</f>
        <v>1</v>
      </c>
      <c r="M1270" s="54">
        <f>STOCK[[#This Row],[Precio Final]]*10%</f>
        <v>2.8</v>
      </c>
      <c r="N1270" s="54">
        <v>0</v>
      </c>
      <c r="O1270" s="54">
        <v>0</v>
      </c>
      <c r="P1270" s="54">
        <v>11.99</v>
      </c>
      <c r="Q1270" s="72">
        <v>0</v>
      </c>
      <c r="R1270" s="54">
        <v>0</v>
      </c>
      <c r="S1270" s="54">
        <v>1.97</v>
      </c>
      <c r="T1270" s="53">
        <f>STOCK[[#This Row],[Costo Unitario (USD)]]+STOCK[[#This Row],[Costo Envío (USD)]]+STOCK[[#This Row],[Comisión 10%]]</f>
        <v>16.76</v>
      </c>
      <c r="U1270" s="54">
        <f>STOCK[[#This Row],[Costo total]]*1.5</f>
        <v>25.14</v>
      </c>
      <c r="V1270" s="54">
        <v>28</v>
      </c>
      <c r="W1270" s="54">
        <f>STOCK[[#This Row],[Precio Final]]-STOCK[[#This Row],[Costo total]]</f>
        <v>11.24</v>
      </c>
      <c r="X1270" s="54">
        <f>STOCK[[#This Row],[Ganancia Unitaria]]*STOCK[[#This Row],[Salidas]]</f>
        <v>0</v>
      </c>
      <c r="AA1270" s="54">
        <f>STOCK[[#This Row],[Costo total]]*STOCK[[#This Row],[Entradas]]</f>
        <v>16.76</v>
      </c>
      <c r="AB1270" s="54">
        <f>STOCK[[#This Row],[Stock Actual]]*STOCK[[#This Row],[Costo total]]</f>
        <v>16.76</v>
      </c>
    </row>
    <row r="1271" s="53" customFormat="1" ht="50" customHeight="1" spans="1:28">
      <c r="A1271" s="53" t="s">
        <v>2628</v>
      </c>
      <c r="B1271" s="66"/>
      <c r="C1271" s="53" t="s">
        <v>32</v>
      </c>
      <c r="D1271" s="53" t="s">
        <v>2629</v>
      </c>
      <c r="E1271" s="67" t="s">
        <v>2627</v>
      </c>
      <c r="F1271" s="53" t="s">
        <v>49</v>
      </c>
      <c r="H1271" s="53">
        <f>STOCK[[#This Row],[Precio Final]]</f>
        <v>28</v>
      </c>
      <c r="I1271" s="53">
        <f>STOCK[[#This Row],[Precio Venta Ideal (x1.5)]]</f>
        <v>25.14</v>
      </c>
      <c r="J1271" s="71">
        <v>1</v>
      </c>
      <c r="K1271" s="71">
        <f>SUMIFS(VENTAS[Cantidad],VENTAS[Código del producto Vendido],STOCK[[#This Row],[Code]])</f>
        <v>1</v>
      </c>
      <c r="L1271" s="71">
        <f>STOCK[[#This Row],[Entradas]]-STOCK[[#This Row],[Salidas]]</f>
        <v>0</v>
      </c>
      <c r="M1271" s="53">
        <f>STOCK[[#This Row],[Precio Final]]*10%</f>
        <v>2.8</v>
      </c>
      <c r="N1271" s="53">
        <v>0</v>
      </c>
      <c r="O1271" s="53">
        <v>0</v>
      </c>
      <c r="P1271" s="53">
        <v>11.99</v>
      </c>
      <c r="Q1271" s="71">
        <v>0</v>
      </c>
      <c r="R1271" s="53">
        <v>0</v>
      </c>
      <c r="S1271" s="53">
        <v>1.97</v>
      </c>
      <c r="T1271" s="53">
        <f>STOCK[[#This Row],[Costo Unitario (USD)]]+STOCK[[#This Row],[Costo Envío (USD)]]+STOCK[[#This Row],[Comisión 10%]]</f>
        <v>16.76</v>
      </c>
      <c r="U1271" s="53">
        <f>STOCK[[#This Row],[Costo total]]*1.5</f>
        <v>25.14</v>
      </c>
      <c r="V1271" s="53">
        <v>28</v>
      </c>
      <c r="W1271" s="53">
        <f>STOCK[[#This Row],[Precio Final]]-STOCK[[#This Row],[Costo total]]</f>
        <v>11.24</v>
      </c>
      <c r="X1271" s="53">
        <f>STOCK[[#This Row],[Ganancia Unitaria]]*STOCK[[#This Row],[Salidas]]</f>
        <v>11.24</v>
      </c>
      <c r="AA1271" s="54">
        <f>STOCK[[#This Row],[Costo total]]*STOCK[[#This Row],[Entradas]]</f>
        <v>16.76</v>
      </c>
      <c r="AB1271" s="54">
        <f>STOCK[[#This Row],[Stock Actual]]*STOCK[[#This Row],[Costo total]]</f>
        <v>0</v>
      </c>
    </row>
    <row r="1272" s="54" customFormat="1" ht="50" customHeight="1" spans="1:28">
      <c r="A1272" s="54" t="s">
        <v>2630</v>
      </c>
      <c r="B1272" s="66"/>
      <c r="C1272" s="54" t="s">
        <v>32</v>
      </c>
      <c r="D1272" s="54" t="s">
        <v>2631</v>
      </c>
      <c r="E1272" s="68" t="s">
        <v>2632</v>
      </c>
      <c r="F1272" s="54" t="s">
        <v>40</v>
      </c>
      <c r="H1272" s="54">
        <f>STOCK[[#This Row],[Precio Final]]</f>
        <v>30</v>
      </c>
      <c r="I1272" s="54">
        <f>STOCK[[#This Row],[Precio Venta Ideal (x1.5)]]</f>
        <v>23.94</v>
      </c>
      <c r="J1272" s="72">
        <v>1</v>
      </c>
      <c r="K1272" s="72">
        <f>SUMIFS(VENTAS[Cantidad],VENTAS[Código del producto Vendido],STOCK[[#This Row],[Code]])</f>
        <v>1</v>
      </c>
      <c r="L1272" s="72">
        <f>STOCK[[#This Row],[Entradas]]-STOCK[[#This Row],[Salidas]]</f>
        <v>0</v>
      </c>
      <c r="M1272" s="54">
        <f>STOCK[[#This Row],[Precio Final]]*10%</f>
        <v>3</v>
      </c>
      <c r="N1272" s="54">
        <v>0</v>
      </c>
      <c r="O1272" s="54">
        <v>0</v>
      </c>
      <c r="P1272" s="54">
        <v>10.99</v>
      </c>
      <c r="Q1272" s="72">
        <v>0</v>
      </c>
      <c r="R1272" s="54">
        <v>0</v>
      </c>
      <c r="S1272" s="54">
        <v>1.97</v>
      </c>
      <c r="T1272" s="53">
        <f>STOCK[[#This Row],[Costo Unitario (USD)]]+STOCK[[#This Row],[Costo Envío (USD)]]+STOCK[[#This Row],[Comisión 10%]]</f>
        <v>15.96</v>
      </c>
      <c r="U1272" s="54">
        <f>STOCK[[#This Row],[Costo total]]*1.5</f>
        <v>23.94</v>
      </c>
      <c r="V1272" s="54">
        <v>30</v>
      </c>
      <c r="W1272" s="54">
        <f>STOCK[[#This Row],[Precio Final]]-STOCK[[#This Row],[Costo total]]</f>
        <v>14.04</v>
      </c>
      <c r="X1272" s="54">
        <f>STOCK[[#This Row],[Ganancia Unitaria]]*STOCK[[#This Row],[Salidas]]</f>
        <v>14.04</v>
      </c>
      <c r="AA1272" s="54">
        <f>STOCK[[#This Row],[Costo total]]*STOCK[[#This Row],[Entradas]]</f>
        <v>15.96</v>
      </c>
      <c r="AB1272" s="54">
        <f>STOCK[[#This Row],[Stock Actual]]*STOCK[[#This Row],[Costo total]]</f>
        <v>0</v>
      </c>
    </row>
    <row r="1273" s="53" customFormat="1" ht="50" customHeight="1" spans="1:28">
      <c r="A1273" s="53" t="s">
        <v>2633</v>
      </c>
      <c r="B1273" s="66"/>
      <c r="C1273" s="53" t="s">
        <v>32</v>
      </c>
      <c r="D1273" s="53" t="s">
        <v>1212</v>
      </c>
      <c r="E1273" s="67" t="s">
        <v>2634</v>
      </c>
      <c r="F1273" s="53" t="s">
        <v>62</v>
      </c>
      <c r="H1273" s="53">
        <f>STOCK[[#This Row],[Precio Final]]</f>
        <v>35</v>
      </c>
      <c r="I1273" s="53">
        <f>STOCK[[#This Row],[Precio Venta Ideal (x1.5)]]</f>
        <v>36.69</v>
      </c>
      <c r="J1273" s="71">
        <v>1</v>
      </c>
      <c r="K1273" s="71">
        <f>SUMIFS(VENTAS[Cantidad],VENTAS[Código del producto Vendido],STOCK[[#This Row],[Code]])</f>
        <v>1</v>
      </c>
      <c r="L1273" s="71">
        <f>STOCK[[#This Row],[Entradas]]-STOCK[[#This Row],[Salidas]]</f>
        <v>0</v>
      </c>
      <c r="M1273" s="53">
        <f>STOCK[[#This Row],[Precio Final]]*10%</f>
        <v>3.5</v>
      </c>
      <c r="N1273" s="53">
        <v>0</v>
      </c>
      <c r="O1273" s="53">
        <v>0</v>
      </c>
      <c r="P1273" s="53">
        <v>18.99</v>
      </c>
      <c r="Q1273" s="71">
        <v>0</v>
      </c>
      <c r="R1273" s="53">
        <v>0</v>
      </c>
      <c r="S1273" s="53">
        <v>1.97</v>
      </c>
      <c r="T1273" s="53">
        <f>STOCK[[#This Row],[Costo Unitario (USD)]]+STOCK[[#This Row],[Costo Envío (USD)]]+STOCK[[#This Row],[Comisión 10%]]</f>
        <v>24.46</v>
      </c>
      <c r="U1273" s="53">
        <f>STOCK[[#This Row],[Costo total]]*1.5</f>
        <v>36.69</v>
      </c>
      <c r="V1273" s="53">
        <v>35</v>
      </c>
      <c r="W1273" s="53">
        <f>STOCK[[#This Row],[Precio Final]]-STOCK[[#This Row],[Costo total]]</f>
        <v>10.54</v>
      </c>
      <c r="X1273" s="53">
        <f>STOCK[[#This Row],[Ganancia Unitaria]]*STOCK[[#This Row],[Salidas]]</f>
        <v>10.54</v>
      </c>
      <c r="AA1273" s="54">
        <f>STOCK[[#This Row],[Costo total]]*STOCK[[#This Row],[Entradas]]</f>
        <v>24.46</v>
      </c>
      <c r="AB1273" s="54">
        <f>STOCK[[#This Row],[Stock Actual]]*STOCK[[#This Row],[Costo total]]</f>
        <v>0</v>
      </c>
    </row>
    <row r="1274" s="54" customFormat="1" ht="50" customHeight="1" spans="1:28">
      <c r="A1274" s="54" t="s">
        <v>2635</v>
      </c>
      <c r="B1274" s="66"/>
      <c r="C1274" s="54" t="s">
        <v>32</v>
      </c>
      <c r="D1274" s="54" t="s">
        <v>2631</v>
      </c>
      <c r="E1274" s="68" t="s">
        <v>2636</v>
      </c>
      <c r="F1274" s="54" t="s">
        <v>2637</v>
      </c>
      <c r="H1274" s="54">
        <f>STOCK[[#This Row],[Precio Final]]</f>
        <v>35</v>
      </c>
      <c r="I1274" s="54">
        <f>STOCK[[#This Row],[Precio Venta Ideal (x1.5)]]</f>
        <v>27.705</v>
      </c>
      <c r="J1274" s="72">
        <v>1</v>
      </c>
      <c r="K1274" s="72">
        <f>SUMIFS(VENTAS[Cantidad],VENTAS[Código del producto Vendido],STOCK[[#This Row],[Code]])</f>
        <v>0</v>
      </c>
      <c r="L1274" s="72">
        <f>STOCK[[#This Row],[Entradas]]-STOCK[[#This Row],[Salidas]]</f>
        <v>1</v>
      </c>
      <c r="M1274" s="54">
        <f>STOCK[[#This Row],[Precio Final]]*10%</f>
        <v>3.5</v>
      </c>
      <c r="N1274" s="54">
        <v>0</v>
      </c>
      <c r="O1274" s="54">
        <v>0</v>
      </c>
      <c r="P1274" s="54">
        <v>13</v>
      </c>
      <c r="Q1274" s="72">
        <v>0</v>
      </c>
      <c r="R1274" s="54">
        <v>0</v>
      </c>
      <c r="S1274" s="54">
        <v>1.97</v>
      </c>
      <c r="T1274" s="53">
        <f>STOCK[[#This Row],[Costo Unitario (USD)]]+STOCK[[#This Row],[Costo Envío (USD)]]+STOCK[[#This Row],[Comisión 10%]]</f>
        <v>18.47</v>
      </c>
      <c r="U1274" s="54">
        <f>STOCK[[#This Row],[Costo total]]*1.5</f>
        <v>27.705</v>
      </c>
      <c r="V1274" s="54">
        <v>35</v>
      </c>
      <c r="W1274" s="54">
        <f>STOCK[[#This Row],[Precio Final]]-STOCK[[#This Row],[Costo total]]</f>
        <v>16.53</v>
      </c>
      <c r="X1274" s="54">
        <f>STOCK[[#This Row],[Ganancia Unitaria]]*STOCK[[#This Row],[Salidas]]</f>
        <v>0</v>
      </c>
      <c r="AA1274" s="54">
        <f>STOCK[[#This Row],[Costo total]]*STOCK[[#This Row],[Entradas]]</f>
        <v>18.47</v>
      </c>
      <c r="AB1274" s="54">
        <f>STOCK[[#This Row],[Stock Actual]]*STOCK[[#This Row],[Costo total]]</f>
        <v>18.47</v>
      </c>
    </row>
    <row r="1275" s="53" customFormat="1" ht="50" customHeight="1" spans="1:28">
      <c r="A1275" s="53" t="s">
        <v>2638</v>
      </c>
      <c r="B1275" s="66"/>
      <c r="C1275" s="53" t="s">
        <v>32</v>
      </c>
      <c r="D1275" s="53" t="s">
        <v>2639</v>
      </c>
      <c r="E1275" s="67" t="s">
        <v>2640</v>
      </c>
      <c r="F1275" s="53" t="s">
        <v>40</v>
      </c>
      <c r="H1275" s="53">
        <f>STOCK[[#This Row],[Precio Final]]</f>
        <v>20</v>
      </c>
      <c r="I1275" s="53">
        <f>STOCK[[#This Row],[Precio Venta Ideal (x1.5)]]</f>
        <v>19.44</v>
      </c>
      <c r="J1275" s="71">
        <v>2</v>
      </c>
      <c r="K1275" s="71">
        <f>SUMIFS(VENTAS[Cantidad],VENTAS[Código del producto Vendido],STOCK[[#This Row],[Code]])</f>
        <v>0</v>
      </c>
      <c r="L1275" s="71">
        <f>STOCK[[#This Row],[Entradas]]-STOCK[[#This Row],[Salidas]]</f>
        <v>2</v>
      </c>
      <c r="M1275" s="53">
        <f>STOCK[[#This Row],[Precio Final]]*10%</f>
        <v>2</v>
      </c>
      <c r="N1275" s="53">
        <v>0</v>
      </c>
      <c r="O1275" s="53">
        <v>0</v>
      </c>
      <c r="P1275" s="53">
        <v>8.99</v>
      </c>
      <c r="Q1275" s="71">
        <v>0</v>
      </c>
      <c r="R1275" s="53">
        <v>0</v>
      </c>
      <c r="S1275" s="53">
        <v>1.97</v>
      </c>
      <c r="T1275" s="53">
        <f>STOCK[[#This Row],[Costo Unitario (USD)]]+STOCK[[#This Row],[Costo Envío (USD)]]+STOCK[[#This Row],[Comisión 10%]]</f>
        <v>12.96</v>
      </c>
      <c r="U1275" s="53">
        <f>STOCK[[#This Row],[Costo total]]*1.5</f>
        <v>19.44</v>
      </c>
      <c r="V1275" s="53">
        <v>20</v>
      </c>
      <c r="W1275" s="53">
        <f>STOCK[[#This Row],[Precio Final]]-STOCK[[#This Row],[Costo total]]</f>
        <v>7.04</v>
      </c>
      <c r="X1275" s="53">
        <f>STOCK[[#This Row],[Ganancia Unitaria]]*STOCK[[#This Row],[Salidas]]</f>
        <v>0</v>
      </c>
      <c r="AA1275" s="54">
        <f>STOCK[[#This Row],[Costo total]]*STOCK[[#This Row],[Entradas]]</f>
        <v>25.92</v>
      </c>
      <c r="AB1275" s="54">
        <f>STOCK[[#This Row],[Stock Actual]]*STOCK[[#This Row],[Costo total]]</f>
        <v>25.92</v>
      </c>
    </row>
    <row r="1276" s="54" customFormat="1" ht="50" customHeight="1" spans="1:28">
      <c r="A1276" s="54" t="s">
        <v>2641</v>
      </c>
      <c r="B1276" s="66"/>
      <c r="C1276" s="54" t="s">
        <v>32</v>
      </c>
      <c r="D1276" s="54" t="s">
        <v>2639</v>
      </c>
      <c r="E1276" s="68" t="s">
        <v>2640</v>
      </c>
      <c r="F1276" s="54" t="s">
        <v>62</v>
      </c>
      <c r="H1276" s="54">
        <f>STOCK[[#This Row],[Precio Final]]</f>
        <v>20</v>
      </c>
      <c r="I1276" s="54">
        <f>STOCK[[#This Row],[Precio Venta Ideal (x1.5)]]</f>
        <v>19.44</v>
      </c>
      <c r="J1276" s="72">
        <v>2</v>
      </c>
      <c r="K1276" s="72">
        <f>SUMIFS(VENTAS[Cantidad],VENTAS[Código del producto Vendido],STOCK[[#This Row],[Code]])</f>
        <v>1</v>
      </c>
      <c r="L1276" s="72">
        <f>STOCK[[#This Row],[Entradas]]-STOCK[[#This Row],[Salidas]]</f>
        <v>1</v>
      </c>
      <c r="M1276" s="54">
        <f>STOCK[[#This Row],[Precio Final]]*10%</f>
        <v>2</v>
      </c>
      <c r="N1276" s="54">
        <v>0</v>
      </c>
      <c r="O1276" s="54">
        <v>0</v>
      </c>
      <c r="P1276" s="54">
        <v>8.99</v>
      </c>
      <c r="Q1276" s="72">
        <v>0</v>
      </c>
      <c r="R1276" s="54">
        <v>0</v>
      </c>
      <c r="S1276" s="54">
        <v>1.97</v>
      </c>
      <c r="T1276" s="53">
        <f>STOCK[[#This Row],[Costo Unitario (USD)]]+STOCK[[#This Row],[Costo Envío (USD)]]+STOCK[[#This Row],[Comisión 10%]]</f>
        <v>12.96</v>
      </c>
      <c r="U1276" s="54">
        <f>STOCK[[#This Row],[Costo total]]*1.5</f>
        <v>19.44</v>
      </c>
      <c r="V1276" s="54">
        <v>20</v>
      </c>
      <c r="W1276" s="54">
        <f>STOCK[[#This Row],[Precio Final]]-STOCK[[#This Row],[Costo total]]</f>
        <v>7.04</v>
      </c>
      <c r="X1276" s="54">
        <f>STOCK[[#This Row],[Ganancia Unitaria]]*STOCK[[#This Row],[Salidas]]</f>
        <v>7.04</v>
      </c>
      <c r="AA1276" s="54">
        <f>STOCK[[#This Row],[Costo total]]*STOCK[[#This Row],[Entradas]]</f>
        <v>25.92</v>
      </c>
      <c r="AB1276" s="54">
        <f>STOCK[[#This Row],[Stock Actual]]*STOCK[[#This Row],[Costo total]]</f>
        <v>12.96</v>
      </c>
    </row>
    <row r="1277" s="53" customFormat="1" ht="50" customHeight="1" spans="1:28">
      <c r="A1277" s="53" t="s">
        <v>2642</v>
      </c>
      <c r="B1277" s="66"/>
      <c r="C1277" s="53" t="s">
        <v>32</v>
      </c>
      <c r="D1277" s="53" t="s">
        <v>1190</v>
      </c>
      <c r="E1277" s="67" t="s">
        <v>2640</v>
      </c>
      <c r="F1277" s="53" t="s">
        <v>49</v>
      </c>
      <c r="H1277" s="53">
        <f>STOCK[[#This Row],[Precio Final]]</f>
        <v>20</v>
      </c>
      <c r="I1277" s="53">
        <f>STOCK[[#This Row],[Precio Venta Ideal (x1.5)]]</f>
        <v>19.44</v>
      </c>
      <c r="J1277" s="71">
        <v>1</v>
      </c>
      <c r="K1277" s="71">
        <f>SUMIFS(VENTAS[Cantidad],VENTAS[Código del producto Vendido],STOCK[[#This Row],[Code]])</f>
        <v>1</v>
      </c>
      <c r="L1277" s="71">
        <f>STOCK[[#This Row],[Entradas]]-STOCK[[#This Row],[Salidas]]</f>
        <v>0</v>
      </c>
      <c r="M1277" s="53">
        <f>STOCK[[#This Row],[Precio Final]]*10%</f>
        <v>2</v>
      </c>
      <c r="N1277" s="53">
        <v>0</v>
      </c>
      <c r="O1277" s="53">
        <v>0</v>
      </c>
      <c r="P1277" s="53">
        <v>8.99</v>
      </c>
      <c r="Q1277" s="71">
        <v>0</v>
      </c>
      <c r="R1277" s="53">
        <v>0</v>
      </c>
      <c r="S1277" s="53">
        <v>1.97</v>
      </c>
      <c r="T1277" s="53">
        <f>STOCK[[#This Row],[Costo Unitario (USD)]]+STOCK[[#This Row],[Costo Envío (USD)]]+STOCK[[#This Row],[Comisión 10%]]</f>
        <v>12.96</v>
      </c>
      <c r="U1277" s="53">
        <f>STOCK[[#This Row],[Costo total]]*1.5</f>
        <v>19.44</v>
      </c>
      <c r="V1277" s="53">
        <v>20</v>
      </c>
      <c r="W1277" s="53">
        <f>STOCK[[#This Row],[Precio Final]]-STOCK[[#This Row],[Costo total]]</f>
        <v>7.04</v>
      </c>
      <c r="X1277" s="53">
        <f>STOCK[[#This Row],[Ganancia Unitaria]]*STOCK[[#This Row],[Salidas]]</f>
        <v>7.04</v>
      </c>
      <c r="AA1277" s="54">
        <f>STOCK[[#This Row],[Costo total]]*STOCK[[#This Row],[Entradas]]</f>
        <v>12.96</v>
      </c>
      <c r="AB1277" s="54">
        <f>STOCK[[#This Row],[Stock Actual]]*STOCK[[#This Row],[Costo total]]</f>
        <v>0</v>
      </c>
    </row>
    <row r="1278" s="54" customFormat="1" ht="50" customHeight="1" spans="1:28">
      <c r="A1278" s="54" t="s">
        <v>2643</v>
      </c>
      <c r="B1278" s="66"/>
      <c r="C1278" s="54" t="s">
        <v>32</v>
      </c>
      <c r="D1278" s="54" t="s">
        <v>2639</v>
      </c>
      <c r="E1278" s="68" t="s">
        <v>2644</v>
      </c>
      <c r="F1278" s="54" t="s">
        <v>40</v>
      </c>
      <c r="H1278" s="54">
        <f>STOCK[[#This Row],[Precio Final]]</f>
        <v>20</v>
      </c>
      <c r="I1278" s="54">
        <f>STOCK[[#This Row],[Precio Venta Ideal (x1.5)]]</f>
        <v>19.44</v>
      </c>
      <c r="J1278" s="72">
        <v>2</v>
      </c>
      <c r="K1278" s="72">
        <f>SUMIFS(VENTAS[Cantidad],VENTAS[Código del producto Vendido],STOCK[[#This Row],[Code]])</f>
        <v>1</v>
      </c>
      <c r="L1278" s="72">
        <f>STOCK[[#This Row],[Entradas]]-STOCK[[#This Row],[Salidas]]</f>
        <v>1</v>
      </c>
      <c r="M1278" s="54">
        <f>STOCK[[#This Row],[Precio Final]]*10%</f>
        <v>2</v>
      </c>
      <c r="N1278" s="54">
        <v>0</v>
      </c>
      <c r="O1278" s="54">
        <v>0</v>
      </c>
      <c r="P1278" s="54">
        <v>8.99</v>
      </c>
      <c r="Q1278" s="72">
        <v>0</v>
      </c>
      <c r="R1278" s="54">
        <v>0</v>
      </c>
      <c r="S1278" s="54">
        <v>1.97</v>
      </c>
      <c r="T1278" s="53">
        <f>STOCK[[#This Row],[Costo Unitario (USD)]]+STOCK[[#This Row],[Costo Envío (USD)]]+STOCK[[#This Row],[Comisión 10%]]</f>
        <v>12.96</v>
      </c>
      <c r="U1278" s="54">
        <f>STOCK[[#This Row],[Costo total]]*1.5</f>
        <v>19.44</v>
      </c>
      <c r="V1278" s="54">
        <v>20</v>
      </c>
      <c r="W1278" s="54">
        <f>STOCK[[#This Row],[Precio Final]]-STOCK[[#This Row],[Costo total]]</f>
        <v>7.04</v>
      </c>
      <c r="X1278" s="54">
        <f>STOCK[[#This Row],[Ganancia Unitaria]]*STOCK[[#This Row],[Salidas]]</f>
        <v>7.04</v>
      </c>
      <c r="AA1278" s="54">
        <f>STOCK[[#This Row],[Costo total]]*STOCK[[#This Row],[Entradas]]</f>
        <v>25.92</v>
      </c>
      <c r="AB1278" s="54">
        <f>STOCK[[#This Row],[Stock Actual]]*STOCK[[#This Row],[Costo total]]</f>
        <v>12.96</v>
      </c>
    </row>
    <row r="1279" s="53" customFormat="1" ht="50" customHeight="1" spans="1:28">
      <c r="A1279" s="53" t="s">
        <v>2645</v>
      </c>
      <c r="B1279" s="66"/>
      <c r="C1279" s="53" t="s">
        <v>32</v>
      </c>
      <c r="D1279" s="53" t="s">
        <v>1190</v>
      </c>
      <c r="E1279" s="67" t="s">
        <v>2644</v>
      </c>
      <c r="F1279" s="53" t="s">
        <v>49</v>
      </c>
      <c r="H1279" s="53">
        <f>STOCK[[#This Row],[Precio Final]]</f>
        <v>20</v>
      </c>
      <c r="I1279" s="53">
        <f>STOCK[[#This Row],[Precio Venta Ideal (x1.5)]]</f>
        <v>19.44</v>
      </c>
      <c r="J1279" s="71">
        <v>2</v>
      </c>
      <c r="K1279" s="71">
        <f>SUMIFS(VENTAS[Cantidad],VENTAS[Código del producto Vendido],STOCK[[#This Row],[Code]])</f>
        <v>2</v>
      </c>
      <c r="L1279" s="71">
        <f>STOCK[[#This Row],[Entradas]]-STOCK[[#This Row],[Salidas]]</f>
        <v>0</v>
      </c>
      <c r="M1279" s="53">
        <f>STOCK[[#This Row],[Precio Final]]*10%</f>
        <v>2</v>
      </c>
      <c r="N1279" s="53">
        <v>0</v>
      </c>
      <c r="O1279" s="53">
        <v>0</v>
      </c>
      <c r="P1279" s="53">
        <v>8.99</v>
      </c>
      <c r="Q1279" s="71">
        <v>0</v>
      </c>
      <c r="R1279" s="53">
        <v>0</v>
      </c>
      <c r="S1279" s="53">
        <v>1.97</v>
      </c>
      <c r="T1279" s="53">
        <f>STOCK[[#This Row],[Costo Unitario (USD)]]+STOCK[[#This Row],[Costo Envío (USD)]]+STOCK[[#This Row],[Comisión 10%]]</f>
        <v>12.96</v>
      </c>
      <c r="U1279" s="53">
        <f>STOCK[[#This Row],[Costo total]]*1.5</f>
        <v>19.44</v>
      </c>
      <c r="V1279" s="53">
        <v>20</v>
      </c>
      <c r="W1279" s="53">
        <f>STOCK[[#This Row],[Precio Final]]-STOCK[[#This Row],[Costo total]]</f>
        <v>7.04</v>
      </c>
      <c r="X1279" s="53">
        <f>STOCK[[#This Row],[Ganancia Unitaria]]*STOCK[[#This Row],[Salidas]]</f>
        <v>14.08</v>
      </c>
      <c r="AA1279" s="54">
        <f>STOCK[[#This Row],[Costo total]]*STOCK[[#This Row],[Entradas]]</f>
        <v>25.92</v>
      </c>
      <c r="AB1279" s="54">
        <f>STOCK[[#This Row],[Stock Actual]]*STOCK[[#This Row],[Costo total]]</f>
        <v>0</v>
      </c>
    </row>
    <row r="1280" s="54" customFormat="1" ht="50" customHeight="1" spans="1:28">
      <c r="A1280" s="54" t="s">
        <v>2646</v>
      </c>
      <c r="B1280" s="66"/>
      <c r="C1280" s="54" t="s">
        <v>32</v>
      </c>
      <c r="D1280" s="54" t="s">
        <v>1190</v>
      </c>
      <c r="E1280" s="68" t="s">
        <v>2647</v>
      </c>
      <c r="F1280" s="54" t="s">
        <v>40</v>
      </c>
      <c r="H1280" s="54">
        <f>STOCK[[#This Row],[Precio Final]]</f>
        <v>25</v>
      </c>
      <c r="I1280" s="54">
        <f>STOCK[[#This Row],[Precio Venta Ideal (x1.5)]]</f>
        <v>21.69</v>
      </c>
      <c r="J1280" s="72">
        <v>1</v>
      </c>
      <c r="K1280" s="72">
        <f>SUMIFS(VENTAS[Cantidad],VENTAS[Código del producto Vendido],STOCK[[#This Row],[Code]])</f>
        <v>1</v>
      </c>
      <c r="L1280" s="72">
        <f>STOCK[[#This Row],[Entradas]]-STOCK[[#This Row],[Salidas]]</f>
        <v>0</v>
      </c>
      <c r="M1280" s="54">
        <f>STOCK[[#This Row],[Precio Final]]*10%</f>
        <v>2.5</v>
      </c>
      <c r="N1280" s="54">
        <v>0</v>
      </c>
      <c r="O1280" s="54">
        <v>0</v>
      </c>
      <c r="P1280" s="54">
        <v>9.99</v>
      </c>
      <c r="Q1280" s="72">
        <v>0</v>
      </c>
      <c r="R1280" s="54">
        <v>0</v>
      </c>
      <c r="S1280" s="54">
        <v>1.97</v>
      </c>
      <c r="T1280" s="53">
        <f>STOCK[[#This Row],[Costo Unitario (USD)]]+STOCK[[#This Row],[Costo Envío (USD)]]+STOCK[[#This Row],[Comisión 10%]]</f>
        <v>14.46</v>
      </c>
      <c r="U1280" s="54">
        <f>STOCK[[#This Row],[Costo total]]*1.5</f>
        <v>21.69</v>
      </c>
      <c r="V1280" s="54">
        <v>25</v>
      </c>
      <c r="W1280" s="54">
        <f>STOCK[[#This Row],[Precio Final]]-STOCK[[#This Row],[Costo total]]</f>
        <v>10.54</v>
      </c>
      <c r="X1280" s="54">
        <f>STOCK[[#This Row],[Ganancia Unitaria]]*STOCK[[#This Row],[Salidas]]</f>
        <v>10.54</v>
      </c>
      <c r="AA1280" s="54">
        <f>STOCK[[#This Row],[Costo total]]*STOCK[[#This Row],[Entradas]]</f>
        <v>14.46</v>
      </c>
      <c r="AB1280" s="54">
        <f>STOCK[[#This Row],[Stock Actual]]*STOCK[[#This Row],[Costo total]]</f>
        <v>0</v>
      </c>
    </row>
    <row r="1281" s="53" customFormat="1" ht="50" customHeight="1" spans="1:28">
      <c r="A1281" s="53" t="s">
        <v>2648</v>
      </c>
      <c r="B1281" s="66"/>
      <c r="C1281" s="53" t="s">
        <v>32</v>
      </c>
      <c r="D1281" s="53" t="s">
        <v>1190</v>
      </c>
      <c r="E1281" s="67" t="s">
        <v>2649</v>
      </c>
      <c r="F1281" s="53" t="s">
        <v>40</v>
      </c>
      <c r="H1281" s="53">
        <f>STOCK[[#This Row],[Precio Final]]</f>
        <v>35</v>
      </c>
      <c r="I1281" s="53">
        <f>STOCK[[#This Row],[Precio Venta Ideal (x1.5)]]</f>
        <v>47.58</v>
      </c>
      <c r="J1281" s="71">
        <v>1</v>
      </c>
      <c r="K1281" s="71">
        <f>SUMIFS(VENTAS[Cantidad],VENTAS[Código del producto Vendido],STOCK[[#This Row],[Code]])</f>
        <v>1</v>
      </c>
      <c r="L1281" s="71">
        <f>STOCK[[#This Row],[Entradas]]-STOCK[[#This Row],[Salidas]]</f>
        <v>0</v>
      </c>
      <c r="M1281" s="53">
        <f>STOCK[[#This Row],[Precio Final]]*10%</f>
        <v>3.5</v>
      </c>
      <c r="N1281" s="53">
        <v>0</v>
      </c>
      <c r="O1281" s="53">
        <v>0</v>
      </c>
      <c r="P1281" s="53">
        <v>26.25</v>
      </c>
      <c r="Q1281" s="71">
        <v>0</v>
      </c>
      <c r="R1281" s="53">
        <v>0</v>
      </c>
      <c r="S1281" s="53">
        <v>1.97</v>
      </c>
      <c r="T1281" s="53">
        <f>STOCK[[#This Row],[Costo Unitario (USD)]]+STOCK[[#This Row],[Costo Envío (USD)]]+STOCK[[#This Row],[Comisión 10%]]</f>
        <v>31.72</v>
      </c>
      <c r="U1281" s="53">
        <f>STOCK[[#This Row],[Costo total]]*1.5</f>
        <v>47.58</v>
      </c>
      <c r="V1281" s="53">
        <v>35</v>
      </c>
      <c r="W1281" s="53">
        <f>STOCK[[#This Row],[Precio Final]]-STOCK[[#This Row],[Costo total]]</f>
        <v>3.28</v>
      </c>
      <c r="X1281" s="53">
        <f>STOCK[[#This Row],[Ganancia Unitaria]]*STOCK[[#This Row],[Salidas]]</f>
        <v>3.28</v>
      </c>
      <c r="AA1281" s="54">
        <f>STOCK[[#This Row],[Costo total]]*STOCK[[#This Row],[Entradas]]</f>
        <v>31.72</v>
      </c>
      <c r="AB1281" s="54">
        <f>STOCK[[#This Row],[Stock Actual]]*STOCK[[#This Row],[Costo total]]</f>
        <v>0</v>
      </c>
    </row>
    <row r="1282" s="54" customFormat="1" ht="50" customHeight="1" spans="1:28">
      <c r="A1282" s="54" t="s">
        <v>2650</v>
      </c>
      <c r="B1282" s="66"/>
      <c r="C1282" s="54" t="s">
        <v>32</v>
      </c>
      <c r="D1282" s="54" t="s">
        <v>2639</v>
      </c>
      <c r="E1282" s="68" t="s">
        <v>2651</v>
      </c>
      <c r="F1282" s="54" t="s">
        <v>49</v>
      </c>
      <c r="H1282" s="54">
        <f>STOCK[[#This Row],[Precio Final]]</f>
        <v>30</v>
      </c>
      <c r="I1282" s="54">
        <f>STOCK[[#This Row],[Precio Venta Ideal (x1.5)]]</f>
        <v>29.955</v>
      </c>
      <c r="J1282" s="72">
        <v>1</v>
      </c>
      <c r="K1282" s="72">
        <f>SUMIFS(VENTAS[Cantidad],VENTAS[Código del producto Vendido],STOCK[[#This Row],[Code]])</f>
        <v>0</v>
      </c>
      <c r="L1282" s="72">
        <f>STOCK[[#This Row],[Entradas]]-STOCK[[#This Row],[Salidas]]</f>
        <v>1</v>
      </c>
      <c r="M1282" s="54">
        <f>STOCK[[#This Row],[Precio Final]]*10%</f>
        <v>3</v>
      </c>
      <c r="N1282" s="54">
        <v>0</v>
      </c>
      <c r="O1282" s="54">
        <v>0</v>
      </c>
      <c r="P1282" s="54">
        <v>15</v>
      </c>
      <c r="Q1282" s="72">
        <v>0</v>
      </c>
      <c r="R1282" s="54">
        <v>0</v>
      </c>
      <c r="S1282" s="54">
        <v>1.97</v>
      </c>
      <c r="T1282" s="53">
        <f>STOCK[[#This Row],[Costo Unitario (USD)]]+STOCK[[#This Row],[Costo Envío (USD)]]+STOCK[[#This Row],[Comisión 10%]]</f>
        <v>19.97</v>
      </c>
      <c r="U1282" s="54">
        <f>STOCK[[#This Row],[Costo total]]*1.5</f>
        <v>29.955</v>
      </c>
      <c r="V1282" s="54">
        <v>30</v>
      </c>
      <c r="W1282" s="54">
        <f>STOCK[[#This Row],[Precio Final]]-STOCK[[#This Row],[Costo total]]</f>
        <v>10.03</v>
      </c>
      <c r="X1282" s="54">
        <f>STOCK[[#This Row],[Ganancia Unitaria]]*STOCK[[#This Row],[Salidas]]</f>
        <v>0</v>
      </c>
      <c r="AA1282" s="54">
        <f>STOCK[[#This Row],[Costo total]]*STOCK[[#This Row],[Entradas]]</f>
        <v>19.97</v>
      </c>
      <c r="AB1282" s="54">
        <f>STOCK[[#This Row],[Stock Actual]]*STOCK[[#This Row],[Costo total]]</f>
        <v>19.97</v>
      </c>
    </row>
    <row r="1283" s="53" customFormat="1" ht="50" customHeight="1" spans="1:28">
      <c r="A1283" s="53" t="s">
        <v>2652</v>
      </c>
      <c r="B1283" s="66"/>
      <c r="C1283" s="53" t="s">
        <v>32</v>
      </c>
      <c r="D1283" s="53" t="s">
        <v>1808</v>
      </c>
      <c r="E1283" s="67" t="s">
        <v>2653</v>
      </c>
      <c r="F1283" s="53" t="s">
        <v>882</v>
      </c>
      <c r="H1283" s="53">
        <f>STOCK[[#This Row],[Precio Final]]</f>
        <v>19</v>
      </c>
      <c r="I1283" s="53">
        <f>STOCK[[#This Row],[Precio Venta Ideal (x1.5)]]</f>
        <v>25.29</v>
      </c>
      <c r="J1283" s="71">
        <v>1</v>
      </c>
      <c r="K1283" s="71">
        <f>SUMIFS(VENTAS[Cantidad],VENTAS[Código del producto Vendido],STOCK[[#This Row],[Code]])</f>
        <v>1</v>
      </c>
      <c r="L1283" s="71">
        <f>STOCK[[#This Row],[Entradas]]-STOCK[[#This Row],[Salidas]]</f>
        <v>0</v>
      </c>
      <c r="M1283" s="53">
        <f>STOCK[[#This Row],[Precio Final]]*10%</f>
        <v>1.9</v>
      </c>
      <c r="N1283" s="53">
        <v>0</v>
      </c>
      <c r="O1283" s="53">
        <v>0</v>
      </c>
      <c r="P1283" s="53">
        <v>12.99</v>
      </c>
      <c r="Q1283" s="71">
        <v>0</v>
      </c>
      <c r="R1283" s="53">
        <v>0</v>
      </c>
      <c r="S1283" s="53">
        <v>1.97</v>
      </c>
      <c r="T1283" s="53">
        <f>STOCK[[#This Row],[Costo Unitario (USD)]]+STOCK[[#This Row],[Costo Envío (USD)]]+STOCK[[#This Row],[Comisión 10%]]</f>
        <v>16.86</v>
      </c>
      <c r="U1283" s="53">
        <f>STOCK[[#This Row],[Costo total]]*1.5</f>
        <v>25.29</v>
      </c>
      <c r="V1283" s="53">
        <v>19</v>
      </c>
      <c r="W1283" s="53">
        <f>STOCK[[#This Row],[Precio Final]]-STOCK[[#This Row],[Costo total]]</f>
        <v>2.14</v>
      </c>
      <c r="X1283" s="53">
        <f>STOCK[[#This Row],[Ganancia Unitaria]]*STOCK[[#This Row],[Salidas]]</f>
        <v>2.14</v>
      </c>
      <c r="AA1283" s="54">
        <f>STOCK[[#This Row],[Costo total]]*STOCK[[#This Row],[Entradas]]</f>
        <v>16.86</v>
      </c>
      <c r="AB1283" s="54">
        <f>STOCK[[#This Row],[Stock Actual]]*STOCK[[#This Row],[Costo total]]</f>
        <v>0</v>
      </c>
    </row>
    <row r="1284" s="54" customFormat="1" ht="50" customHeight="1" spans="1:28">
      <c r="A1284" s="54" t="s">
        <v>2654</v>
      </c>
      <c r="B1284" s="66"/>
      <c r="C1284" s="54" t="s">
        <v>32</v>
      </c>
      <c r="D1284" s="54" t="s">
        <v>2631</v>
      </c>
      <c r="E1284" s="68" t="s">
        <v>2655</v>
      </c>
      <c r="F1284" s="54" t="s">
        <v>2637</v>
      </c>
      <c r="H1284" s="54">
        <f>STOCK[[#This Row],[Precio Final]]</f>
        <v>25</v>
      </c>
      <c r="I1284" s="54">
        <f>STOCK[[#This Row],[Precio Venta Ideal (x1.5)]]</f>
        <v>21.69</v>
      </c>
      <c r="J1284" s="72">
        <v>3</v>
      </c>
      <c r="K1284" s="72">
        <f>SUMIFS(VENTAS[Cantidad],VENTAS[Código del producto Vendido],STOCK[[#This Row],[Code]])</f>
        <v>0</v>
      </c>
      <c r="L1284" s="72">
        <f>STOCK[[#This Row],[Entradas]]-STOCK[[#This Row],[Salidas]]</f>
        <v>3</v>
      </c>
      <c r="M1284" s="54">
        <f>STOCK[[#This Row],[Precio Final]]*10%</f>
        <v>2.5</v>
      </c>
      <c r="N1284" s="54">
        <v>0</v>
      </c>
      <c r="O1284" s="54">
        <v>0</v>
      </c>
      <c r="P1284" s="54">
        <v>9.99</v>
      </c>
      <c r="Q1284" s="72">
        <v>0</v>
      </c>
      <c r="R1284" s="54">
        <v>0</v>
      </c>
      <c r="S1284" s="54">
        <v>1.97</v>
      </c>
      <c r="T1284" s="53">
        <f>STOCK[[#This Row],[Costo Unitario (USD)]]+STOCK[[#This Row],[Costo Envío (USD)]]+STOCK[[#This Row],[Comisión 10%]]</f>
        <v>14.46</v>
      </c>
      <c r="U1284" s="54">
        <f>STOCK[[#This Row],[Costo total]]*1.5</f>
        <v>21.69</v>
      </c>
      <c r="V1284" s="54">
        <v>25</v>
      </c>
      <c r="W1284" s="54">
        <f>STOCK[[#This Row],[Precio Final]]-STOCK[[#This Row],[Costo total]]</f>
        <v>10.54</v>
      </c>
      <c r="X1284" s="54">
        <f>STOCK[[#This Row],[Ganancia Unitaria]]*STOCK[[#This Row],[Salidas]]</f>
        <v>0</v>
      </c>
      <c r="AA1284" s="54">
        <f>STOCK[[#This Row],[Costo total]]*STOCK[[#This Row],[Entradas]]</f>
        <v>43.38</v>
      </c>
      <c r="AB1284" s="54">
        <f>STOCK[[#This Row],[Stock Actual]]*STOCK[[#This Row],[Costo total]]</f>
        <v>43.38</v>
      </c>
    </row>
    <row r="1285" s="53" customFormat="1" ht="50" customHeight="1" spans="1:28">
      <c r="A1285" s="53" t="s">
        <v>2656</v>
      </c>
      <c r="B1285" s="66"/>
      <c r="C1285" s="53" t="s">
        <v>32</v>
      </c>
      <c r="D1285" s="53" t="s">
        <v>1226</v>
      </c>
      <c r="E1285" s="67" t="s">
        <v>2657</v>
      </c>
      <c r="F1285" s="53" t="s">
        <v>766</v>
      </c>
      <c r="H1285" s="53">
        <f>STOCK[[#This Row],[Precio Final]]</f>
        <v>35</v>
      </c>
      <c r="I1285" s="53">
        <f>STOCK[[#This Row],[Precio Venta Ideal (x1.5)]]</f>
        <v>36.75</v>
      </c>
      <c r="J1285" s="71">
        <v>1</v>
      </c>
      <c r="K1285" s="71">
        <f>SUMIFS(VENTAS[Cantidad],VENTAS[Código del producto Vendido],STOCK[[#This Row],[Code]])</f>
        <v>1</v>
      </c>
      <c r="L1285" s="71">
        <f>STOCK[[#This Row],[Entradas]]-STOCK[[#This Row],[Salidas]]</f>
        <v>0</v>
      </c>
      <c r="M1285" s="53">
        <f>STOCK[[#This Row],[Precio Final]]*10%</f>
        <v>3.5</v>
      </c>
      <c r="N1285" s="53">
        <v>0</v>
      </c>
      <c r="O1285" s="53">
        <v>0</v>
      </c>
      <c r="P1285" s="53">
        <v>21</v>
      </c>
      <c r="Q1285" s="71">
        <v>0</v>
      </c>
      <c r="R1285" s="53">
        <v>0</v>
      </c>
      <c r="S1285" s="53">
        <v>0</v>
      </c>
      <c r="T1285" s="53">
        <f>STOCK[[#This Row],[Costo Unitario (USD)]]+STOCK[[#This Row],[Costo Envío (USD)]]+STOCK[[#This Row],[Comisión 10%]]</f>
        <v>24.5</v>
      </c>
      <c r="U1285" s="53">
        <f>STOCK[[#This Row],[Costo total]]*1.5</f>
        <v>36.75</v>
      </c>
      <c r="V1285" s="53">
        <v>35</v>
      </c>
      <c r="W1285" s="53">
        <f>STOCK[[#This Row],[Precio Final]]-STOCK[[#This Row],[Costo total]]</f>
        <v>10.5</v>
      </c>
      <c r="X1285" s="53">
        <f>STOCK[[#This Row],[Ganancia Unitaria]]*STOCK[[#This Row],[Salidas]]</f>
        <v>10.5</v>
      </c>
      <c r="AA1285" s="54">
        <f>STOCK[[#This Row],[Costo total]]*STOCK[[#This Row],[Entradas]]</f>
        <v>24.5</v>
      </c>
      <c r="AB1285" s="54">
        <f>STOCK[[#This Row],[Stock Actual]]*STOCK[[#This Row],[Costo total]]</f>
        <v>0</v>
      </c>
    </row>
    <row r="1286" s="54" customFormat="1" ht="50" customHeight="1" spans="1:28">
      <c r="A1286" s="54" t="s">
        <v>2658</v>
      </c>
      <c r="B1286" s="66"/>
      <c r="C1286" s="54" t="s">
        <v>32</v>
      </c>
      <c r="D1286" s="54" t="s">
        <v>1226</v>
      </c>
      <c r="E1286" s="68" t="s">
        <v>2659</v>
      </c>
      <c r="F1286" s="54" t="s">
        <v>517</v>
      </c>
      <c r="H1286" s="54">
        <f>STOCK[[#This Row],[Precio Final]]</f>
        <v>40</v>
      </c>
      <c r="I1286" s="54">
        <f>STOCK[[#This Row],[Precio Venta Ideal (x1.5)]]</f>
        <v>48</v>
      </c>
      <c r="J1286" s="72">
        <v>1</v>
      </c>
      <c r="K1286" s="72">
        <f>SUMIFS(VENTAS[Cantidad],VENTAS[Código del producto Vendido],STOCK[[#This Row],[Code]])</f>
        <v>1</v>
      </c>
      <c r="L1286" s="72">
        <f>STOCK[[#This Row],[Entradas]]-STOCK[[#This Row],[Salidas]]</f>
        <v>0</v>
      </c>
      <c r="M1286" s="54">
        <f>STOCK[[#This Row],[Precio Final]]*10%</f>
        <v>4</v>
      </c>
      <c r="N1286" s="54">
        <v>0</v>
      </c>
      <c r="O1286" s="54">
        <v>0</v>
      </c>
      <c r="P1286" s="54">
        <v>25</v>
      </c>
      <c r="Q1286" s="72">
        <v>0</v>
      </c>
      <c r="R1286" s="54">
        <v>0</v>
      </c>
      <c r="S1286" s="54">
        <v>3</v>
      </c>
      <c r="T1286" s="53">
        <f>STOCK[[#This Row],[Costo Unitario (USD)]]+STOCK[[#This Row],[Costo Envío (USD)]]+STOCK[[#This Row],[Comisión 10%]]</f>
        <v>32</v>
      </c>
      <c r="U1286" s="54">
        <f>STOCK[[#This Row],[Costo total]]*1.5</f>
        <v>48</v>
      </c>
      <c r="V1286" s="54">
        <v>40</v>
      </c>
      <c r="W1286" s="54">
        <f>STOCK[[#This Row],[Precio Final]]-STOCK[[#This Row],[Costo total]]</f>
        <v>8</v>
      </c>
      <c r="X1286" s="54">
        <f>STOCK[[#This Row],[Ganancia Unitaria]]*STOCK[[#This Row],[Salidas]]</f>
        <v>8</v>
      </c>
      <c r="AA1286" s="54">
        <f>STOCK[[#This Row],[Costo total]]*STOCK[[#This Row],[Entradas]]</f>
        <v>32</v>
      </c>
      <c r="AB1286" s="54">
        <f>STOCK[[#This Row],[Stock Actual]]*STOCK[[#This Row],[Costo total]]</f>
        <v>0</v>
      </c>
    </row>
    <row r="1287" s="53" customFormat="1" ht="50" customHeight="1" spans="1:28">
      <c r="A1287" s="53" t="s">
        <v>2660</v>
      </c>
      <c r="B1287" s="66"/>
      <c r="C1287" s="53" t="s">
        <v>32</v>
      </c>
      <c r="D1287" s="53" t="s">
        <v>1190</v>
      </c>
      <c r="E1287" s="67" t="s">
        <v>2661</v>
      </c>
      <c r="F1287" s="53" t="s">
        <v>62</v>
      </c>
      <c r="H1287" s="53">
        <f>STOCK[[#This Row],[Precio Final]]</f>
        <v>12</v>
      </c>
      <c r="I1287" s="53">
        <f>STOCK[[#This Row],[Precio Venta Ideal (x1.5)]]</f>
        <v>15.255</v>
      </c>
      <c r="J1287" s="71">
        <v>1</v>
      </c>
      <c r="K1287" s="71">
        <f>SUMIFS(VENTAS[Cantidad],VENTAS[Código del producto Vendido],STOCK[[#This Row],[Code]])</f>
        <v>1</v>
      </c>
      <c r="L1287" s="71">
        <f>STOCK[[#This Row],[Entradas]]-STOCK[[#This Row],[Salidas]]</f>
        <v>0</v>
      </c>
      <c r="M1287" s="53">
        <f>STOCK[[#This Row],[Precio Final]]*10%</f>
        <v>1.2</v>
      </c>
      <c r="N1287" s="53">
        <v>0</v>
      </c>
      <c r="O1287" s="53">
        <v>0</v>
      </c>
      <c r="P1287" s="53">
        <v>7</v>
      </c>
      <c r="Q1287" s="71">
        <v>0</v>
      </c>
      <c r="R1287" s="53">
        <v>0</v>
      </c>
      <c r="S1287" s="54">
        <v>1.97</v>
      </c>
      <c r="T1287" s="53">
        <f>STOCK[[#This Row],[Costo Unitario (USD)]]+STOCK[[#This Row],[Costo Envío (USD)]]+STOCK[[#This Row],[Comisión 10%]]</f>
        <v>10.17</v>
      </c>
      <c r="U1287" s="53">
        <f>STOCK[[#This Row],[Costo total]]*1.5</f>
        <v>15.255</v>
      </c>
      <c r="V1287" s="53">
        <v>12</v>
      </c>
      <c r="W1287" s="53">
        <f>STOCK[[#This Row],[Precio Final]]-STOCK[[#This Row],[Costo total]]</f>
        <v>1.83</v>
      </c>
      <c r="X1287" s="53">
        <f>STOCK[[#This Row],[Ganancia Unitaria]]*STOCK[[#This Row],[Salidas]]</f>
        <v>1.83</v>
      </c>
      <c r="AA1287" s="54">
        <f>STOCK[[#This Row],[Costo total]]*STOCK[[#This Row],[Entradas]]</f>
        <v>10.17</v>
      </c>
      <c r="AB1287" s="54">
        <f>STOCK[[#This Row],[Stock Actual]]*STOCK[[#This Row],[Costo total]]</f>
        <v>0</v>
      </c>
    </row>
    <row r="1288" s="54" customFormat="1" ht="50" customHeight="1" spans="1:28">
      <c r="A1288" s="54" t="s">
        <v>2662</v>
      </c>
      <c r="B1288" s="66"/>
      <c r="C1288" s="54" t="s">
        <v>32</v>
      </c>
      <c r="D1288" s="54" t="s">
        <v>1190</v>
      </c>
      <c r="E1288" s="68" t="s">
        <v>2661</v>
      </c>
      <c r="F1288" s="54" t="s">
        <v>49</v>
      </c>
      <c r="H1288" s="54">
        <f>STOCK[[#This Row],[Precio Final]]</f>
        <v>12</v>
      </c>
      <c r="I1288" s="54">
        <f>STOCK[[#This Row],[Precio Venta Ideal (x1.5)]]</f>
        <v>15.255</v>
      </c>
      <c r="J1288" s="72">
        <v>1</v>
      </c>
      <c r="K1288" s="72">
        <f>SUMIFS(VENTAS[Cantidad],VENTAS[Código del producto Vendido],STOCK[[#This Row],[Code]])</f>
        <v>1</v>
      </c>
      <c r="L1288" s="72">
        <f>STOCK[[#This Row],[Entradas]]-STOCK[[#This Row],[Salidas]]</f>
        <v>0</v>
      </c>
      <c r="M1288" s="54">
        <f>STOCK[[#This Row],[Precio Final]]*10%</f>
        <v>1.2</v>
      </c>
      <c r="N1288" s="54">
        <v>0</v>
      </c>
      <c r="O1288" s="54">
        <v>0</v>
      </c>
      <c r="P1288" s="54">
        <v>7</v>
      </c>
      <c r="Q1288" s="72">
        <v>0</v>
      </c>
      <c r="R1288" s="54">
        <v>0</v>
      </c>
      <c r="S1288" s="54">
        <v>1.97</v>
      </c>
      <c r="T1288" s="53">
        <f>STOCK[[#This Row],[Costo Unitario (USD)]]+STOCK[[#This Row],[Costo Envío (USD)]]+STOCK[[#This Row],[Comisión 10%]]</f>
        <v>10.17</v>
      </c>
      <c r="U1288" s="54">
        <f>STOCK[[#This Row],[Costo total]]*1.5</f>
        <v>15.255</v>
      </c>
      <c r="V1288" s="54">
        <v>12</v>
      </c>
      <c r="W1288" s="54">
        <f>STOCK[[#This Row],[Precio Final]]-STOCK[[#This Row],[Costo total]]</f>
        <v>1.83</v>
      </c>
      <c r="X1288" s="54">
        <f>STOCK[[#This Row],[Ganancia Unitaria]]*STOCK[[#This Row],[Salidas]]</f>
        <v>1.83</v>
      </c>
      <c r="AA1288" s="54">
        <f>STOCK[[#This Row],[Costo total]]*STOCK[[#This Row],[Entradas]]</f>
        <v>10.17</v>
      </c>
      <c r="AB1288" s="54">
        <f>STOCK[[#This Row],[Stock Actual]]*STOCK[[#This Row],[Costo total]]</f>
        <v>0</v>
      </c>
    </row>
    <row r="1289" s="53" customFormat="1" ht="50" customHeight="1" spans="1:28">
      <c r="A1289" s="53" t="s">
        <v>2663</v>
      </c>
      <c r="B1289" s="66"/>
      <c r="C1289" s="53" t="s">
        <v>32</v>
      </c>
      <c r="D1289" s="53" t="s">
        <v>1190</v>
      </c>
      <c r="E1289" s="67" t="s">
        <v>2664</v>
      </c>
      <c r="F1289" s="53" t="s">
        <v>49</v>
      </c>
      <c r="H1289" s="53">
        <f>STOCK[[#This Row],[Precio Final]]</f>
        <v>13</v>
      </c>
      <c r="I1289" s="53">
        <f>STOCK[[#This Row],[Precio Venta Ideal (x1.5)]]</f>
        <v>12.45</v>
      </c>
      <c r="J1289" s="71">
        <v>2</v>
      </c>
      <c r="K1289" s="71">
        <f>SUMIFS(VENTAS[Cantidad],VENTAS[Código del producto Vendido],STOCK[[#This Row],[Code]])</f>
        <v>2</v>
      </c>
      <c r="L1289" s="71">
        <f>STOCK[[#This Row],[Entradas]]-STOCK[[#This Row],[Salidas]]</f>
        <v>0</v>
      </c>
      <c r="M1289" s="53">
        <f>STOCK[[#This Row],[Precio Final]]*10%</f>
        <v>1.3</v>
      </c>
      <c r="N1289" s="53">
        <v>0</v>
      </c>
      <c r="O1289" s="53">
        <v>0</v>
      </c>
      <c r="P1289" s="53">
        <v>7</v>
      </c>
      <c r="Q1289" s="71">
        <v>0</v>
      </c>
      <c r="R1289" s="53">
        <v>0</v>
      </c>
      <c r="S1289" s="54">
        <v>0</v>
      </c>
      <c r="T1289" s="53">
        <f>STOCK[[#This Row],[Costo Unitario (USD)]]+STOCK[[#This Row],[Costo Envío (USD)]]+STOCK[[#This Row],[Comisión 10%]]</f>
        <v>8.3</v>
      </c>
      <c r="U1289" s="53">
        <f>STOCK[[#This Row],[Costo total]]*1.5</f>
        <v>12.45</v>
      </c>
      <c r="V1289" s="53">
        <v>13</v>
      </c>
      <c r="W1289" s="53">
        <f>STOCK[[#This Row],[Precio Final]]-STOCK[[#This Row],[Costo total]]</f>
        <v>4.7</v>
      </c>
      <c r="X1289" s="53">
        <f>STOCK[[#This Row],[Ganancia Unitaria]]*STOCK[[#This Row],[Salidas]]</f>
        <v>9.4</v>
      </c>
      <c r="AA1289" s="54">
        <f>STOCK[[#This Row],[Costo total]]*STOCK[[#This Row],[Entradas]]</f>
        <v>16.6</v>
      </c>
      <c r="AB1289" s="54">
        <f>STOCK[[#This Row],[Stock Actual]]*STOCK[[#This Row],[Costo total]]</f>
        <v>0</v>
      </c>
    </row>
    <row r="1290" s="54" customFormat="1" ht="50" customHeight="1" spans="1:28">
      <c r="A1290" s="54" t="s">
        <v>2665</v>
      </c>
      <c r="B1290" s="66"/>
      <c r="C1290" s="54" t="s">
        <v>32</v>
      </c>
      <c r="D1290" s="54" t="s">
        <v>1190</v>
      </c>
      <c r="E1290" s="68" t="s">
        <v>2666</v>
      </c>
      <c r="F1290" s="54" t="s">
        <v>49</v>
      </c>
      <c r="H1290" s="54">
        <f>STOCK[[#This Row],[Precio Final]]</f>
        <v>13</v>
      </c>
      <c r="I1290" s="54">
        <f>STOCK[[#This Row],[Precio Venta Ideal (x1.5)]]</f>
        <v>12.45</v>
      </c>
      <c r="J1290" s="72">
        <v>1</v>
      </c>
      <c r="K1290" s="72">
        <f>SUMIFS(VENTAS[Cantidad],VENTAS[Código del producto Vendido],STOCK[[#This Row],[Code]])</f>
        <v>1</v>
      </c>
      <c r="L1290" s="72">
        <f>STOCK[[#This Row],[Entradas]]-STOCK[[#This Row],[Salidas]]</f>
        <v>0</v>
      </c>
      <c r="M1290" s="54">
        <f>STOCK[[#This Row],[Precio Final]]*10%</f>
        <v>1.3</v>
      </c>
      <c r="N1290" s="54">
        <v>0</v>
      </c>
      <c r="O1290" s="54">
        <v>0</v>
      </c>
      <c r="P1290" s="54">
        <v>7</v>
      </c>
      <c r="Q1290" s="72">
        <v>0</v>
      </c>
      <c r="R1290" s="54">
        <v>0</v>
      </c>
      <c r="S1290" s="54">
        <v>0</v>
      </c>
      <c r="T1290" s="53">
        <f>STOCK[[#This Row],[Costo Unitario (USD)]]+STOCK[[#This Row],[Costo Envío (USD)]]+STOCK[[#This Row],[Comisión 10%]]</f>
        <v>8.3</v>
      </c>
      <c r="U1290" s="54">
        <f>STOCK[[#This Row],[Costo total]]*1.5</f>
        <v>12.45</v>
      </c>
      <c r="V1290" s="54">
        <v>13</v>
      </c>
      <c r="W1290" s="54">
        <f>STOCK[[#This Row],[Precio Final]]-STOCK[[#This Row],[Costo total]]</f>
        <v>4.7</v>
      </c>
      <c r="X1290" s="54">
        <f>STOCK[[#This Row],[Ganancia Unitaria]]*STOCK[[#This Row],[Salidas]]</f>
        <v>4.7</v>
      </c>
      <c r="AA1290" s="54">
        <f>STOCK[[#This Row],[Costo total]]*STOCK[[#This Row],[Entradas]]</f>
        <v>8.3</v>
      </c>
      <c r="AB1290" s="54">
        <f>STOCK[[#This Row],[Stock Actual]]*STOCK[[#This Row],[Costo total]]</f>
        <v>0</v>
      </c>
    </row>
    <row r="1291" s="53" customFormat="1" ht="50" customHeight="1" spans="1:28">
      <c r="A1291" s="53" t="s">
        <v>2667</v>
      </c>
      <c r="B1291" s="66"/>
      <c r="C1291" s="53" t="s">
        <v>32</v>
      </c>
      <c r="D1291" s="53" t="s">
        <v>1190</v>
      </c>
      <c r="E1291" s="67" t="s">
        <v>2668</v>
      </c>
      <c r="F1291" s="53" t="s">
        <v>49</v>
      </c>
      <c r="H1291" s="53">
        <f>STOCK[[#This Row],[Precio Final]]</f>
        <v>13</v>
      </c>
      <c r="I1291" s="53">
        <f>STOCK[[#This Row],[Precio Venta Ideal (x1.5)]]</f>
        <v>12.45</v>
      </c>
      <c r="J1291" s="71">
        <v>2</v>
      </c>
      <c r="K1291" s="71">
        <f>SUMIFS(VENTAS[Cantidad],VENTAS[Código del producto Vendido],STOCK[[#This Row],[Code]])</f>
        <v>1</v>
      </c>
      <c r="L1291" s="71">
        <f>STOCK[[#This Row],[Entradas]]-STOCK[[#This Row],[Salidas]]</f>
        <v>1</v>
      </c>
      <c r="M1291" s="53">
        <f>STOCK[[#This Row],[Precio Final]]*10%</f>
        <v>1.3</v>
      </c>
      <c r="N1291" s="53">
        <v>0</v>
      </c>
      <c r="O1291" s="53">
        <v>0</v>
      </c>
      <c r="P1291" s="53">
        <v>7</v>
      </c>
      <c r="Q1291" s="71">
        <v>0</v>
      </c>
      <c r="R1291" s="53">
        <v>0</v>
      </c>
      <c r="S1291" s="54">
        <v>0</v>
      </c>
      <c r="T1291" s="53">
        <f>STOCK[[#This Row],[Costo Unitario (USD)]]+STOCK[[#This Row],[Costo Envío (USD)]]+STOCK[[#This Row],[Comisión 10%]]</f>
        <v>8.3</v>
      </c>
      <c r="U1291" s="53">
        <f>STOCK[[#This Row],[Costo total]]*1.5</f>
        <v>12.45</v>
      </c>
      <c r="V1291" s="53">
        <v>13</v>
      </c>
      <c r="W1291" s="53">
        <f>STOCK[[#This Row],[Precio Final]]-STOCK[[#This Row],[Costo total]]</f>
        <v>4.7</v>
      </c>
      <c r="X1291" s="53">
        <f>STOCK[[#This Row],[Ganancia Unitaria]]*STOCK[[#This Row],[Salidas]]</f>
        <v>4.7</v>
      </c>
      <c r="AA1291" s="54">
        <f>STOCK[[#This Row],[Costo total]]*STOCK[[#This Row],[Entradas]]</f>
        <v>16.6</v>
      </c>
      <c r="AB1291" s="54">
        <f>STOCK[[#This Row],[Stock Actual]]*STOCK[[#This Row],[Costo total]]</f>
        <v>8.3</v>
      </c>
    </row>
    <row r="1292" s="54" customFormat="1" ht="50" customHeight="1" spans="1:28">
      <c r="A1292" s="54" t="s">
        <v>2669</v>
      </c>
      <c r="B1292" s="66"/>
      <c r="C1292" s="54" t="s">
        <v>32</v>
      </c>
      <c r="D1292" s="54" t="s">
        <v>1190</v>
      </c>
      <c r="E1292" s="68" t="s">
        <v>2670</v>
      </c>
      <c r="F1292" s="54" t="s">
        <v>49</v>
      </c>
      <c r="H1292" s="54">
        <f>STOCK[[#This Row],[Precio Final]]</f>
        <v>13</v>
      </c>
      <c r="I1292" s="54">
        <f>STOCK[[#This Row],[Precio Venta Ideal (x1.5)]]</f>
        <v>12.45</v>
      </c>
      <c r="J1292" s="72">
        <v>1</v>
      </c>
      <c r="K1292" s="72">
        <f>SUMIFS(VENTAS[Cantidad],VENTAS[Código del producto Vendido],STOCK[[#This Row],[Code]])</f>
        <v>0</v>
      </c>
      <c r="L1292" s="72">
        <f>STOCK[[#This Row],[Entradas]]-STOCK[[#This Row],[Salidas]]</f>
        <v>1</v>
      </c>
      <c r="M1292" s="54">
        <f>STOCK[[#This Row],[Precio Final]]*10%</f>
        <v>1.3</v>
      </c>
      <c r="N1292" s="54">
        <v>0</v>
      </c>
      <c r="O1292" s="54">
        <v>0</v>
      </c>
      <c r="P1292" s="54">
        <v>7</v>
      </c>
      <c r="Q1292" s="72">
        <v>0</v>
      </c>
      <c r="R1292" s="54">
        <v>0</v>
      </c>
      <c r="S1292" s="54">
        <v>0</v>
      </c>
      <c r="T1292" s="53">
        <f>STOCK[[#This Row],[Costo Unitario (USD)]]+STOCK[[#This Row],[Costo Envío (USD)]]+STOCK[[#This Row],[Comisión 10%]]</f>
        <v>8.3</v>
      </c>
      <c r="U1292" s="54">
        <f>STOCK[[#This Row],[Costo total]]*1.5</f>
        <v>12.45</v>
      </c>
      <c r="V1292" s="54">
        <v>13</v>
      </c>
      <c r="W1292" s="54">
        <f>STOCK[[#This Row],[Precio Final]]-STOCK[[#This Row],[Costo total]]</f>
        <v>4.7</v>
      </c>
      <c r="X1292" s="54">
        <f>STOCK[[#This Row],[Ganancia Unitaria]]*STOCK[[#This Row],[Salidas]]</f>
        <v>0</v>
      </c>
      <c r="AA1292" s="54">
        <f>STOCK[[#This Row],[Costo total]]*STOCK[[#This Row],[Entradas]]</f>
        <v>8.3</v>
      </c>
      <c r="AB1292" s="54">
        <f>STOCK[[#This Row],[Stock Actual]]*STOCK[[#This Row],[Costo total]]</f>
        <v>8.3</v>
      </c>
    </row>
    <row r="1293" s="53" customFormat="1" ht="50" customHeight="1" spans="1:28">
      <c r="A1293" s="53" t="s">
        <v>2671</v>
      </c>
      <c r="B1293" s="66"/>
      <c r="C1293" s="53" t="s">
        <v>32</v>
      </c>
      <c r="D1293" s="53" t="s">
        <v>1190</v>
      </c>
      <c r="E1293" s="67" t="s">
        <v>2672</v>
      </c>
      <c r="F1293" s="53" t="s">
        <v>49</v>
      </c>
      <c r="H1293" s="53">
        <f>STOCK[[#This Row],[Precio Final]]</f>
        <v>13</v>
      </c>
      <c r="I1293" s="53">
        <f>STOCK[[#This Row],[Precio Venta Ideal (x1.5)]]</f>
        <v>12.45</v>
      </c>
      <c r="J1293" s="71">
        <v>1</v>
      </c>
      <c r="K1293" s="71">
        <f>SUMIFS(VENTAS[Cantidad],VENTAS[Código del producto Vendido],STOCK[[#This Row],[Code]])</f>
        <v>1</v>
      </c>
      <c r="L1293" s="71">
        <f>STOCK[[#This Row],[Entradas]]-STOCK[[#This Row],[Salidas]]</f>
        <v>0</v>
      </c>
      <c r="M1293" s="53">
        <f>STOCK[[#This Row],[Precio Final]]*10%</f>
        <v>1.3</v>
      </c>
      <c r="N1293" s="53">
        <v>0</v>
      </c>
      <c r="O1293" s="53">
        <v>0</v>
      </c>
      <c r="P1293" s="53">
        <v>7</v>
      </c>
      <c r="Q1293" s="71">
        <v>0</v>
      </c>
      <c r="R1293" s="53">
        <v>0</v>
      </c>
      <c r="S1293" s="54">
        <v>0</v>
      </c>
      <c r="T1293" s="53">
        <f>STOCK[[#This Row],[Costo Unitario (USD)]]+STOCK[[#This Row],[Costo Envío (USD)]]+STOCK[[#This Row],[Comisión 10%]]</f>
        <v>8.3</v>
      </c>
      <c r="U1293" s="53">
        <f>STOCK[[#This Row],[Costo total]]*1.5</f>
        <v>12.45</v>
      </c>
      <c r="V1293" s="53">
        <v>13</v>
      </c>
      <c r="W1293" s="53">
        <f>STOCK[[#This Row],[Precio Final]]-STOCK[[#This Row],[Costo total]]</f>
        <v>4.7</v>
      </c>
      <c r="X1293" s="53">
        <f>STOCK[[#This Row],[Ganancia Unitaria]]*STOCK[[#This Row],[Salidas]]</f>
        <v>4.7</v>
      </c>
      <c r="AA1293" s="54">
        <f>STOCK[[#This Row],[Costo total]]*STOCK[[#This Row],[Entradas]]</f>
        <v>8.3</v>
      </c>
      <c r="AB1293" s="54">
        <f>STOCK[[#This Row],[Stock Actual]]*STOCK[[#This Row],[Costo total]]</f>
        <v>0</v>
      </c>
    </row>
    <row r="1294" s="54" customFormat="1" ht="50" customHeight="1" spans="1:28">
      <c r="A1294" s="54" t="s">
        <v>2673</v>
      </c>
      <c r="B1294" s="66"/>
      <c r="C1294" s="54" t="s">
        <v>32</v>
      </c>
      <c r="D1294" s="54" t="s">
        <v>1190</v>
      </c>
      <c r="E1294" s="68" t="s">
        <v>2674</v>
      </c>
      <c r="F1294" s="54" t="s">
        <v>46</v>
      </c>
      <c r="H1294" s="54">
        <f>STOCK[[#This Row],[Precio Final]]</f>
        <v>13</v>
      </c>
      <c r="I1294" s="54">
        <f>STOCK[[#This Row],[Precio Venta Ideal (x1.5)]]</f>
        <v>12.45</v>
      </c>
      <c r="J1294" s="72">
        <v>1</v>
      </c>
      <c r="K1294" s="72">
        <f>SUMIFS(VENTAS[Cantidad],VENTAS[Código del producto Vendido],STOCK[[#This Row],[Code]])</f>
        <v>0</v>
      </c>
      <c r="L1294" s="72">
        <f>STOCK[[#This Row],[Entradas]]-STOCK[[#This Row],[Salidas]]</f>
        <v>1</v>
      </c>
      <c r="M1294" s="54">
        <f>STOCK[[#This Row],[Precio Final]]*10%</f>
        <v>1.3</v>
      </c>
      <c r="N1294" s="54">
        <v>0</v>
      </c>
      <c r="O1294" s="54">
        <v>0</v>
      </c>
      <c r="P1294" s="54">
        <v>7</v>
      </c>
      <c r="Q1294" s="72">
        <v>0</v>
      </c>
      <c r="R1294" s="54">
        <v>0</v>
      </c>
      <c r="S1294" s="54">
        <v>0</v>
      </c>
      <c r="T1294" s="53">
        <f>STOCK[[#This Row],[Costo Unitario (USD)]]+STOCK[[#This Row],[Costo Envío (USD)]]+STOCK[[#This Row],[Comisión 10%]]</f>
        <v>8.3</v>
      </c>
      <c r="U1294" s="54">
        <f>STOCK[[#This Row],[Costo total]]*1.5</f>
        <v>12.45</v>
      </c>
      <c r="V1294" s="54">
        <v>13</v>
      </c>
      <c r="W1294" s="54">
        <f>STOCK[[#This Row],[Precio Final]]-STOCK[[#This Row],[Costo total]]</f>
        <v>4.7</v>
      </c>
      <c r="X1294" s="54">
        <f>STOCK[[#This Row],[Ganancia Unitaria]]*STOCK[[#This Row],[Salidas]]</f>
        <v>0</v>
      </c>
      <c r="AA1294" s="54">
        <f>STOCK[[#This Row],[Costo total]]*STOCK[[#This Row],[Entradas]]</f>
        <v>8.3</v>
      </c>
      <c r="AB1294" s="54">
        <f>STOCK[[#This Row],[Stock Actual]]*STOCK[[#This Row],[Costo total]]</f>
        <v>8.3</v>
      </c>
    </row>
    <row r="1295" s="53" customFormat="1" ht="50" customHeight="1" spans="1:28">
      <c r="A1295" s="53" t="s">
        <v>2675</v>
      </c>
      <c r="B1295" s="66"/>
      <c r="C1295" s="53" t="s">
        <v>32</v>
      </c>
      <c r="D1295" s="53" t="s">
        <v>2127</v>
      </c>
      <c r="E1295" s="67" t="s">
        <v>2676</v>
      </c>
      <c r="F1295" s="53" t="s">
        <v>62</v>
      </c>
      <c r="H1295" s="53">
        <f>STOCK[[#This Row],[Precio Final]]</f>
        <v>28</v>
      </c>
      <c r="I1295" s="53">
        <f>STOCK[[#This Row],[Precio Venta Ideal (x1.5)]]</f>
        <v>19.8</v>
      </c>
      <c r="J1295" s="71">
        <v>1</v>
      </c>
      <c r="K1295" s="71">
        <f>SUMIFS(VENTAS[Cantidad],VENTAS[Código del producto Vendido],STOCK[[#This Row],[Code]])</f>
        <v>1</v>
      </c>
      <c r="L1295" s="71">
        <f>STOCK[[#This Row],[Entradas]]-STOCK[[#This Row],[Salidas]]</f>
        <v>0</v>
      </c>
      <c r="M1295" s="53">
        <f>STOCK[[#This Row],[Precio Final]]*10%</f>
        <v>2.8</v>
      </c>
      <c r="N1295" s="53">
        <v>0</v>
      </c>
      <c r="O1295" s="53">
        <v>0</v>
      </c>
      <c r="P1295" s="53">
        <v>8.43</v>
      </c>
      <c r="Q1295" s="71">
        <v>0</v>
      </c>
      <c r="R1295" s="53">
        <v>0</v>
      </c>
      <c r="S1295" s="54">
        <v>1.97</v>
      </c>
      <c r="T1295" s="53">
        <f>STOCK[[#This Row],[Costo Unitario (USD)]]+STOCK[[#This Row],[Costo Envío (USD)]]+STOCK[[#This Row],[Comisión 10%]]</f>
        <v>13.2</v>
      </c>
      <c r="U1295" s="53">
        <f>STOCK[[#This Row],[Costo total]]*1.5</f>
        <v>19.8</v>
      </c>
      <c r="V1295" s="53">
        <v>28</v>
      </c>
      <c r="W1295" s="53">
        <f>STOCK[[#This Row],[Precio Final]]-STOCK[[#This Row],[Costo total]]</f>
        <v>14.8</v>
      </c>
      <c r="X1295" s="53">
        <f>STOCK[[#This Row],[Ganancia Unitaria]]*STOCK[[#This Row],[Salidas]]</f>
        <v>14.8</v>
      </c>
      <c r="AA1295" s="54">
        <f>STOCK[[#This Row],[Costo total]]*STOCK[[#This Row],[Entradas]]</f>
        <v>13.2</v>
      </c>
      <c r="AB1295" s="54">
        <f>STOCK[[#This Row],[Stock Actual]]*STOCK[[#This Row],[Costo total]]</f>
        <v>0</v>
      </c>
    </row>
    <row r="1296" s="54" customFormat="1" ht="50" customHeight="1" spans="1:28">
      <c r="A1296" s="54" t="s">
        <v>2677</v>
      </c>
      <c r="B1296" s="66"/>
      <c r="C1296" s="54" t="s">
        <v>32</v>
      </c>
      <c r="D1296" s="54" t="s">
        <v>2127</v>
      </c>
      <c r="E1296" s="68" t="s">
        <v>2676</v>
      </c>
      <c r="F1296" s="54" t="s">
        <v>49</v>
      </c>
      <c r="H1296" s="54">
        <f>STOCK[[#This Row],[Precio Final]]</f>
        <v>28</v>
      </c>
      <c r="I1296" s="54">
        <f>STOCK[[#This Row],[Precio Venta Ideal (x1.5)]]</f>
        <v>19.8</v>
      </c>
      <c r="J1296" s="72">
        <v>2</v>
      </c>
      <c r="K1296" s="72">
        <f>SUMIFS(VENTAS[Cantidad],VENTAS[Código del producto Vendido],STOCK[[#This Row],[Code]])</f>
        <v>2</v>
      </c>
      <c r="L1296" s="72">
        <f>STOCK[[#This Row],[Entradas]]-STOCK[[#This Row],[Salidas]]</f>
        <v>0</v>
      </c>
      <c r="M1296" s="54">
        <f>STOCK[[#This Row],[Precio Final]]*10%</f>
        <v>2.8</v>
      </c>
      <c r="N1296" s="54">
        <v>0</v>
      </c>
      <c r="O1296" s="54">
        <v>0</v>
      </c>
      <c r="P1296" s="54">
        <v>8.43</v>
      </c>
      <c r="Q1296" s="72">
        <v>0</v>
      </c>
      <c r="R1296" s="54">
        <v>0</v>
      </c>
      <c r="S1296" s="54">
        <v>1.97</v>
      </c>
      <c r="T1296" s="53">
        <f>STOCK[[#This Row],[Costo Unitario (USD)]]+STOCK[[#This Row],[Costo Envío (USD)]]+STOCK[[#This Row],[Comisión 10%]]</f>
        <v>13.2</v>
      </c>
      <c r="U1296" s="54">
        <f>STOCK[[#This Row],[Costo total]]*1.5</f>
        <v>19.8</v>
      </c>
      <c r="V1296" s="54">
        <v>28</v>
      </c>
      <c r="W1296" s="54">
        <f>STOCK[[#This Row],[Precio Final]]-STOCK[[#This Row],[Costo total]]</f>
        <v>14.8</v>
      </c>
      <c r="X1296" s="54">
        <f>STOCK[[#This Row],[Ganancia Unitaria]]*STOCK[[#This Row],[Salidas]]</f>
        <v>29.6</v>
      </c>
      <c r="AA1296" s="54">
        <f>STOCK[[#This Row],[Costo total]]*STOCK[[#This Row],[Entradas]]</f>
        <v>26.4</v>
      </c>
      <c r="AB1296" s="54">
        <f>STOCK[[#This Row],[Stock Actual]]*STOCK[[#This Row],[Costo total]]</f>
        <v>0</v>
      </c>
    </row>
    <row r="1297" s="53" customFormat="1" ht="50" customHeight="1" spans="1:28">
      <c r="A1297" s="53" t="s">
        <v>2678</v>
      </c>
      <c r="B1297" s="66"/>
      <c r="C1297" s="53" t="s">
        <v>32</v>
      </c>
      <c r="D1297" s="53" t="s">
        <v>1751</v>
      </c>
      <c r="E1297" s="67" t="s">
        <v>2676</v>
      </c>
      <c r="F1297" s="53" t="s">
        <v>46</v>
      </c>
      <c r="H1297" s="53">
        <f>STOCK[[#This Row],[Precio Final]]</f>
        <v>28</v>
      </c>
      <c r="I1297" s="53">
        <f>STOCK[[#This Row],[Precio Venta Ideal (x1.5)]]</f>
        <v>19.815</v>
      </c>
      <c r="J1297" s="71">
        <v>2</v>
      </c>
      <c r="K1297" s="71">
        <f>SUMIFS(VENTAS[Cantidad],VENTAS[Código del producto Vendido],STOCK[[#This Row],[Code]])</f>
        <v>1</v>
      </c>
      <c r="L1297" s="71">
        <f>STOCK[[#This Row],[Entradas]]-STOCK[[#This Row],[Salidas]]</f>
        <v>1</v>
      </c>
      <c r="M1297" s="53">
        <f>STOCK[[#This Row],[Precio Final]]*10%</f>
        <v>2.8</v>
      </c>
      <c r="N1297" s="53">
        <v>0</v>
      </c>
      <c r="O1297" s="53">
        <v>0</v>
      </c>
      <c r="P1297" s="54">
        <v>8.44</v>
      </c>
      <c r="Q1297" s="71">
        <v>0</v>
      </c>
      <c r="R1297" s="53">
        <v>0</v>
      </c>
      <c r="S1297" s="54">
        <v>1.97</v>
      </c>
      <c r="T1297" s="53">
        <f>STOCK[[#This Row],[Costo Unitario (USD)]]+STOCK[[#This Row],[Costo Envío (USD)]]+STOCK[[#This Row],[Comisión 10%]]</f>
        <v>13.21</v>
      </c>
      <c r="U1297" s="53">
        <f>STOCK[[#This Row],[Costo total]]*1.5</f>
        <v>19.815</v>
      </c>
      <c r="V1297" s="53">
        <v>28</v>
      </c>
      <c r="W1297" s="53">
        <f>STOCK[[#This Row],[Precio Final]]-STOCK[[#This Row],[Costo total]]</f>
        <v>14.79</v>
      </c>
      <c r="X1297" s="53">
        <f>STOCK[[#This Row],[Ganancia Unitaria]]*STOCK[[#This Row],[Salidas]]</f>
        <v>14.79</v>
      </c>
      <c r="AA1297" s="54">
        <f>STOCK[[#This Row],[Costo total]]*STOCK[[#This Row],[Entradas]]</f>
        <v>26.42</v>
      </c>
      <c r="AB1297" s="54">
        <f>STOCK[[#This Row],[Stock Actual]]*STOCK[[#This Row],[Costo total]]</f>
        <v>13.21</v>
      </c>
    </row>
    <row r="1298" s="54" customFormat="1" ht="50" customHeight="1" spans="1:28">
      <c r="A1298" s="54" t="s">
        <v>2679</v>
      </c>
      <c r="B1298" s="66"/>
      <c r="C1298" s="54" t="s">
        <v>32</v>
      </c>
      <c r="D1298" s="54" t="s">
        <v>1751</v>
      </c>
      <c r="E1298" s="68" t="s">
        <v>2676</v>
      </c>
      <c r="F1298" s="54" t="s">
        <v>42</v>
      </c>
      <c r="H1298" s="54">
        <f>STOCK[[#This Row],[Precio Final]]</f>
        <v>28</v>
      </c>
      <c r="I1298" s="54">
        <f>STOCK[[#This Row],[Precio Venta Ideal (x1.5)]]</f>
        <v>19.8</v>
      </c>
      <c r="J1298" s="72">
        <v>2</v>
      </c>
      <c r="K1298" s="72">
        <f>SUMIFS(VENTAS[Cantidad],VENTAS[Código del producto Vendido],STOCK[[#This Row],[Code]])</f>
        <v>2</v>
      </c>
      <c r="L1298" s="72">
        <f>STOCK[[#This Row],[Entradas]]-STOCK[[#This Row],[Salidas]]</f>
        <v>0</v>
      </c>
      <c r="M1298" s="54">
        <f>STOCK[[#This Row],[Precio Final]]*10%</f>
        <v>2.8</v>
      </c>
      <c r="N1298" s="54">
        <v>0</v>
      </c>
      <c r="O1298" s="54">
        <v>0</v>
      </c>
      <c r="P1298" s="54">
        <v>8.43</v>
      </c>
      <c r="Q1298" s="72">
        <v>0</v>
      </c>
      <c r="R1298" s="54">
        <v>0</v>
      </c>
      <c r="S1298" s="54">
        <v>1.97</v>
      </c>
      <c r="T1298" s="53">
        <f>STOCK[[#This Row],[Costo Unitario (USD)]]+STOCK[[#This Row],[Costo Envío (USD)]]+STOCK[[#This Row],[Comisión 10%]]</f>
        <v>13.2</v>
      </c>
      <c r="U1298" s="54">
        <f>STOCK[[#This Row],[Costo total]]*1.5</f>
        <v>19.8</v>
      </c>
      <c r="V1298" s="54">
        <v>28</v>
      </c>
      <c r="W1298" s="54">
        <f>STOCK[[#This Row],[Precio Final]]-STOCK[[#This Row],[Costo total]]</f>
        <v>14.8</v>
      </c>
      <c r="X1298" s="54">
        <f>STOCK[[#This Row],[Ganancia Unitaria]]*STOCK[[#This Row],[Salidas]]</f>
        <v>29.6</v>
      </c>
      <c r="AA1298" s="54">
        <f>STOCK[[#This Row],[Costo total]]*STOCK[[#This Row],[Entradas]]</f>
        <v>26.4</v>
      </c>
      <c r="AB1298" s="54">
        <f>STOCK[[#This Row],[Stock Actual]]*STOCK[[#This Row],[Costo total]]</f>
        <v>0</v>
      </c>
    </row>
    <row r="1299" s="53" customFormat="1" ht="50" customHeight="1" spans="1:28">
      <c r="A1299" s="53" t="s">
        <v>2680</v>
      </c>
      <c r="B1299" s="66"/>
      <c r="C1299" s="53" t="s">
        <v>32</v>
      </c>
      <c r="D1299" s="53" t="s">
        <v>1190</v>
      </c>
      <c r="E1299" s="67" t="s">
        <v>2681</v>
      </c>
      <c r="F1299" s="53" t="s">
        <v>62</v>
      </c>
      <c r="H1299" s="53">
        <f>STOCK[[#This Row],[Precio Final]]</f>
        <v>20</v>
      </c>
      <c r="I1299" s="53">
        <f>STOCK[[#This Row],[Precio Venta Ideal (x1.5)]]</f>
        <v>22.725</v>
      </c>
      <c r="J1299" s="71">
        <v>1</v>
      </c>
      <c r="K1299" s="71">
        <f>SUMIFS(VENTAS[Cantidad],VENTAS[Código del producto Vendido],STOCK[[#This Row],[Code]])</f>
        <v>1</v>
      </c>
      <c r="L1299" s="71">
        <f>STOCK[[#This Row],[Entradas]]-STOCK[[#This Row],[Salidas]]</f>
        <v>0</v>
      </c>
      <c r="M1299" s="53">
        <f>STOCK[[#This Row],[Precio Final]]*10%</f>
        <v>2</v>
      </c>
      <c r="N1299" s="53">
        <v>0</v>
      </c>
      <c r="O1299" s="53">
        <v>0</v>
      </c>
      <c r="P1299" s="53">
        <v>11.18</v>
      </c>
      <c r="Q1299" s="71">
        <v>0</v>
      </c>
      <c r="R1299" s="53">
        <v>0</v>
      </c>
      <c r="S1299" s="54">
        <v>1.97</v>
      </c>
      <c r="T1299" s="53">
        <f>STOCK[[#This Row],[Costo Unitario (USD)]]+STOCK[[#This Row],[Costo Envío (USD)]]+STOCK[[#This Row],[Comisión 10%]]</f>
        <v>15.15</v>
      </c>
      <c r="U1299" s="53">
        <f>STOCK[[#This Row],[Costo total]]*1.5</f>
        <v>22.725</v>
      </c>
      <c r="V1299" s="53">
        <v>20</v>
      </c>
      <c r="W1299" s="53">
        <f>STOCK[[#This Row],[Precio Final]]-STOCK[[#This Row],[Costo total]]</f>
        <v>4.85</v>
      </c>
      <c r="X1299" s="53">
        <f>STOCK[[#This Row],[Ganancia Unitaria]]*STOCK[[#This Row],[Salidas]]</f>
        <v>4.85</v>
      </c>
      <c r="AA1299" s="54">
        <f>STOCK[[#This Row],[Costo total]]*STOCK[[#This Row],[Entradas]]</f>
        <v>15.15</v>
      </c>
      <c r="AB1299" s="54">
        <f>STOCK[[#This Row],[Stock Actual]]*STOCK[[#This Row],[Costo total]]</f>
        <v>0</v>
      </c>
    </row>
    <row r="1300" s="54" customFormat="1" ht="50" customHeight="1" spans="1:28">
      <c r="A1300" s="54" t="s">
        <v>2682</v>
      </c>
      <c r="B1300" s="66"/>
      <c r="C1300" s="54" t="s">
        <v>32</v>
      </c>
      <c r="D1300" s="54" t="s">
        <v>1190</v>
      </c>
      <c r="E1300" s="68" t="s">
        <v>2683</v>
      </c>
      <c r="F1300" s="54" t="s">
        <v>40</v>
      </c>
      <c r="H1300" s="54">
        <f>STOCK[[#This Row],[Precio Final]]</f>
        <v>8</v>
      </c>
      <c r="I1300" s="54">
        <f>STOCK[[#This Row],[Precio Venta Ideal (x1.5)]]</f>
        <v>8.07</v>
      </c>
      <c r="J1300" s="72">
        <v>1</v>
      </c>
      <c r="K1300" s="72">
        <f>SUMIFS(VENTAS[Cantidad],VENTAS[Código del producto Vendido],STOCK[[#This Row],[Code]])</f>
        <v>1</v>
      </c>
      <c r="L1300" s="72">
        <f>STOCK[[#This Row],[Entradas]]-STOCK[[#This Row],[Salidas]]</f>
        <v>0</v>
      </c>
      <c r="M1300" s="54">
        <f>STOCK[[#This Row],[Precio Final]]*10%</f>
        <v>0.8</v>
      </c>
      <c r="N1300" s="54">
        <v>0</v>
      </c>
      <c r="O1300" s="54">
        <v>0</v>
      </c>
      <c r="P1300" s="54">
        <v>2.61</v>
      </c>
      <c r="Q1300" s="72">
        <v>0</v>
      </c>
      <c r="R1300" s="54">
        <v>0</v>
      </c>
      <c r="S1300" s="54">
        <v>1.97</v>
      </c>
      <c r="T1300" s="53">
        <f>STOCK[[#This Row],[Costo Unitario (USD)]]+STOCK[[#This Row],[Costo Envío (USD)]]+STOCK[[#This Row],[Comisión 10%]]</f>
        <v>5.38</v>
      </c>
      <c r="U1300" s="54">
        <f>STOCK[[#This Row],[Costo total]]*1.5</f>
        <v>8.07</v>
      </c>
      <c r="V1300" s="54">
        <v>8</v>
      </c>
      <c r="W1300" s="54">
        <f>STOCK[[#This Row],[Precio Final]]-STOCK[[#This Row],[Costo total]]</f>
        <v>2.62</v>
      </c>
      <c r="X1300" s="54">
        <f>STOCK[[#This Row],[Ganancia Unitaria]]*STOCK[[#This Row],[Salidas]]</f>
        <v>2.62</v>
      </c>
      <c r="AA1300" s="54">
        <f>STOCK[[#This Row],[Costo total]]*STOCK[[#This Row],[Entradas]]</f>
        <v>5.38</v>
      </c>
      <c r="AB1300" s="54">
        <f>STOCK[[#This Row],[Stock Actual]]*STOCK[[#This Row],[Costo total]]</f>
        <v>0</v>
      </c>
    </row>
    <row r="1301" s="53" customFormat="1" ht="50" customHeight="1" spans="1:28">
      <c r="A1301" s="53" t="s">
        <v>2684</v>
      </c>
      <c r="B1301" s="66"/>
      <c r="C1301" s="53" t="s">
        <v>32</v>
      </c>
      <c r="D1301" s="53" t="s">
        <v>1190</v>
      </c>
      <c r="E1301" s="67" t="s">
        <v>2685</v>
      </c>
      <c r="F1301" s="53" t="s">
        <v>40</v>
      </c>
      <c r="H1301" s="53">
        <f>STOCK[[#This Row],[Precio Final]]</f>
        <v>5</v>
      </c>
      <c r="I1301" s="53">
        <f>STOCK[[#This Row],[Precio Venta Ideal (x1.5)]]</f>
        <v>4.26</v>
      </c>
      <c r="J1301" s="71">
        <v>1</v>
      </c>
      <c r="K1301" s="71">
        <f>SUMIFS(VENTAS[Cantidad],VENTAS[Código del producto Vendido],STOCK[[#This Row],[Code]])</f>
        <v>0</v>
      </c>
      <c r="L1301" s="71">
        <f>STOCK[[#This Row],[Entradas]]-STOCK[[#This Row],[Salidas]]</f>
        <v>1</v>
      </c>
      <c r="M1301" s="53">
        <f>STOCK[[#This Row],[Precio Final]]*10%</f>
        <v>0.5</v>
      </c>
      <c r="N1301" s="53">
        <v>0</v>
      </c>
      <c r="O1301" s="53">
        <v>0</v>
      </c>
      <c r="P1301" s="53">
        <v>1.84</v>
      </c>
      <c r="Q1301" s="71">
        <v>0</v>
      </c>
      <c r="R1301" s="53">
        <v>0</v>
      </c>
      <c r="S1301" s="54">
        <v>0.5</v>
      </c>
      <c r="T1301" s="53">
        <f>STOCK[[#This Row],[Costo Unitario (USD)]]+STOCK[[#This Row],[Costo Envío (USD)]]+STOCK[[#This Row],[Comisión 10%]]</f>
        <v>2.84</v>
      </c>
      <c r="U1301" s="53">
        <f>STOCK[[#This Row],[Costo total]]*1.5</f>
        <v>4.26</v>
      </c>
      <c r="V1301" s="53">
        <v>5</v>
      </c>
      <c r="W1301" s="53">
        <f>STOCK[[#This Row],[Precio Final]]-STOCK[[#This Row],[Costo total]]</f>
        <v>2.16</v>
      </c>
      <c r="X1301" s="53">
        <f>STOCK[[#This Row],[Ganancia Unitaria]]*STOCK[[#This Row],[Salidas]]</f>
        <v>0</v>
      </c>
      <c r="AA1301" s="54">
        <f>STOCK[[#This Row],[Costo total]]*STOCK[[#This Row],[Entradas]]</f>
        <v>2.84</v>
      </c>
      <c r="AB1301" s="54">
        <f>STOCK[[#This Row],[Stock Actual]]*STOCK[[#This Row],[Costo total]]</f>
        <v>2.84</v>
      </c>
    </row>
    <row r="1302" s="54" customFormat="1" ht="50" customHeight="1" spans="1:28">
      <c r="A1302" s="54" t="s">
        <v>2686</v>
      </c>
      <c r="B1302" s="66"/>
      <c r="C1302" s="54" t="s">
        <v>32</v>
      </c>
      <c r="D1302" s="54" t="s">
        <v>1190</v>
      </c>
      <c r="E1302" s="68" t="s">
        <v>2687</v>
      </c>
      <c r="F1302" s="54" t="s">
        <v>40</v>
      </c>
      <c r="H1302" s="54">
        <f>STOCK[[#This Row],[Precio Final]]</f>
        <v>22</v>
      </c>
      <c r="I1302" s="54">
        <f>STOCK[[#This Row],[Precio Venta Ideal (x1.5)]]</f>
        <v>22.335</v>
      </c>
      <c r="J1302" s="72">
        <v>1</v>
      </c>
      <c r="K1302" s="72">
        <f>SUMIFS(VENTAS[Cantidad],VENTAS[Código del producto Vendido],STOCK[[#This Row],[Code]])</f>
        <v>1</v>
      </c>
      <c r="L1302" s="72">
        <f>STOCK[[#This Row],[Entradas]]-STOCK[[#This Row],[Salidas]]</f>
        <v>0</v>
      </c>
      <c r="M1302" s="54">
        <f>STOCK[[#This Row],[Precio Final]]*10%</f>
        <v>2.2</v>
      </c>
      <c r="N1302" s="54">
        <v>0</v>
      </c>
      <c r="O1302" s="54">
        <v>0</v>
      </c>
      <c r="P1302" s="54">
        <v>10.72</v>
      </c>
      <c r="Q1302" s="72">
        <v>0</v>
      </c>
      <c r="R1302" s="54">
        <v>0</v>
      </c>
      <c r="S1302" s="54">
        <v>1.97</v>
      </c>
      <c r="T1302" s="53">
        <f>STOCK[[#This Row],[Costo Unitario (USD)]]+STOCK[[#This Row],[Costo Envío (USD)]]+STOCK[[#This Row],[Comisión 10%]]</f>
        <v>14.89</v>
      </c>
      <c r="U1302" s="54">
        <f>STOCK[[#This Row],[Costo total]]*1.5</f>
        <v>22.335</v>
      </c>
      <c r="V1302" s="54">
        <v>22</v>
      </c>
      <c r="W1302" s="54">
        <f>STOCK[[#This Row],[Precio Final]]-STOCK[[#This Row],[Costo total]]</f>
        <v>7.11</v>
      </c>
      <c r="X1302" s="54">
        <f>STOCK[[#This Row],[Ganancia Unitaria]]*STOCK[[#This Row],[Salidas]]</f>
        <v>7.11</v>
      </c>
      <c r="AA1302" s="54">
        <f>STOCK[[#This Row],[Costo total]]*STOCK[[#This Row],[Entradas]]</f>
        <v>14.89</v>
      </c>
      <c r="AB1302" s="54">
        <f>STOCK[[#This Row],[Stock Actual]]*STOCK[[#This Row],[Costo total]]</f>
        <v>0</v>
      </c>
    </row>
    <row r="1303" s="53" customFormat="1" ht="50" customHeight="1" spans="1:28">
      <c r="A1303" s="53" t="s">
        <v>2688</v>
      </c>
      <c r="B1303" s="66"/>
      <c r="C1303" s="53" t="s">
        <v>32</v>
      </c>
      <c r="D1303" s="53" t="s">
        <v>1212</v>
      </c>
      <c r="E1303" s="67" t="s">
        <v>2689</v>
      </c>
      <c r="F1303" s="53" t="s">
        <v>40</v>
      </c>
      <c r="H1303" s="53">
        <f>STOCK[[#This Row],[Precio Final]]</f>
        <v>20</v>
      </c>
      <c r="I1303" s="53">
        <f>STOCK[[#This Row],[Precio Venta Ideal (x1.5)]]</f>
        <v>18.165</v>
      </c>
      <c r="J1303" s="71">
        <v>1</v>
      </c>
      <c r="K1303" s="71">
        <f>SUMIFS(VENTAS[Cantidad],VENTAS[Código del producto Vendido],STOCK[[#This Row],[Code]])</f>
        <v>0</v>
      </c>
      <c r="L1303" s="71">
        <f>STOCK[[#This Row],[Entradas]]-STOCK[[#This Row],[Salidas]]</f>
        <v>1</v>
      </c>
      <c r="M1303" s="53">
        <f>STOCK[[#This Row],[Precio Final]]*10%</f>
        <v>2</v>
      </c>
      <c r="N1303" s="53">
        <v>0</v>
      </c>
      <c r="O1303" s="53">
        <v>0</v>
      </c>
      <c r="P1303" s="53">
        <v>8.14</v>
      </c>
      <c r="Q1303" s="71">
        <v>0</v>
      </c>
      <c r="R1303" s="53">
        <v>0</v>
      </c>
      <c r="S1303" s="54">
        <v>1.97</v>
      </c>
      <c r="T1303" s="53">
        <f>STOCK[[#This Row],[Costo Unitario (USD)]]+STOCK[[#This Row],[Costo Envío (USD)]]+STOCK[[#This Row],[Comisión 10%]]</f>
        <v>12.11</v>
      </c>
      <c r="U1303" s="53">
        <f>STOCK[[#This Row],[Costo total]]*1.5</f>
        <v>18.165</v>
      </c>
      <c r="V1303" s="53">
        <v>20</v>
      </c>
      <c r="W1303" s="53">
        <f>STOCK[[#This Row],[Precio Final]]-STOCK[[#This Row],[Costo total]]</f>
        <v>7.89</v>
      </c>
      <c r="X1303" s="53">
        <f>STOCK[[#This Row],[Ganancia Unitaria]]*STOCK[[#This Row],[Salidas]]</f>
        <v>0</v>
      </c>
      <c r="AA1303" s="54">
        <f>STOCK[[#This Row],[Costo total]]*STOCK[[#This Row],[Entradas]]</f>
        <v>12.11</v>
      </c>
      <c r="AB1303" s="54">
        <f>STOCK[[#This Row],[Stock Actual]]*STOCK[[#This Row],[Costo total]]</f>
        <v>12.11</v>
      </c>
    </row>
    <row r="1304" s="54" customFormat="1" ht="50" customHeight="1" spans="1:28">
      <c r="A1304" s="54" t="s">
        <v>2690</v>
      </c>
      <c r="B1304" s="66"/>
      <c r="C1304" s="54" t="s">
        <v>32</v>
      </c>
      <c r="D1304" s="54" t="s">
        <v>1212</v>
      </c>
      <c r="E1304" s="68" t="s">
        <v>2691</v>
      </c>
      <c r="F1304" s="54" t="s">
        <v>62</v>
      </c>
      <c r="H1304" s="54">
        <f>STOCK[[#This Row],[Precio Final]]</f>
        <v>18</v>
      </c>
      <c r="I1304" s="54">
        <f>STOCK[[#This Row],[Precio Venta Ideal (x1.5)]]</f>
        <v>17.88</v>
      </c>
      <c r="J1304" s="72">
        <v>1</v>
      </c>
      <c r="K1304" s="72">
        <f>SUMIFS(VENTAS[Cantidad],VENTAS[Código del producto Vendido],STOCK[[#This Row],[Code]])</f>
        <v>1</v>
      </c>
      <c r="L1304" s="72">
        <f>STOCK[[#This Row],[Entradas]]-STOCK[[#This Row],[Salidas]]</f>
        <v>0</v>
      </c>
      <c r="M1304" s="54">
        <f>STOCK[[#This Row],[Precio Final]]*10%</f>
        <v>1.8</v>
      </c>
      <c r="N1304" s="54">
        <v>0</v>
      </c>
      <c r="O1304" s="54">
        <v>0</v>
      </c>
      <c r="P1304" s="54">
        <v>8.15</v>
      </c>
      <c r="Q1304" s="72">
        <v>0</v>
      </c>
      <c r="R1304" s="54">
        <v>0</v>
      </c>
      <c r="S1304" s="54">
        <v>1.97</v>
      </c>
      <c r="T1304" s="53">
        <f>STOCK[[#This Row],[Costo Unitario (USD)]]+STOCK[[#This Row],[Costo Envío (USD)]]+STOCK[[#This Row],[Comisión 10%]]</f>
        <v>11.92</v>
      </c>
      <c r="U1304" s="54">
        <f>STOCK[[#This Row],[Costo total]]*1.5</f>
        <v>17.88</v>
      </c>
      <c r="V1304" s="54">
        <v>18</v>
      </c>
      <c r="W1304" s="54">
        <f>STOCK[[#This Row],[Precio Final]]-STOCK[[#This Row],[Costo total]]</f>
        <v>6.08</v>
      </c>
      <c r="X1304" s="54">
        <f>STOCK[[#This Row],[Ganancia Unitaria]]*STOCK[[#This Row],[Salidas]]</f>
        <v>6.08</v>
      </c>
      <c r="AA1304" s="54">
        <f>STOCK[[#This Row],[Costo total]]*STOCK[[#This Row],[Entradas]]</f>
        <v>11.92</v>
      </c>
      <c r="AB1304" s="54">
        <f>STOCK[[#This Row],[Stock Actual]]*STOCK[[#This Row],[Costo total]]</f>
        <v>0</v>
      </c>
    </row>
    <row r="1305" s="53" customFormat="1" ht="50" customHeight="1" spans="1:28">
      <c r="A1305" s="53" t="s">
        <v>2692</v>
      </c>
      <c r="B1305" s="66"/>
      <c r="C1305" s="53" t="s">
        <v>32</v>
      </c>
      <c r="D1305" s="53" t="s">
        <v>2127</v>
      </c>
      <c r="E1305" s="67" t="s">
        <v>2693</v>
      </c>
      <c r="F1305" s="53" t="s">
        <v>62</v>
      </c>
      <c r="H1305" s="53">
        <f>STOCK[[#This Row],[Precio Final]]</f>
        <v>25</v>
      </c>
      <c r="I1305" s="53">
        <f>STOCK[[#This Row],[Precio Venta Ideal (x1.5)]]</f>
        <v>22.17</v>
      </c>
      <c r="J1305" s="71">
        <v>1</v>
      </c>
      <c r="K1305" s="71">
        <f>SUMIFS(VENTAS[Cantidad],VENTAS[Código del producto Vendido],STOCK[[#This Row],[Code]])</f>
        <v>1</v>
      </c>
      <c r="L1305" s="71">
        <f>STOCK[[#This Row],[Entradas]]-STOCK[[#This Row],[Salidas]]</f>
        <v>0</v>
      </c>
      <c r="M1305" s="53">
        <f>STOCK[[#This Row],[Precio Final]]*10%</f>
        <v>2.5</v>
      </c>
      <c r="N1305" s="53">
        <v>0</v>
      </c>
      <c r="O1305" s="53">
        <v>0</v>
      </c>
      <c r="P1305" s="53">
        <v>10.31</v>
      </c>
      <c r="Q1305" s="71">
        <v>0</v>
      </c>
      <c r="R1305" s="53">
        <v>0</v>
      </c>
      <c r="S1305" s="54">
        <v>1.97</v>
      </c>
      <c r="T1305" s="53">
        <f>STOCK[[#This Row],[Costo Unitario (USD)]]+STOCK[[#This Row],[Costo Envío (USD)]]+STOCK[[#This Row],[Comisión 10%]]</f>
        <v>14.78</v>
      </c>
      <c r="U1305" s="53">
        <f>STOCK[[#This Row],[Costo total]]*1.5</f>
        <v>22.17</v>
      </c>
      <c r="V1305" s="53">
        <v>25</v>
      </c>
      <c r="W1305" s="53">
        <f>STOCK[[#This Row],[Precio Final]]-STOCK[[#This Row],[Costo total]]</f>
        <v>10.22</v>
      </c>
      <c r="X1305" s="53">
        <f>STOCK[[#This Row],[Ganancia Unitaria]]*STOCK[[#This Row],[Salidas]]</f>
        <v>10.22</v>
      </c>
      <c r="AA1305" s="54">
        <f>STOCK[[#This Row],[Costo total]]*STOCK[[#This Row],[Entradas]]</f>
        <v>14.78</v>
      </c>
      <c r="AB1305" s="54">
        <f>STOCK[[#This Row],[Stock Actual]]*STOCK[[#This Row],[Costo total]]</f>
        <v>0</v>
      </c>
    </row>
    <row r="1306" s="54" customFormat="1" ht="50" customHeight="1" spans="1:28">
      <c r="A1306" s="54" t="s">
        <v>2694</v>
      </c>
      <c r="B1306" s="66"/>
      <c r="C1306" s="54" t="s">
        <v>32</v>
      </c>
      <c r="D1306" s="54" t="s">
        <v>392</v>
      </c>
      <c r="E1306" s="68" t="s">
        <v>2695</v>
      </c>
      <c r="H1306" s="54">
        <f>STOCK[[#This Row],[Precio Final]]</f>
        <v>40</v>
      </c>
      <c r="I1306" s="54">
        <f>STOCK[[#This Row],[Precio Venta Ideal (x1.5)]]</f>
        <v>30.555</v>
      </c>
      <c r="J1306" s="72">
        <v>1</v>
      </c>
      <c r="K1306" s="72">
        <f>SUMIFS(VENTAS[Cantidad],VENTAS[Código del producto Vendido],STOCK[[#This Row],[Code]])</f>
        <v>1</v>
      </c>
      <c r="L1306" s="72">
        <f>STOCK[[#This Row],[Entradas]]-STOCK[[#This Row],[Salidas]]</f>
        <v>0</v>
      </c>
      <c r="M1306" s="54">
        <f>STOCK[[#This Row],[Precio Final]]*10%</f>
        <v>4</v>
      </c>
      <c r="N1306" s="53">
        <v>0</v>
      </c>
      <c r="O1306" s="53">
        <v>0</v>
      </c>
      <c r="P1306" s="54">
        <v>14.4</v>
      </c>
      <c r="Q1306" s="72">
        <v>0</v>
      </c>
      <c r="R1306" s="54">
        <v>0</v>
      </c>
      <c r="S1306" s="54">
        <v>1.97</v>
      </c>
      <c r="T1306" s="53">
        <f>STOCK[[#This Row],[Costo Unitario (USD)]]+STOCK[[#This Row],[Costo Envío (USD)]]+STOCK[[#This Row],[Comisión 10%]]</f>
        <v>20.37</v>
      </c>
      <c r="U1306" s="54">
        <f>STOCK[[#This Row],[Costo total]]*1.5</f>
        <v>30.555</v>
      </c>
      <c r="V1306" s="54">
        <v>40</v>
      </c>
      <c r="W1306" s="54">
        <f>STOCK[[#This Row],[Precio Final]]-STOCK[[#This Row],[Costo total]]</f>
        <v>19.63</v>
      </c>
      <c r="X1306" s="54">
        <f>STOCK[[#This Row],[Ganancia Unitaria]]*STOCK[[#This Row],[Salidas]]</f>
        <v>19.63</v>
      </c>
      <c r="AA1306" s="54">
        <f>STOCK[[#This Row],[Costo total]]*STOCK[[#This Row],[Entradas]]</f>
        <v>20.37</v>
      </c>
      <c r="AB1306" s="54">
        <f>STOCK[[#This Row],[Stock Actual]]*STOCK[[#This Row],[Costo total]]</f>
        <v>0</v>
      </c>
    </row>
    <row r="1307" s="53" customFormat="1" ht="50" customHeight="1" spans="1:28">
      <c r="A1307" s="53" t="s">
        <v>2696</v>
      </c>
      <c r="B1307" s="66"/>
      <c r="C1307" s="53" t="s">
        <v>32</v>
      </c>
      <c r="D1307" s="53" t="s">
        <v>392</v>
      </c>
      <c r="E1307" s="67" t="s">
        <v>2697</v>
      </c>
      <c r="H1307" s="53">
        <f>STOCK[[#This Row],[Precio Final]]</f>
        <v>40</v>
      </c>
      <c r="I1307" s="53">
        <f>STOCK[[#This Row],[Precio Venta Ideal (x1.5)]]</f>
        <v>30.555</v>
      </c>
      <c r="J1307" s="71">
        <v>1</v>
      </c>
      <c r="K1307" s="71">
        <f>SUMIFS(VENTAS[Cantidad],VENTAS[Código del producto Vendido],STOCK[[#This Row],[Code]])</f>
        <v>1</v>
      </c>
      <c r="L1307" s="71">
        <f>STOCK[[#This Row],[Entradas]]-STOCK[[#This Row],[Salidas]]</f>
        <v>0</v>
      </c>
      <c r="M1307" s="53">
        <f>STOCK[[#This Row],[Precio Final]]*10%</f>
        <v>4</v>
      </c>
      <c r="N1307" s="53">
        <v>0</v>
      </c>
      <c r="O1307" s="53">
        <v>0</v>
      </c>
      <c r="P1307" s="54">
        <v>14.4</v>
      </c>
      <c r="Q1307" s="71">
        <v>0</v>
      </c>
      <c r="R1307" s="53">
        <v>0</v>
      </c>
      <c r="S1307" s="54">
        <v>1.97</v>
      </c>
      <c r="T1307" s="53">
        <f>STOCK[[#This Row],[Costo Unitario (USD)]]+STOCK[[#This Row],[Costo Envío (USD)]]+STOCK[[#This Row],[Comisión 10%]]</f>
        <v>20.37</v>
      </c>
      <c r="U1307" s="53">
        <f>STOCK[[#This Row],[Costo total]]*1.5</f>
        <v>30.555</v>
      </c>
      <c r="V1307" s="53">
        <v>40</v>
      </c>
      <c r="W1307" s="53">
        <f>STOCK[[#This Row],[Precio Final]]-STOCK[[#This Row],[Costo total]]</f>
        <v>19.63</v>
      </c>
      <c r="X1307" s="53">
        <f>STOCK[[#This Row],[Ganancia Unitaria]]*STOCK[[#This Row],[Salidas]]</f>
        <v>19.63</v>
      </c>
      <c r="AA1307" s="54">
        <f>STOCK[[#This Row],[Costo total]]*STOCK[[#This Row],[Entradas]]</f>
        <v>20.37</v>
      </c>
      <c r="AB1307" s="54">
        <f>STOCK[[#This Row],[Stock Actual]]*STOCK[[#This Row],[Costo total]]</f>
        <v>0</v>
      </c>
    </row>
    <row r="1308" s="54" customFormat="1" ht="50" customHeight="1" spans="1:28">
      <c r="A1308" s="54" t="s">
        <v>2698</v>
      </c>
      <c r="B1308" s="66"/>
      <c r="C1308" s="54" t="s">
        <v>32</v>
      </c>
      <c r="D1308" s="53" t="s">
        <v>392</v>
      </c>
      <c r="E1308" s="67" t="s">
        <v>2699</v>
      </c>
      <c r="F1308" s="54" t="s">
        <v>2700</v>
      </c>
      <c r="H1308" s="54">
        <f>STOCK[[#This Row],[Precio Final]]</f>
        <v>40</v>
      </c>
      <c r="I1308" s="54">
        <f>STOCK[[#This Row],[Precio Venta Ideal (x1.5)]]</f>
        <v>30.555</v>
      </c>
      <c r="J1308" s="72">
        <v>1</v>
      </c>
      <c r="K1308" s="72">
        <f>SUMIFS(VENTAS[Cantidad],VENTAS[Código del producto Vendido],STOCK[[#This Row],[Code]])</f>
        <v>1</v>
      </c>
      <c r="L1308" s="72">
        <f>STOCK[[#This Row],[Entradas]]-STOCK[[#This Row],[Salidas]]</f>
        <v>0</v>
      </c>
      <c r="M1308" s="54">
        <f>STOCK[[#This Row],[Precio Final]]*10%</f>
        <v>4</v>
      </c>
      <c r="N1308" s="53">
        <v>0</v>
      </c>
      <c r="O1308" s="53">
        <v>0</v>
      </c>
      <c r="P1308" s="54">
        <v>14.4</v>
      </c>
      <c r="Q1308" s="72">
        <v>0</v>
      </c>
      <c r="R1308" s="54">
        <v>0</v>
      </c>
      <c r="S1308" s="54">
        <v>1.97</v>
      </c>
      <c r="T1308" s="53">
        <f>STOCK[[#This Row],[Costo Unitario (USD)]]+STOCK[[#This Row],[Costo Envío (USD)]]+STOCK[[#This Row],[Comisión 10%]]</f>
        <v>20.37</v>
      </c>
      <c r="U1308" s="54">
        <f>STOCK[[#This Row],[Costo total]]*1.5</f>
        <v>30.555</v>
      </c>
      <c r="V1308" s="54">
        <v>40</v>
      </c>
      <c r="W1308" s="54">
        <f>STOCK[[#This Row],[Precio Final]]-STOCK[[#This Row],[Costo total]]</f>
        <v>19.63</v>
      </c>
      <c r="X1308" s="54">
        <f>STOCK[[#This Row],[Ganancia Unitaria]]*STOCK[[#This Row],[Salidas]]</f>
        <v>19.63</v>
      </c>
      <c r="AA1308" s="54">
        <f>STOCK[[#This Row],[Costo total]]*STOCK[[#This Row],[Entradas]]</f>
        <v>20.37</v>
      </c>
      <c r="AB1308" s="54">
        <f>STOCK[[#This Row],[Stock Actual]]*STOCK[[#This Row],[Costo total]]</f>
        <v>0</v>
      </c>
    </row>
    <row r="1309" s="53" customFormat="1" ht="50" customHeight="1" spans="1:28">
      <c r="A1309" s="53" t="s">
        <v>2701</v>
      </c>
      <c r="C1309" s="53" t="s">
        <v>32</v>
      </c>
      <c r="D1309" s="53" t="s">
        <v>392</v>
      </c>
      <c r="E1309" s="67" t="s">
        <v>2702</v>
      </c>
      <c r="F1309" s="53" t="s">
        <v>2700</v>
      </c>
      <c r="H1309" s="53">
        <f>STOCK[[#This Row],[Precio Final]]</f>
        <v>40</v>
      </c>
      <c r="I1309" s="53">
        <f>STOCK[[#This Row],[Precio Venta Ideal (x1.5)]]</f>
        <v>30.555</v>
      </c>
      <c r="J1309" s="71">
        <v>1</v>
      </c>
      <c r="K1309" s="71">
        <f>SUMIFS(VENTAS[Cantidad],VENTAS[Código del producto Vendido],STOCK[[#This Row],[Code]])</f>
        <v>0</v>
      </c>
      <c r="L1309" s="71">
        <f>STOCK[[#This Row],[Entradas]]-STOCK[[#This Row],[Salidas]]</f>
        <v>1</v>
      </c>
      <c r="M1309" s="53">
        <f>STOCK[[#This Row],[Precio Final]]*10%</f>
        <v>4</v>
      </c>
      <c r="N1309" s="53">
        <v>0</v>
      </c>
      <c r="O1309" s="53">
        <v>0</v>
      </c>
      <c r="P1309" s="54">
        <v>14.4</v>
      </c>
      <c r="Q1309" s="71">
        <v>0</v>
      </c>
      <c r="R1309" s="53">
        <v>0</v>
      </c>
      <c r="S1309" s="54">
        <v>1.97</v>
      </c>
      <c r="T1309" s="53">
        <f>STOCK[[#This Row],[Costo Unitario (USD)]]+STOCK[[#This Row],[Costo Envío (USD)]]+STOCK[[#This Row],[Comisión 10%]]</f>
        <v>20.37</v>
      </c>
      <c r="U1309" s="54">
        <f>STOCK[[#This Row],[Costo total]]*1.5</f>
        <v>30.555</v>
      </c>
      <c r="V1309" s="53">
        <v>40</v>
      </c>
      <c r="W1309" s="53">
        <f>STOCK[[#This Row],[Precio Final]]-STOCK[[#This Row],[Costo total]]</f>
        <v>19.63</v>
      </c>
      <c r="X1309" s="53">
        <f>STOCK[[#This Row],[Ganancia Unitaria]]*STOCK[[#This Row],[Salidas]]</f>
        <v>0</v>
      </c>
      <c r="AA1309" s="54">
        <f>STOCK[[#This Row],[Costo total]]*STOCK[[#This Row],[Entradas]]</f>
        <v>20.37</v>
      </c>
      <c r="AB1309" s="54">
        <f>STOCK[[#This Row],[Stock Actual]]*STOCK[[#This Row],[Costo total]]</f>
        <v>20.37</v>
      </c>
    </row>
    <row r="1310" s="53" customFormat="1" ht="50" customHeight="1" spans="1:29">
      <c r="A1310" s="53" t="s">
        <v>2703</v>
      </c>
      <c r="C1310" s="53" t="s">
        <v>32</v>
      </c>
      <c r="D1310" s="53" t="s">
        <v>392</v>
      </c>
      <c r="E1310" s="67" t="s">
        <v>2704</v>
      </c>
      <c r="F1310" s="77" t="s">
        <v>2705</v>
      </c>
      <c r="G1310" s="77"/>
      <c r="H1310" s="77">
        <f>STOCK[[#This Row],[Precio Final]]</f>
        <v>20</v>
      </c>
      <c r="I1310" s="77">
        <f>STOCK[[#This Row],[Precio Venta Ideal (x1.5)]]</f>
        <v>12</v>
      </c>
      <c r="J1310" s="80">
        <v>1</v>
      </c>
      <c r="K1310" s="80">
        <f>SUMIFS(VENTAS[Cantidad],VENTAS[Código del producto Vendido],STOCK[[#This Row],[Code]])</f>
        <v>1</v>
      </c>
      <c r="L1310" s="80">
        <f>STOCK[[#This Row],[Entradas]]-STOCK[[#This Row],[Salidas]]</f>
        <v>0</v>
      </c>
      <c r="M1310" s="77">
        <f>STOCK[[#This Row],[Precio Final]]*10%</f>
        <v>2</v>
      </c>
      <c r="N1310" s="53">
        <v>0</v>
      </c>
      <c r="O1310" s="53">
        <v>0</v>
      </c>
      <c r="P1310" s="54">
        <v>7.25</v>
      </c>
      <c r="Q1310" s="80">
        <v>0</v>
      </c>
      <c r="R1310" s="77">
        <v>0</v>
      </c>
      <c r="S1310" s="54">
        <v>1.97</v>
      </c>
      <c r="T1310" s="77">
        <f>STOCK[[#This Row],[Costo Unitario (USD)]]+STOCK[[#This Row],[Costo Envío (USD)]]+STOCK[[#This Row],[Comisión 10%]]</f>
        <v>11.22</v>
      </c>
      <c r="U1310" s="54">
        <f>ROUNDUP(T1310,0)</f>
        <v>12</v>
      </c>
      <c r="V1310" s="77">
        <v>20</v>
      </c>
      <c r="W1310" s="77">
        <f>STOCK[[#This Row],[Precio Final]]-STOCK[[#This Row],[Costo total]]</f>
        <v>8.78</v>
      </c>
      <c r="X1310" s="77">
        <f>STOCK[[#This Row],[Ganancia Unitaria]]*STOCK[[#This Row],[Salidas]]</f>
        <v>8.78</v>
      </c>
      <c r="Y1310" s="77"/>
      <c r="Z1310" s="77"/>
      <c r="AA1310" s="54">
        <f>STOCK[[#This Row],[Costo total]]*STOCK[[#This Row],[Entradas]]</f>
        <v>11.22</v>
      </c>
      <c r="AB1310" s="54">
        <f>STOCK[[#This Row],[Stock Actual]]*STOCK[[#This Row],[Costo total]]</f>
        <v>0</v>
      </c>
      <c r="AC1310" s="77"/>
    </row>
    <row r="1311" s="54" customFormat="1" ht="50" customHeight="1" spans="1:29">
      <c r="A1311" s="53" t="s">
        <v>2706</v>
      </c>
      <c r="B1311" s="53"/>
      <c r="C1311" s="53" t="s">
        <v>32</v>
      </c>
      <c r="D1311" s="53" t="s">
        <v>392</v>
      </c>
      <c r="E1311" s="67" t="s">
        <v>2707</v>
      </c>
      <c r="F1311" s="77" t="s">
        <v>2705</v>
      </c>
      <c r="G1311" s="77"/>
      <c r="H1311" s="77">
        <f>STOCK[[#This Row],[Precio Final]]</f>
        <v>22</v>
      </c>
      <c r="I1311" s="77">
        <f>STOCK[[#This Row],[Precio Venta Ideal (x1.5)]]</f>
        <v>17.13</v>
      </c>
      <c r="J1311" s="80">
        <v>1</v>
      </c>
      <c r="K1311" s="80">
        <f>SUMIFS(VENTAS[Cantidad],VENTAS[Código del producto Vendido],STOCK[[#This Row],[Code]])</f>
        <v>0</v>
      </c>
      <c r="L1311" s="80">
        <f>STOCK[[#This Row],[Entradas]]-STOCK[[#This Row],[Salidas]]</f>
        <v>1</v>
      </c>
      <c r="M1311" s="77">
        <f>STOCK[[#This Row],[Precio Final]]*10%</f>
        <v>2.2</v>
      </c>
      <c r="N1311" s="53">
        <v>0</v>
      </c>
      <c r="O1311" s="53">
        <v>0</v>
      </c>
      <c r="P1311" s="54">
        <v>7.25</v>
      </c>
      <c r="Q1311" s="80">
        <v>0</v>
      </c>
      <c r="R1311" s="77">
        <v>0</v>
      </c>
      <c r="S1311" s="54">
        <v>1.97</v>
      </c>
      <c r="T1311" s="77">
        <f>STOCK[[#This Row],[Costo Unitario (USD)]]+STOCK[[#This Row],[Costo Envío (USD)]]+STOCK[[#This Row],[Comisión 10%]]</f>
        <v>11.42</v>
      </c>
      <c r="U1311" s="54">
        <f>STOCK[[#This Row],[Costo total]]*1.5</f>
        <v>17.13</v>
      </c>
      <c r="V1311" s="77">
        <v>22</v>
      </c>
      <c r="W1311" s="77">
        <f>STOCK[[#This Row],[Precio Final]]-STOCK[[#This Row],[Costo total]]</f>
        <v>10.58</v>
      </c>
      <c r="X1311" s="77">
        <f>STOCK[[#This Row],[Ganancia Unitaria]]*STOCK[[#This Row],[Salidas]]</f>
        <v>0</v>
      </c>
      <c r="Y1311" s="77"/>
      <c r="Z1311" s="77"/>
      <c r="AA1311" s="54">
        <f>STOCK[[#This Row],[Costo total]]*STOCK[[#This Row],[Entradas]]</f>
        <v>11.42</v>
      </c>
      <c r="AB1311" s="54">
        <f>STOCK[[#This Row],[Stock Actual]]*STOCK[[#This Row],[Costo total]]</f>
        <v>11.42</v>
      </c>
      <c r="AC1311" s="77"/>
    </row>
    <row r="1312" s="53" customFormat="1" ht="50" customHeight="1" spans="1:29">
      <c r="A1312" s="53" t="s">
        <v>2708</v>
      </c>
      <c r="B1312" s="77"/>
      <c r="C1312" s="53" t="s">
        <v>32</v>
      </c>
      <c r="D1312" s="53" t="s">
        <v>392</v>
      </c>
      <c r="E1312" s="67" t="s">
        <v>2709</v>
      </c>
      <c r="F1312" s="77" t="s">
        <v>2710</v>
      </c>
      <c r="G1312" s="77"/>
      <c r="H1312" s="77">
        <v>22</v>
      </c>
      <c r="I1312" s="77">
        <f>STOCK[[#This Row],[Precio Venta Ideal (x1.5)]]</f>
        <v>16.83</v>
      </c>
      <c r="J1312" s="80">
        <v>1</v>
      </c>
      <c r="K1312" s="80">
        <f>SUMIFS(VENTAS[Cantidad],VENTAS[Código del producto Vendido],STOCK[[#This Row],[Code]])</f>
        <v>1</v>
      </c>
      <c r="L1312" s="80">
        <f>STOCK[[#This Row],[Entradas]]-STOCK[[#This Row],[Salidas]]</f>
        <v>0</v>
      </c>
      <c r="M1312" s="77">
        <f>STOCK[[#This Row],[Precio Final]]*10%</f>
        <v>2</v>
      </c>
      <c r="N1312" s="53">
        <v>0</v>
      </c>
      <c r="O1312" s="53">
        <v>0</v>
      </c>
      <c r="P1312" s="54">
        <v>7.25</v>
      </c>
      <c r="Q1312" s="80">
        <v>0</v>
      </c>
      <c r="R1312" s="77">
        <v>0</v>
      </c>
      <c r="S1312" s="54">
        <v>1.97</v>
      </c>
      <c r="T1312" s="77">
        <f>STOCK[[#This Row],[Costo Unitario (USD)]]+STOCK[[#This Row],[Costo Envío (USD)]]+STOCK[[#This Row],[Comisión 10%]]</f>
        <v>11.22</v>
      </c>
      <c r="U1312" s="54">
        <f>STOCK[[#This Row],[Costo total]]*1.5</f>
        <v>16.83</v>
      </c>
      <c r="V1312" s="77">
        <v>20</v>
      </c>
      <c r="W1312" s="77">
        <f>STOCK[[#This Row],[Precio Final]]-STOCK[[#This Row],[Costo total]]</f>
        <v>8.78</v>
      </c>
      <c r="X1312" s="77">
        <f>STOCK[[#This Row],[Ganancia Unitaria]]*STOCK[[#This Row],[Salidas]]</f>
        <v>8.78</v>
      </c>
      <c r="Y1312" s="77"/>
      <c r="Z1312" s="77"/>
      <c r="AA1312" s="54">
        <f>STOCK[[#This Row],[Costo total]]*STOCK[[#This Row],[Entradas]]</f>
        <v>11.22</v>
      </c>
      <c r="AB1312" s="54">
        <f>STOCK[[#This Row],[Stock Actual]]*STOCK[[#This Row],[Costo total]]</f>
        <v>0</v>
      </c>
      <c r="AC1312" s="77"/>
    </row>
    <row r="1313" s="53" customFormat="1" ht="50" customHeight="1" spans="1:29">
      <c r="A1313" s="53" t="s">
        <v>2711</v>
      </c>
      <c r="B1313" s="77"/>
      <c r="C1313" s="53" t="s">
        <v>32</v>
      </c>
      <c r="D1313" s="53" t="s">
        <v>392</v>
      </c>
      <c r="E1313" s="67" t="s">
        <v>2712</v>
      </c>
      <c r="F1313" s="77" t="s">
        <v>2710</v>
      </c>
      <c r="G1313" s="77"/>
      <c r="H1313" s="77">
        <v>20</v>
      </c>
      <c r="I1313" s="77">
        <f>STOCK[[#This Row],[Precio Venta Ideal (x1.5)]]</f>
        <v>12</v>
      </c>
      <c r="J1313" s="80">
        <v>1</v>
      </c>
      <c r="K1313" s="80">
        <f>SUMIFS(VENTAS[Cantidad],VENTAS[Código del producto Vendido],STOCK[[#This Row],[Code]])</f>
        <v>0</v>
      </c>
      <c r="L1313" s="80">
        <f>STOCK[[#This Row],[Entradas]]-STOCK[[#This Row],[Salidas]]</f>
        <v>1</v>
      </c>
      <c r="M1313" s="77">
        <f>STOCK[[#This Row],[Precio Final]]*10%</f>
        <v>2.2</v>
      </c>
      <c r="N1313" s="77">
        <v>0</v>
      </c>
      <c r="O1313" s="77">
        <v>0</v>
      </c>
      <c r="P1313" s="77">
        <v>7.25</v>
      </c>
      <c r="Q1313" s="80">
        <v>0</v>
      </c>
      <c r="R1313" s="77">
        <v>0</v>
      </c>
      <c r="S1313" s="54">
        <v>1.97</v>
      </c>
      <c r="T1313" s="77">
        <f>STOCK[[#This Row],[Costo Unitario (USD)]]+STOCK[[#This Row],[Costo Envío (USD)]]+STOCK[[#This Row],[Comisión 10%]]</f>
        <v>11.42</v>
      </c>
      <c r="U1313" s="77">
        <f>ROUNDUP(T1313,0)</f>
        <v>12</v>
      </c>
      <c r="V1313" s="77">
        <v>22</v>
      </c>
      <c r="W1313" s="77">
        <f>STOCK[[#This Row],[Precio Final]]-STOCK[[#This Row],[Costo total]]</f>
        <v>10.58</v>
      </c>
      <c r="X1313" s="77">
        <f>STOCK[[#This Row],[Ganancia Unitaria]]*STOCK[[#This Row],[Salidas]]</f>
        <v>0</v>
      </c>
      <c r="Y1313" s="77"/>
      <c r="Z1313" s="77"/>
      <c r="AA1313" s="54">
        <f>STOCK[[#This Row],[Costo total]]*STOCK[[#This Row],[Entradas]]</f>
        <v>11.42</v>
      </c>
      <c r="AB1313" s="54">
        <f>STOCK[[#This Row],[Stock Actual]]*STOCK[[#This Row],[Costo total]]</f>
        <v>11.42</v>
      </c>
      <c r="AC1313" s="77"/>
    </row>
    <row r="1314" s="54" customFormat="1" ht="50" customHeight="1" spans="1:29">
      <c r="A1314" s="53" t="s">
        <v>2713</v>
      </c>
      <c r="B1314" s="77"/>
      <c r="C1314" s="53" t="s">
        <v>32</v>
      </c>
      <c r="D1314" s="53" t="s">
        <v>392</v>
      </c>
      <c r="E1314" s="67" t="s">
        <v>2714</v>
      </c>
      <c r="F1314" s="77"/>
      <c r="G1314" s="77"/>
      <c r="H1314" s="77">
        <f>STOCK[[#This Row],[Precio Final]]</f>
        <v>40</v>
      </c>
      <c r="I1314" s="77">
        <f>STOCK[[#This Row],[Precio Venta Ideal (x1.5)]]</f>
        <v>21</v>
      </c>
      <c r="J1314" s="80">
        <v>1</v>
      </c>
      <c r="K1314" s="80">
        <f>SUMIFS(VENTAS[Cantidad],VENTAS[Código del producto Vendido],STOCK[[#This Row],[Code]])</f>
        <v>1</v>
      </c>
      <c r="L1314" s="80">
        <f>STOCK[[#This Row],[Entradas]]-STOCK[[#This Row],[Salidas]]</f>
        <v>0</v>
      </c>
      <c r="M1314" s="77">
        <f>STOCK[[#This Row],[Precio Final]]*10%</f>
        <v>4</v>
      </c>
      <c r="N1314" s="77">
        <v>0</v>
      </c>
      <c r="O1314" s="77">
        <v>0</v>
      </c>
      <c r="P1314" s="77">
        <v>14.4</v>
      </c>
      <c r="Q1314" s="80">
        <v>0</v>
      </c>
      <c r="R1314" s="77">
        <v>0</v>
      </c>
      <c r="S1314" s="77">
        <v>1.97</v>
      </c>
      <c r="T1314" s="77">
        <f>STOCK[[#This Row],[Costo Unitario (USD)]]+STOCK[[#This Row],[Costo Envío (USD)]]+STOCK[[#This Row],[Comisión 10%]]</f>
        <v>20.37</v>
      </c>
      <c r="U1314" s="77">
        <f>ROUNDUP(T1314,0)</f>
        <v>21</v>
      </c>
      <c r="V1314" s="77">
        <v>40</v>
      </c>
      <c r="W1314" s="77">
        <f>STOCK[[#This Row],[Precio Final]]-STOCK[[#This Row],[Costo total]]</f>
        <v>19.63</v>
      </c>
      <c r="X1314" s="77">
        <f>STOCK[[#This Row],[Ganancia Unitaria]]*STOCK[[#This Row],[Salidas]]</f>
        <v>19.63</v>
      </c>
      <c r="Y1314" s="77"/>
      <c r="Z1314" s="77"/>
      <c r="AA1314" s="54">
        <f>STOCK[[#This Row],[Costo total]]*STOCK[[#This Row],[Entradas]]</f>
        <v>20.37</v>
      </c>
      <c r="AB1314" s="54">
        <f>STOCK[[#This Row],[Stock Actual]]*STOCK[[#This Row],[Costo total]]</f>
        <v>0</v>
      </c>
      <c r="AC1314" s="77"/>
    </row>
    <row r="1315" s="53" customFormat="1" ht="50" customHeight="1" spans="1:28">
      <c r="A1315" s="53" t="s">
        <v>2715</v>
      </c>
      <c r="B1315" s="66"/>
      <c r="C1315" s="53" t="s">
        <v>32</v>
      </c>
      <c r="D1315" s="53" t="s">
        <v>1482</v>
      </c>
      <c r="E1315" s="67" t="s">
        <v>2461</v>
      </c>
      <c r="F1315" s="53" t="s">
        <v>517</v>
      </c>
      <c r="G1315" s="53" t="s">
        <v>2451</v>
      </c>
      <c r="H1315" s="53">
        <f>STOCK[[#This Row],[Precio Final]]</f>
        <v>45</v>
      </c>
      <c r="I1315" s="53">
        <f>STOCK[[#This Row],[Precio Venta Ideal (x1.5)]]</f>
        <v>43.455</v>
      </c>
      <c r="J1315" s="71">
        <v>2</v>
      </c>
      <c r="K1315" s="80">
        <f>SUMIFS(VENTAS[Cantidad],VENTAS[Código del producto Vendido],STOCK[[#This Row],[Code]])</f>
        <v>0</v>
      </c>
      <c r="L1315" s="71">
        <f>STOCK[[#This Row],[Entradas]]-STOCK[[#This Row],[Salidas]]</f>
        <v>2</v>
      </c>
      <c r="M1315" s="53">
        <f>STOCK[[#This Row],[Precio Final]]*10%</f>
        <v>4.5</v>
      </c>
      <c r="N1315" s="53">
        <v>0</v>
      </c>
      <c r="O1315" s="53">
        <v>0</v>
      </c>
      <c r="P1315" s="53">
        <v>22.5</v>
      </c>
      <c r="Q1315" s="71">
        <v>0</v>
      </c>
      <c r="R1315" s="53">
        <v>0</v>
      </c>
      <c r="S1315" s="53">
        <v>1.97</v>
      </c>
      <c r="T1315" s="53">
        <f>STOCK[[#This Row],[Costo Unitario (USD)]]+STOCK[[#This Row],[Costo Envío (USD)]]+STOCK[[#This Row],[Comisión 10%]]</f>
        <v>28.97</v>
      </c>
      <c r="U1315" s="53">
        <f>STOCK[[#This Row],[Costo total]]*1.5</f>
        <v>43.455</v>
      </c>
      <c r="V1315" s="53">
        <v>45</v>
      </c>
      <c r="W1315" s="53">
        <f>STOCK[[#This Row],[Precio Final]]-STOCK[[#This Row],[Costo total]]</f>
        <v>16.03</v>
      </c>
      <c r="X1315" s="53">
        <f>STOCK[[#This Row],[Ganancia Unitaria]]*STOCK[[#This Row],[Salidas]]</f>
        <v>0</v>
      </c>
      <c r="Y1315" s="53" t="s">
        <v>2452</v>
      </c>
      <c r="AA1315" s="54">
        <f>STOCK[[#This Row],[Costo total]]*STOCK[[#This Row],[Entradas]]</f>
        <v>57.94</v>
      </c>
      <c r="AB1315" s="54">
        <f>STOCK[[#This Row],[Stock Actual]]*STOCK[[#This Row],[Costo total]]</f>
        <v>57.94</v>
      </c>
    </row>
    <row r="1316" s="53" customFormat="1" ht="50" customHeight="1" spans="1:28">
      <c r="A1316" s="53" t="s">
        <v>2716</v>
      </c>
      <c r="B1316" s="66"/>
      <c r="C1316" s="53" t="s">
        <v>32</v>
      </c>
      <c r="D1316" s="53" t="s">
        <v>1482</v>
      </c>
      <c r="E1316" s="67" t="s">
        <v>2461</v>
      </c>
      <c r="F1316" s="53" t="s">
        <v>766</v>
      </c>
      <c r="G1316" s="53" t="s">
        <v>2451</v>
      </c>
      <c r="H1316" s="53">
        <f>STOCK[[#This Row],[Precio Final]]</f>
        <v>46</v>
      </c>
      <c r="I1316" s="53">
        <f>STOCK[[#This Row],[Precio Venta Ideal (x1.5)]]</f>
        <v>43.605</v>
      </c>
      <c r="J1316" s="71">
        <v>2</v>
      </c>
      <c r="K1316" s="80">
        <f>SUMIFS(VENTAS[Cantidad],VENTAS[Código del producto Vendido],STOCK[[#This Row],[Code]])</f>
        <v>2</v>
      </c>
      <c r="L1316" s="71">
        <f>STOCK[[#This Row],[Entradas]]-STOCK[[#This Row],[Salidas]]</f>
        <v>0</v>
      </c>
      <c r="M1316" s="53">
        <f>STOCK[[#This Row],[Precio Final]]*10%</f>
        <v>4.6</v>
      </c>
      <c r="N1316" s="53">
        <v>0</v>
      </c>
      <c r="O1316" s="53">
        <v>0</v>
      </c>
      <c r="P1316" s="53">
        <v>22.5</v>
      </c>
      <c r="Q1316" s="71">
        <v>0</v>
      </c>
      <c r="R1316" s="53">
        <v>0</v>
      </c>
      <c r="S1316" s="53">
        <v>1.97</v>
      </c>
      <c r="T1316" s="53">
        <f>STOCK[[#This Row],[Costo Unitario (USD)]]+STOCK[[#This Row],[Costo Envío (USD)]]+STOCK[[#This Row],[Comisión 10%]]</f>
        <v>29.07</v>
      </c>
      <c r="U1316" s="53">
        <f>STOCK[[#This Row],[Costo total]]*1.5</f>
        <v>43.605</v>
      </c>
      <c r="V1316" s="53">
        <v>46</v>
      </c>
      <c r="W1316" s="53">
        <f>STOCK[[#This Row],[Precio Final]]-STOCK[[#This Row],[Costo total]]</f>
        <v>16.93</v>
      </c>
      <c r="X1316" s="53">
        <f>STOCK[[#This Row],[Ganancia Unitaria]]*STOCK[[#This Row],[Salidas]]</f>
        <v>33.86</v>
      </c>
      <c r="Y1316" s="53" t="s">
        <v>2452</v>
      </c>
      <c r="AA1316" s="54">
        <f>STOCK[[#This Row],[Costo total]]*STOCK[[#This Row],[Entradas]]</f>
        <v>58.14</v>
      </c>
      <c r="AB1316" s="54">
        <f>STOCK[[#This Row],[Stock Actual]]*STOCK[[#This Row],[Costo total]]</f>
        <v>0</v>
      </c>
    </row>
    <row r="1317" s="53" customFormat="1" ht="50" customHeight="1" spans="1:28">
      <c r="A1317" s="53" t="s">
        <v>2717</v>
      </c>
      <c r="B1317" s="66"/>
      <c r="C1317" s="53" t="s">
        <v>32</v>
      </c>
      <c r="D1317" s="53" t="s">
        <v>1482</v>
      </c>
      <c r="E1317" s="67" t="s">
        <v>2461</v>
      </c>
      <c r="F1317" s="53" t="s">
        <v>540</v>
      </c>
      <c r="G1317" s="53" t="s">
        <v>2451</v>
      </c>
      <c r="H1317" s="53">
        <f>STOCK[[#This Row],[Precio Final]]</f>
        <v>47</v>
      </c>
      <c r="I1317" s="53">
        <f>STOCK[[#This Row],[Precio Venta Ideal (x1.5)]]</f>
        <v>43.755</v>
      </c>
      <c r="J1317" s="71">
        <v>2</v>
      </c>
      <c r="K1317" s="80">
        <f>SUMIFS(VENTAS[Cantidad],VENTAS[Código del producto Vendido],STOCK[[#This Row],[Code]])</f>
        <v>2</v>
      </c>
      <c r="L1317" s="71">
        <f>STOCK[[#This Row],[Entradas]]-STOCK[[#This Row],[Salidas]]</f>
        <v>0</v>
      </c>
      <c r="M1317" s="53">
        <f>STOCK[[#This Row],[Precio Final]]*10%</f>
        <v>4.7</v>
      </c>
      <c r="N1317" s="53">
        <v>0</v>
      </c>
      <c r="O1317" s="53">
        <v>0</v>
      </c>
      <c r="P1317" s="53">
        <v>22.5</v>
      </c>
      <c r="Q1317" s="71">
        <v>0</v>
      </c>
      <c r="R1317" s="53">
        <v>0</v>
      </c>
      <c r="S1317" s="53">
        <v>1.97</v>
      </c>
      <c r="T1317" s="53">
        <f>STOCK[[#This Row],[Costo Unitario (USD)]]+STOCK[[#This Row],[Costo Envío (USD)]]+STOCK[[#This Row],[Comisión 10%]]</f>
        <v>29.17</v>
      </c>
      <c r="U1317" s="53">
        <f>STOCK[[#This Row],[Costo total]]*1.5</f>
        <v>43.755</v>
      </c>
      <c r="V1317" s="53">
        <v>47</v>
      </c>
      <c r="W1317" s="53">
        <f>STOCK[[#This Row],[Precio Final]]-STOCK[[#This Row],[Costo total]]</f>
        <v>17.83</v>
      </c>
      <c r="X1317" s="53">
        <f>STOCK[[#This Row],[Ganancia Unitaria]]*STOCK[[#This Row],[Salidas]]</f>
        <v>35.66</v>
      </c>
      <c r="Y1317" s="53" t="s">
        <v>2452</v>
      </c>
      <c r="AA1317" s="54">
        <f>STOCK[[#This Row],[Costo total]]*STOCK[[#This Row],[Entradas]]</f>
        <v>58.34</v>
      </c>
      <c r="AB1317" s="54">
        <f>STOCK[[#This Row],[Stock Actual]]*STOCK[[#This Row],[Costo total]]</f>
        <v>0</v>
      </c>
    </row>
    <row r="1318" s="53" customFormat="1" ht="50" customHeight="1" spans="1:29">
      <c r="A1318" s="53" t="s">
        <v>2718</v>
      </c>
      <c r="B1318" s="78"/>
      <c r="C1318" s="77" t="s">
        <v>32</v>
      </c>
      <c r="D1318" s="77" t="s">
        <v>2639</v>
      </c>
      <c r="E1318" s="79" t="s">
        <v>2719</v>
      </c>
      <c r="F1318" s="77" t="s">
        <v>49</v>
      </c>
      <c r="G1318" s="77" t="s">
        <v>2395</v>
      </c>
      <c r="H1318" s="77">
        <f>STOCK[[#This Row],[Precio Final]]</f>
        <v>30</v>
      </c>
      <c r="I1318" s="53">
        <f>STOCK[[#This Row],[Precio Venta Ideal (x1.5)]]</f>
        <v>33</v>
      </c>
      <c r="J1318" s="80">
        <v>1</v>
      </c>
      <c r="K1318" s="80">
        <f>SUMIFS(VENTAS[Cantidad],VENTAS[Código del producto Vendido],STOCK[[#This Row],[Code]])</f>
        <v>1</v>
      </c>
      <c r="L1318" s="80">
        <f>STOCK[[#This Row],[Entradas]]-STOCK[[#This Row],[Salidas]]</f>
        <v>0</v>
      </c>
      <c r="M1318" s="77">
        <f>STOCK[[#This Row],[Precio Final]]*10%</f>
        <v>3</v>
      </c>
      <c r="N1318" s="53">
        <v>0</v>
      </c>
      <c r="O1318" s="53">
        <v>0</v>
      </c>
      <c r="P1318" s="77">
        <v>17</v>
      </c>
      <c r="Q1318" s="80">
        <v>0</v>
      </c>
      <c r="R1318" s="77">
        <v>0</v>
      </c>
      <c r="S1318" s="53">
        <v>2</v>
      </c>
      <c r="T1318" s="77">
        <f>STOCK[[#This Row],[Costo Unitario (USD)]]+STOCK[[#This Row],[Costo Envío (USD)]]+STOCK[[#This Row],[Comisión 10%]]</f>
        <v>22</v>
      </c>
      <c r="U1318" s="53">
        <f>STOCK[[#This Row],[Costo total]]*1.5</f>
        <v>33</v>
      </c>
      <c r="V1318" s="77">
        <v>30</v>
      </c>
      <c r="W1318" s="77">
        <f>STOCK[[#This Row],[Precio Final]]-STOCK[[#This Row],[Costo total]]</f>
        <v>8</v>
      </c>
      <c r="X1318" s="77">
        <f>STOCK[[#This Row],[Ganancia Unitaria]]*STOCK[[#This Row],[Salidas]]</f>
        <v>8</v>
      </c>
      <c r="Y1318" s="77"/>
      <c r="Z1318" s="77"/>
      <c r="AA1318" s="54">
        <f>STOCK[[#This Row],[Costo total]]*STOCK[[#This Row],[Entradas]]</f>
        <v>22</v>
      </c>
      <c r="AB1318" s="54">
        <f>STOCK[[#This Row],[Stock Actual]]*STOCK[[#This Row],[Costo total]]</f>
        <v>0</v>
      </c>
      <c r="AC1318" s="77"/>
    </row>
    <row r="1319" s="53" customFormat="1" ht="50" customHeight="1" spans="1:29">
      <c r="A1319" s="53" t="s">
        <v>2720</v>
      </c>
      <c r="B1319" s="78"/>
      <c r="C1319" s="77" t="s">
        <v>32</v>
      </c>
      <c r="D1319" s="77" t="s">
        <v>2721</v>
      </c>
      <c r="E1319" s="79" t="s">
        <v>2722</v>
      </c>
      <c r="F1319" s="77" t="s">
        <v>2723</v>
      </c>
      <c r="G1319" s="77" t="s">
        <v>2395</v>
      </c>
      <c r="H1319" s="77">
        <f>STOCK[[#This Row],[Precio Final]]</f>
        <v>35</v>
      </c>
      <c r="I1319" s="53">
        <f>STOCK[[#This Row],[Precio Venta Ideal (x1.5)]]</f>
        <v>47.7</v>
      </c>
      <c r="J1319" s="80">
        <v>1</v>
      </c>
      <c r="K1319" s="80">
        <f>SUMIFS(VENTAS[Cantidad],VENTAS[Código del producto Vendido],STOCK[[#This Row],[Code]])</f>
        <v>0</v>
      </c>
      <c r="L1319" s="80">
        <f>STOCK[[#This Row],[Entradas]]-STOCK[[#This Row],[Salidas]]</f>
        <v>1</v>
      </c>
      <c r="M1319" s="77">
        <f>STOCK[[#This Row],[Precio Final]]*10%</f>
        <v>3.5</v>
      </c>
      <c r="N1319" s="53">
        <v>0</v>
      </c>
      <c r="O1319" s="53">
        <v>0</v>
      </c>
      <c r="P1319" s="77">
        <v>26.3</v>
      </c>
      <c r="Q1319" s="80">
        <v>0</v>
      </c>
      <c r="R1319" s="77">
        <v>0</v>
      </c>
      <c r="S1319" s="53">
        <v>2</v>
      </c>
      <c r="T1319" s="77">
        <f>STOCK[[#This Row],[Costo Unitario (USD)]]+STOCK[[#This Row],[Costo Envío (USD)]]+STOCK[[#This Row],[Comisión 10%]]</f>
        <v>31.8</v>
      </c>
      <c r="U1319" s="53">
        <f>STOCK[[#This Row],[Costo total]]*1.5</f>
        <v>47.7</v>
      </c>
      <c r="V1319" s="77">
        <v>35</v>
      </c>
      <c r="W1319" s="77">
        <f>STOCK[[#This Row],[Precio Final]]-STOCK[[#This Row],[Costo total]]</f>
        <v>3.2</v>
      </c>
      <c r="X1319" s="77">
        <f>STOCK[[#This Row],[Ganancia Unitaria]]*STOCK[[#This Row],[Salidas]]</f>
        <v>0</v>
      </c>
      <c r="Y1319" s="77"/>
      <c r="Z1319" s="77"/>
      <c r="AA1319" s="54">
        <f>STOCK[[#This Row],[Costo total]]*STOCK[[#This Row],[Entradas]]</f>
        <v>31.8</v>
      </c>
      <c r="AB1319" s="54">
        <f>STOCK[[#This Row],[Stock Actual]]*STOCK[[#This Row],[Costo total]]</f>
        <v>31.8</v>
      </c>
      <c r="AC1319" s="77"/>
    </row>
    <row r="1320" s="53" customFormat="1" ht="50" customHeight="1" spans="1:29">
      <c r="A1320" s="53" t="s">
        <v>2724</v>
      </c>
      <c r="B1320" s="78"/>
      <c r="C1320" s="77" t="s">
        <v>32</v>
      </c>
      <c r="D1320" s="77" t="s">
        <v>2721</v>
      </c>
      <c r="E1320" s="79" t="s">
        <v>2725</v>
      </c>
      <c r="F1320" s="77" t="s">
        <v>2723</v>
      </c>
      <c r="G1320" s="77" t="s">
        <v>2395</v>
      </c>
      <c r="H1320" s="77">
        <f>STOCK[[#This Row],[Precio Final]]</f>
        <v>35</v>
      </c>
      <c r="I1320" s="53">
        <f>STOCK[[#This Row],[Precio Venta Ideal (x1.5)]]</f>
        <v>47.7</v>
      </c>
      <c r="J1320" s="80">
        <v>1</v>
      </c>
      <c r="K1320" s="80">
        <f>SUMIFS(VENTAS[Cantidad],VENTAS[Código del producto Vendido],STOCK[[#This Row],[Code]])</f>
        <v>0</v>
      </c>
      <c r="L1320" s="80">
        <f>STOCK[[#This Row],[Entradas]]-STOCK[[#This Row],[Salidas]]</f>
        <v>1</v>
      </c>
      <c r="M1320" s="77">
        <f>STOCK[[#This Row],[Precio Final]]*10%</f>
        <v>3.5</v>
      </c>
      <c r="N1320" s="53">
        <v>0</v>
      </c>
      <c r="O1320" s="53">
        <v>0</v>
      </c>
      <c r="P1320" s="77">
        <v>26.3</v>
      </c>
      <c r="Q1320" s="80">
        <v>0</v>
      </c>
      <c r="R1320" s="77">
        <v>0</v>
      </c>
      <c r="S1320" s="77">
        <v>2</v>
      </c>
      <c r="T1320" s="77">
        <f>STOCK[[#This Row],[Costo Unitario (USD)]]+STOCK[[#This Row],[Costo Envío (USD)]]+STOCK[[#This Row],[Comisión 10%]]</f>
        <v>31.8</v>
      </c>
      <c r="U1320" s="53">
        <f>STOCK[[#This Row],[Costo total]]*1.5</f>
        <v>47.7</v>
      </c>
      <c r="V1320" s="77">
        <v>35</v>
      </c>
      <c r="W1320" s="77">
        <f>STOCK[[#This Row],[Precio Final]]-STOCK[[#This Row],[Costo total]]</f>
        <v>3.2</v>
      </c>
      <c r="X1320" s="77">
        <f>STOCK[[#This Row],[Ganancia Unitaria]]*STOCK[[#This Row],[Salidas]]</f>
        <v>0</v>
      </c>
      <c r="Y1320" s="77"/>
      <c r="Z1320" s="77"/>
      <c r="AA1320" s="54">
        <f>STOCK[[#This Row],[Costo total]]*STOCK[[#This Row],[Entradas]]</f>
        <v>31.8</v>
      </c>
      <c r="AB1320" s="54">
        <f>STOCK[[#This Row],[Stock Actual]]*STOCK[[#This Row],[Costo total]]</f>
        <v>31.8</v>
      </c>
      <c r="AC1320" s="77"/>
    </row>
    <row r="1321" s="53" customFormat="1" ht="50" customHeight="1" spans="1:29">
      <c r="A1321" s="53" t="s">
        <v>2726</v>
      </c>
      <c r="B1321" s="78"/>
      <c r="C1321" s="77" t="s">
        <v>32</v>
      </c>
      <c r="D1321" s="77" t="s">
        <v>2721</v>
      </c>
      <c r="E1321" s="79" t="s">
        <v>2727</v>
      </c>
      <c r="F1321" s="77" t="s">
        <v>2723</v>
      </c>
      <c r="G1321" s="77" t="s">
        <v>2395</v>
      </c>
      <c r="H1321" s="77">
        <f>STOCK[[#This Row],[Precio Final]]</f>
        <v>35</v>
      </c>
      <c r="I1321" s="53">
        <f>STOCK[[#This Row],[Precio Venta Ideal (x1.5)]]</f>
        <v>47.7</v>
      </c>
      <c r="J1321" s="80">
        <v>1</v>
      </c>
      <c r="K1321" s="80">
        <f>SUMIFS(VENTAS[Cantidad],VENTAS[Código del producto Vendido],STOCK[[#This Row],[Code]])</f>
        <v>0</v>
      </c>
      <c r="L1321" s="80">
        <f>STOCK[[#This Row],[Entradas]]-STOCK[[#This Row],[Salidas]]</f>
        <v>1</v>
      </c>
      <c r="M1321" s="77">
        <f>STOCK[[#This Row],[Precio Final]]*10%</f>
        <v>3.5</v>
      </c>
      <c r="N1321" s="53">
        <v>0</v>
      </c>
      <c r="O1321" s="53">
        <v>0</v>
      </c>
      <c r="P1321" s="77">
        <v>26.3</v>
      </c>
      <c r="Q1321" s="80">
        <v>0</v>
      </c>
      <c r="R1321" s="77">
        <v>0</v>
      </c>
      <c r="S1321" s="77">
        <v>2</v>
      </c>
      <c r="T1321" s="77">
        <f>STOCK[[#This Row],[Costo Unitario (USD)]]+STOCK[[#This Row],[Costo Envío (USD)]]+STOCK[[#This Row],[Comisión 10%]]</f>
        <v>31.8</v>
      </c>
      <c r="U1321" s="53">
        <f>STOCK[[#This Row],[Costo total]]*1.5</f>
        <v>47.7</v>
      </c>
      <c r="V1321" s="77">
        <v>35</v>
      </c>
      <c r="W1321" s="77">
        <f>STOCK[[#This Row],[Precio Final]]-STOCK[[#This Row],[Costo total]]</f>
        <v>3.2</v>
      </c>
      <c r="X1321" s="77">
        <f>STOCK[[#This Row],[Ganancia Unitaria]]*STOCK[[#This Row],[Salidas]]</f>
        <v>0</v>
      </c>
      <c r="Y1321" s="77"/>
      <c r="Z1321" s="77"/>
      <c r="AA1321" s="54">
        <f>STOCK[[#This Row],[Costo total]]*STOCK[[#This Row],[Entradas]]</f>
        <v>31.8</v>
      </c>
      <c r="AB1321" s="54">
        <f>STOCK[[#This Row],[Stock Actual]]*STOCK[[#This Row],[Costo total]]</f>
        <v>31.8</v>
      </c>
      <c r="AC1321" s="77"/>
    </row>
    <row r="1322" s="53" customFormat="1" ht="50" customHeight="1" spans="1:29">
      <c r="A1322" s="53" t="s">
        <v>2728</v>
      </c>
      <c r="B1322" s="78"/>
      <c r="C1322" s="77" t="s">
        <v>32</v>
      </c>
      <c r="D1322" s="77" t="s">
        <v>1226</v>
      </c>
      <c r="E1322" s="79" t="s">
        <v>2729</v>
      </c>
      <c r="F1322" s="77" t="s">
        <v>540</v>
      </c>
      <c r="G1322" s="77" t="s">
        <v>1296</v>
      </c>
      <c r="H1322" s="77">
        <f>STOCK[[#This Row],[Precio Final]]</f>
        <v>60</v>
      </c>
      <c r="I1322" s="77">
        <f>STOCK[[#This Row],[Precio Venta Ideal (x1.5)]]</f>
        <v>61.5</v>
      </c>
      <c r="J1322" s="80">
        <v>1</v>
      </c>
      <c r="K1322" s="80">
        <f>SUMIFS(VENTAS[Cantidad],VENTAS[Código del producto Vendido],STOCK[[#This Row],[Code]])</f>
        <v>0</v>
      </c>
      <c r="L1322" s="80">
        <f>STOCK[[#This Row],[Entradas]]-STOCK[[#This Row],[Salidas]]</f>
        <v>1</v>
      </c>
      <c r="M1322" s="77">
        <f>STOCK[[#This Row],[Precio Final]]*10%</f>
        <v>6</v>
      </c>
      <c r="N1322" s="77">
        <v>0</v>
      </c>
      <c r="O1322" s="77">
        <v>0</v>
      </c>
      <c r="P1322" s="77">
        <v>35</v>
      </c>
      <c r="Q1322" s="80">
        <v>0</v>
      </c>
      <c r="R1322" s="77">
        <v>0</v>
      </c>
      <c r="S1322" s="77">
        <f>STOCK[[#This Row],[Peso (g)]]*STOCK[[#This Row],[Precio Envío Kilogramo (USD)]]/1000</f>
        <v>0</v>
      </c>
      <c r="T1322" s="77">
        <f>STOCK[[#This Row],[Costo Unitario (USD)]]+STOCK[[#This Row],[Costo Envío (USD)]]+STOCK[[#This Row],[Comisión 10%]]</f>
        <v>41</v>
      </c>
      <c r="U1322" s="53">
        <f>STOCK[[#This Row],[Costo total]]*1.5</f>
        <v>61.5</v>
      </c>
      <c r="V1322" s="77">
        <v>60</v>
      </c>
      <c r="W1322" s="77">
        <f>STOCK[[#This Row],[Precio Final]]-STOCK[[#This Row],[Costo total]]</f>
        <v>19</v>
      </c>
      <c r="X1322" s="77">
        <f>STOCK[[#This Row],[Ganancia Unitaria]]*STOCK[[#This Row],[Salidas]]</f>
        <v>0</v>
      </c>
      <c r="Y1322" s="77"/>
      <c r="Z1322" s="77"/>
      <c r="AA1322" s="54">
        <f>STOCK[[#This Row],[Costo total]]*STOCK[[#This Row],[Entradas]]</f>
        <v>41</v>
      </c>
      <c r="AB1322" s="54">
        <f>STOCK[[#This Row],[Stock Actual]]*STOCK[[#This Row],[Costo total]]</f>
        <v>41</v>
      </c>
      <c r="AC1322" s="77"/>
    </row>
    <row r="1323" s="53" customFormat="1" ht="50" customHeight="1" spans="1:29">
      <c r="A1323" s="53" t="s">
        <v>2730</v>
      </c>
      <c r="B1323" s="78"/>
      <c r="C1323" s="77" t="s">
        <v>32</v>
      </c>
      <c r="D1323" s="77" t="s">
        <v>44</v>
      </c>
      <c r="E1323" s="79" t="s">
        <v>2731</v>
      </c>
      <c r="F1323" s="77" t="s">
        <v>46</v>
      </c>
      <c r="G1323" s="77" t="s">
        <v>36</v>
      </c>
      <c r="H1323" s="77">
        <f>STOCK[[#This Row],[Precio Final]]</f>
        <v>55</v>
      </c>
      <c r="I1323" s="77">
        <f>STOCK[[#This Row],[Precio Venta Ideal (x1.5)]]</f>
        <v>55.935</v>
      </c>
      <c r="J1323" s="80">
        <v>0</v>
      </c>
      <c r="K1323" s="80">
        <f>SUMIFS(VENTAS[Cantidad],VENTAS[Código del producto Vendido],STOCK[[#This Row],[Code]])</f>
        <v>0</v>
      </c>
      <c r="L1323" s="80">
        <f>STOCK[[#This Row],[Entradas]]-STOCK[[#This Row],[Salidas]]</f>
        <v>0</v>
      </c>
      <c r="M1323" s="77">
        <f>STOCK[[#This Row],[Precio Final]]*10%</f>
        <v>5.5</v>
      </c>
      <c r="N1323" s="77">
        <v>0</v>
      </c>
      <c r="O1323" s="77">
        <v>0</v>
      </c>
      <c r="P1323" s="77">
        <v>29.41</v>
      </c>
      <c r="Q1323" s="80">
        <v>0</v>
      </c>
      <c r="R1323" s="77">
        <v>0</v>
      </c>
      <c r="S1323" s="77">
        <v>2.38</v>
      </c>
      <c r="T1323" s="77">
        <f>STOCK[[#This Row],[Costo Unitario (USD)]]+STOCK[[#This Row],[Costo Envío (USD)]]+STOCK[[#This Row],[Comisión 10%]]</f>
        <v>37.29</v>
      </c>
      <c r="U1323" s="53">
        <f>STOCK[[#This Row],[Costo total]]*1.5</f>
        <v>55.935</v>
      </c>
      <c r="V1323" s="77">
        <v>55</v>
      </c>
      <c r="W1323" s="77">
        <f>STOCK[[#This Row],[Precio Final]]-STOCK[[#This Row],[Costo total]]</f>
        <v>17.71</v>
      </c>
      <c r="X1323" s="77">
        <f>STOCK[[#This Row],[Ganancia Unitaria]]*STOCK[[#This Row],[Salidas]]</f>
        <v>0</v>
      </c>
      <c r="Y1323" s="77" t="s">
        <v>2732</v>
      </c>
      <c r="Z1323" s="77"/>
      <c r="AA1323" s="54">
        <f>STOCK[[#This Row],[Costo total]]*STOCK[[#This Row],[Entradas]]</f>
        <v>0</v>
      </c>
      <c r="AB1323" s="54">
        <f>STOCK[[#This Row],[Stock Actual]]*STOCK[[#This Row],[Costo total]]</f>
        <v>0</v>
      </c>
      <c r="AC1323" s="77"/>
    </row>
    <row r="1324" s="53" customFormat="1" ht="50" customHeight="1" spans="1:29">
      <c r="A1324" s="53" t="s">
        <v>2733</v>
      </c>
      <c r="B1324" s="78"/>
      <c r="C1324" s="77" t="s">
        <v>32</v>
      </c>
      <c r="D1324" s="77" t="s">
        <v>2127</v>
      </c>
      <c r="E1324" s="79" t="s">
        <v>2734</v>
      </c>
      <c r="F1324" s="77" t="s">
        <v>62</v>
      </c>
      <c r="G1324" s="77" t="s">
        <v>36</v>
      </c>
      <c r="H1324" s="77">
        <f>STOCK[[#This Row],[Precio Final]]</f>
        <v>20</v>
      </c>
      <c r="I1324" s="77">
        <f>STOCK[[#This Row],[Precio Venta Ideal (x1.5)]]</f>
        <v>19.59</v>
      </c>
      <c r="J1324" s="80">
        <v>2</v>
      </c>
      <c r="K1324" s="80">
        <f>SUMIFS(VENTAS[Cantidad],VENTAS[Código del producto Vendido],STOCK[[#This Row],[Code]])</f>
        <v>3</v>
      </c>
      <c r="L1324" s="80">
        <f>STOCK[[#This Row],[Entradas]]-STOCK[[#This Row],[Salidas]]</f>
        <v>-1</v>
      </c>
      <c r="M1324" s="77">
        <f>STOCK[[#This Row],[Precio Final]]*10%</f>
        <v>2</v>
      </c>
      <c r="N1324" s="77">
        <v>0</v>
      </c>
      <c r="O1324" s="77">
        <v>0</v>
      </c>
      <c r="P1324" s="77">
        <v>8.69</v>
      </c>
      <c r="Q1324" s="80">
        <v>0</v>
      </c>
      <c r="R1324" s="77">
        <v>0</v>
      </c>
      <c r="S1324" s="77">
        <v>2.37</v>
      </c>
      <c r="T1324" s="77">
        <f>STOCK[[#This Row],[Costo Unitario (USD)]]+STOCK[[#This Row],[Costo Envío (USD)]]+STOCK[[#This Row],[Comisión 10%]]</f>
        <v>13.06</v>
      </c>
      <c r="U1324" s="53">
        <f>STOCK[[#This Row],[Costo total]]*1.5</f>
        <v>19.59</v>
      </c>
      <c r="V1324" s="77">
        <v>20</v>
      </c>
      <c r="W1324" s="77">
        <f>STOCK[[#This Row],[Precio Final]]-STOCK[[#This Row],[Costo total]]</f>
        <v>6.94</v>
      </c>
      <c r="X1324" s="77">
        <f>STOCK[[#This Row],[Ganancia Unitaria]]*STOCK[[#This Row],[Salidas]]</f>
        <v>20.82</v>
      </c>
      <c r="Y1324" s="77" t="s">
        <v>2732</v>
      </c>
      <c r="Z1324" s="77"/>
      <c r="AA1324" s="54">
        <f>STOCK[[#This Row],[Costo total]]*STOCK[[#This Row],[Entradas]]</f>
        <v>26.12</v>
      </c>
      <c r="AB1324" s="54">
        <f>STOCK[[#This Row],[Stock Actual]]*STOCK[[#This Row],[Costo total]]</f>
        <v>-13.06</v>
      </c>
      <c r="AC1324" s="77"/>
    </row>
    <row r="1325" s="53" customFormat="1" ht="50" customHeight="1" spans="1:29">
      <c r="A1325" s="53" t="s">
        <v>2735</v>
      </c>
      <c r="B1325" s="78"/>
      <c r="C1325" s="77" t="s">
        <v>32</v>
      </c>
      <c r="D1325" s="77" t="s">
        <v>2127</v>
      </c>
      <c r="E1325" s="79" t="s">
        <v>2734</v>
      </c>
      <c r="F1325" s="77" t="s">
        <v>49</v>
      </c>
      <c r="G1325" s="77" t="s">
        <v>36</v>
      </c>
      <c r="H1325" s="77">
        <f>STOCK[[#This Row],[Precio Final]]</f>
        <v>20</v>
      </c>
      <c r="I1325" s="77">
        <f>STOCK[[#This Row],[Precio Venta Ideal (x1.5)]]</f>
        <v>19.59</v>
      </c>
      <c r="J1325" s="80">
        <v>2</v>
      </c>
      <c r="K1325" s="80">
        <f>SUMIFS(VENTAS[Cantidad],VENTAS[Código del producto Vendido],STOCK[[#This Row],[Code]])</f>
        <v>0</v>
      </c>
      <c r="L1325" s="80">
        <f>STOCK[[#This Row],[Entradas]]-STOCK[[#This Row],[Salidas]]</f>
        <v>2</v>
      </c>
      <c r="M1325" s="77">
        <f>STOCK[[#This Row],[Precio Final]]*10%</f>
        <v>2</v>
      </c>
      <c r="N1325" s="77">
        <v>0</v>
      </c>
      <c r="O1325" s="77">
        <v>0</v>
      </c>
      <c r="P1325" s="77">
        <v>8.69</v>
      </c>
      <c r="Q1325" s="80">
        <v>0</v>
      </c>
      <c r="R1325" s="77">
        <v>0</v>
      </c>
      <c r="S1325" s="77">
        <v>2.37</v>
      </c>
      <c r="T1325" s="77">
        <f>STOCK[[#This Row],[Costo Unitario (USD)]]+STOCK[[#This Row],[Costo Envío (USD)]]+STOCK[[#This Row],[Comisión 10%]]</f>
        <v>13.06</v>
      </c>
      <c r="U1325" s="53">
        <f>STOCK[[#This Row],[Costo total]]*1.5</f>
        <v>19.59</v>
      </c>
      <c r="V1325" s="77">
        <v>20</v>
      </c>
      <c r="W1325" s="77">
        <f>STOCK[[#This Row],[Precio Final]]-STOCK[[#This Row],[Costo total]]</f>
        <v>6.94</v>
      </c>
      <c r="X1325" s="77">
        <f>STOCK[[#This Row],[Ganancia Unitaria]]*STOCK[[#This Row],[Salidas]]</f>
        <v>0</v>
      </c>
      <c r="Y1325" s="77" t="s">
        <v>2732</v>
      </c>
      <c r="Z1325" s="77"/>
      <c r="AA1325" s="54">
        <f>STOCK[[#This Row],[Costo total]]*STOCK[[#This Row],[Entradas]]</f>
        <v>26.12</v>
      </c>
      <c r="AB1325" s="54">
        <f>STOCK[[#This Row],[Stock Actual]]*STOCK[[#This Row],[Costo total]]</f>
        <v>26.12</v>
      </c>
      <c r="AC1325" s="77"/>
    </row>
    <row r="1326" s="53" customFormat="1" ht="50" customHeight="1" spans="1:29">
      <c r="A1326" s="53" t="s">
        <v>2736</v>
      </c>
      <c r="B1326" s="78"/>
      <c r="C1326" s="77" t="s">
        <v>32</v>
      </c>
      <c r="D1326" s="77" t="s">
        <v>2127</v>
      </c>
      <c r="E1326" s="79" t="s">
        <v>2734</v>
      </c>
      <c r="F1326" s="77" t="s">
        <v>46</v>
      </c>
      <c r="G1326" s="77" t="s">
        <v>36</v>
      </c>
      <c r="H1326" s="77">
        <f>STOCK[[#This Row],[Precio Final]]</f>
        <v>20</v>
      </c>
      <c r="I1326" s="77">
        <f>STOCK[[#This Row],[Precio Venta Ideal (x1.5)]]</f>
        <v>19.59</v>
      </c>
      <c r="J1326" s="80">
        <v>2</v>
      </c>
      <c r="K1326" s="80">
        <f>SUMIFS(VENTAS[Cantidad],VENTAS[Código del producto Vendido],STOCK[[#This Row],[Code]])</f>
        <v>0</v>
      </c>
      <c r="L1326" s="80">
        <f>STOCK[[#This Row],[Entradas]]-STOCK[[#This Row],[Salidas]]</f>
        <v>2</v>
      </c>
      <c r="M1326" s="77">
        <f>STOCK[[#This Row],[Precio Final]]*10%</f>
        <v>2</v>
      </c>
      <c r="N1326" s="77">
        <v>0</v>
      </c>
      <c r="O1326" s="77">
        <v>0</v>
      </c>
      <c r="P1326" s="77">
        <v>8.69</v>
      </c>
      <c r="Q1326" s="80">
        <v>0</v>
      </c>
      <c r="R1326" s="77">
        <v>0</v>
      </c>
      <c r="S1326" s="77">
        <v>2.37</v>
      </c>
      <c r="T1326" s="77">
        <f>STOCK[[#This Row],[Costo Unitario (USD)]]+STOCK[[#This Row],[Costo Envío (USD)]]+STOCK[[#This Row],[Comisión 10%]]</f>
        <v>13.06</v>
      </c>
      <c r="U1326" s="53">
        <f>STOCK[[#This Row],[Costo total]]*1.5</f>
        <v>19.59</v>
      </c>
      <c r="V1326" s="77">
        <v>20</v>
      </c>
      <c r="W1326" s="77">
        <f>STOCK[[#This Row],[Precio Final]]-STOCK[[#This Row],[Costo total]]</f>
        <v>6.94</v>
      </c>
      <c r="X1326" s="77">
        <f>STOCK[[#This Row],[Ganancia Unitaria]]*STOCK[[#This Row],[Salidas]]</f>
        <v>0</v>
      </c>
      <c r="Y1326" s="77" t="s">
        <v>2732</v>
      </c>
      <c r="Z1326" s="77"/>
      <c r="AA1326" s="54">
        <f>STOCK[[#This Row],[Costo total]]*STOCK[[#This Row],[Entradas]]</f>
        <v>26.12</v>
      </c>
      <c r="AB1326" s="54">
        <f>STOCK[[#This Row],[Stock Actual]]*STOCK[[#This Row],[Costo total]]</f>
        <v>26.12</v>
      </c>
      <c r="AC1326" s="77"/>
    </row>
    <row r="1327" s="53" customFormat="1" ht="50" customHeight="1" spans="1:29">
      <c r="A1327" s="53" t="s">
        <v>2737</v>
      </c>
      <c r="B1327" s="78"/>
      <c r="C1327" s="77" t="s">
        <v>32</v>
      </c>
      <c r="D1327" s="77" t="s">
        <v>44</v>
      </c>
      <c r="E1327" s="79" t="s">
        <v>2738</v>
      </c>
      <c r="F1327" s="77" t="s">
        <v>62</v>
      </c>
      <c r="G1327" s="77" t="s">
        <v>36</v>
      </c>
      <c r="H1327" s="77">
        <f>STOCK[[#This Row],[Precio Final]]</f>
        <v>12</v>
      </c>
      <c r="I1327" s="77">
        <f>STOCK[[#This Row],[Precio Venta Ideal (x1.5)]]</f>
        <v>17.16</v>
      </c>
      <c r="J1327" s="80">
        <v>0</v>
      </c>
      <c r="K1327" s="80">
        <f>SUMIFS(VENTAS[Cantidad],VENTAS[Código del producto Vendido],STOCK[[#This Row],[Code]])</f>
        <v>0</v>
      </c>
      <c r="L1327" s="80">
        <f>STOCK[[#This Row],[Entradas]]-STOCK[[#This Row],[Salidas]]</f>
        <v>0</v>
      </c>
      <c r="M1327" s="77">
        <f>STOCK[[#This Row],[Precio Final]]*10%</f>
        <v>1.2</v>
      </c>
      <c r="N1327" s="77">
        <v>0</v>
      </c>
      <c r="O1327" s="77">
        <v>0</v>
      </c>
      <c r="P1327" s="77">
        <v>7.87</v>
      </c>
      <c r="Q1327" s="80">
        <v>0</v>
      </c>
      <c r="R1327" s="77">
        <v>0</v>
      </c>
      <c r="S1327" s="77">
        <v>2.37</v>
      </c>
      <c r="T1327" s="77">
        <f>STOCK[[#This Row],[Costo Unitario (USD)]]+STOCK[[#This Row],[Costo Envío (USD)]]+STOCK[[#This Row],[Comisión 10%]]</f>
        <v>11.44</v>
      </c>
      <c r="U1327" s="53">
        <f>STOCK[[#This Row],[Costo total]]*1.5</f>
        <v>17.16</v>
      </c>
      <c r="V1327" s="77">
        <v>12</v>
      </c>
      <c r="W1327" s="77">
        <f>STOCK[[#This Row],[Precio Final]]-STOCK[[#This Row],[Costo total]]</f>
        <v>0.559999999999999</v>
      </c>
      <c r="X1327" s="77">
        <f>STOCK[[#This Row],[Ganancia Unitaria]]*STOCK[[#This Row],[Salidas]]</f>
        <v>0</v>
      </c>
      <c r="Y1327" s="77" t="s">
        <v>2732</v>
      </c>
      <c r="Z1327" s="77"/>
      <c r="AA1327" s="54">
        <f>STOCK[[#This Row],[Costo total]]*STOCK[[#This Row],[Entradas]]</f>
        <v>0</v>
      </c>
      <c r="AB1327" s="54">
        <f>STOCK[[#This Row],[Stock Actual]]*STOCK[[#This Row],[Costo total]]</f>
        <v>0</v>
      </c>
      <c r="AC1327" s="77"/>
    </row>
    <row r="1328" s="53" customFormat="1" ht="50" customHeight="1" spans="1:29">
      <c r="A1328" s="53" t="s">
        <v>2739</v>
      </c>
      <c r="B1328" s="78"/>
      <c r="C1328" s="77" t="s">
        <v>32</v>
      </c>
      <c r="D1328" s="77" t="s">
        <v>1226</v>
      </c>
      <c r="E1328" s="79" t="s">
        <v>2740</v>
      </c>
      <c r="F1328" s="77" t="s">
        <v>754</v>
      </c>
      <c r="G1328" s="77" t="s">
        <v>36</v>
      </c>
      <c r="H1328" s="77">
        <f>STOCK[[#This Row],[Precio Final]]</f>
        <v>12</v>
      </c>
      <c r="I1328" s="77">
        <f>STOCK[[#This Row],[Precio Venta Ideal (x1.5)]]</f>
        <v>14.31</v>
      </c>
      <c r="J1328" s="80">
        <v>1</v>
      </c>
      <c r="K1328" s="80">
        <f>SUMIFS(VENTAS[Cantidad],VENTAS[Código del producto Vendido],STOCK[[#This Row],[Code]])</f>
        <v>1</v>
      </c>
      <c r="L1328" s="80">
        <f>STOCK[[#This Row],[Entradas]]-STOCK[[#This Row],[Salidas]]</f>
        <v>0</v>
      </c>
      <c r="M1328" s="77">
        <f>STOCK[[#This Row],[Precio Final]]*10%</f>
        <v>1.2</v>
      </c>
      <c r="N1328" s="77">
        <v>0</v>
      </c>
      <c r="O1328" s="77">
        <v>0</v>
      </c>
      <c r="P1328" s="77">
        <v>5.97</v>
      </c>
      <c r="Q1328" s="80">
        <v>0</v>
      </c>
      <c r="R1328" s="77">
        <v>0</v>
      </c>
      <c r="S1328" s="77">
        <v>2.37</v>
      </c>
      <c r="T1328" s="77">
        <f>STOCK[[#This Row],[Costo Unitario (USD)]]+STOCK[[#This Row],[Costo Envío (USD)]]+STOCK[[#This Row],[Comisión 10%]]</f>
        <v>9.54</v>
      </c>
      <c r="U1328" s="53">
        <f>STOCK[[#This Row],[Costo total]]*1.5</f>
        <v>14.31</v>
      </c>
      <c r="V1328" s="77">
        <v>12</v>
      </c>
      <c r="W1328" s="77">
        <f>STOCK[[#This Row],[Precio Final]]-STOCK[[#This Row],[Costo total]]</f>
        <v>2.46</v>
      </c>
      <c r="X1328" s="77">
        <f>STOCK[[#This Row],[Ganancia Unitaria]]*STOCK[[#This Row],[Salidas]]</f>
        <v>2.46</v>
      </c>
      <c r="Y1328" s="77" t="s">
        <v>2732</v>
      </c>
      <c r="Z1328" s="77"/>
      <c r="AA1328" s="54">
        <f>STOCK[[#This Row],[Costo total]]*STOCK[[#This Row],[Entradas]]</f>
        <v>9.54</v>
      </c>
      <c r="AB1328" s="54">
        <f>STOCK[[#This Row],[Stock Actual]]*STOCK[[#This Row],[Costo total]]</f>
        <v>0</v>
      </c>
      <c r="AC1328" s="77"/>
    </row>
    <row r="1329" s="53" customFormat="1" ht="50" customHeight="1" spans="1:29">
      <c r="A1329" s="53" t="s">
        <v>2741</v>
      </c>
      <c r="B1329" s="78"/>
      <c r="C1329" s="77" t="s">
        <v>32</v>
      </c>
      <c r="D1329" s="77" t="s">
        <v>1226</v>
      </c>
      <c r="E1329" s="79" t="s">
        <v>2742</v>
      </c>
      <c r="F1329" s="77" t="s">
        <v>2743</v>
      </c>
      <c r="G1329" s="77" t="s">
        <v>36</v>
      </c>
      <c r="H1329" s="77">
        <f>STOCK[[#This Row],[Precio Final]]</f>
        <v>12</v>
      </c>
      <c r="I1329" s="77">
        <f>STOCK[[#This Row],[Precio Venta Ideal (x1.5)]]</f>
        <v>14.31</v>
      </c>
      <c r="J1329" s="80">
        <v>1</v>
      </c>
      <c r="K1329" s="80">
        <f>SUMIFS(VENTAS[Cantidad],VENTAS[Código del producto Vendido],STOCK[[#This Row],[Code]])</f>
        <v>1</v>
      </c>
      <c r="L1329" s="80">
        <f>STOCK[[#This Row],[Entradas]]-STOCK[[#This Row],[Salidas]]</f>
        <v>0</v>
      </c>
      <c r="M1329" s="77">
        <f>STOCK[[#This Row],[Precio Final]]*10%</f>
        <v>1.2</v>
      </c>
      <c r="N1329" s="77">
        <v>0</v>
      </c>
      <c r="O1329" s="77">
        <v>0</v>
      </c>
      <c r="P1329" s="77">
        <v>5.97</v>
      </c>
      <c r="Q1329" s="80">
        <v>0</v>
      </c>
      <c r="R1329" s="77">
        <v>0</v>
      </c>
      <c r="S1329" s="77">
        <v>2.37</v>
      </c>
      <c r="T1329" s="77">
        <f>STOCK[[#This Row],[Costo Unitario (USD)]]+STOCK[[#This Row],[Costo Envío (USD)]]+STOCK[[#This Row],[Comisión 10%]]</f>
        <v>9.54</v>
      </c>
      <c r="U1329" s="53">
        <f>STOCK[[#This Row],[Costo total]]*1.5</f>
        <v>14.31</v>
      </c>
      <c r="V1329" s="77">
        <v>12</v>
      </c>
      <c r="W1329" s="77">
        <f>STOCK[[#This Row],[Precio Final]]-STOCK[[#This Row],[Costo total]]</f>
        <v>2.46</v>
      </c>
      <c r="X1329" s="77">
        <f>STOCK[[#This Row],[Ganancia Unitaria]]*STOCK[[#This Row],[Salidas]]</f>
        <v>2.46</v>
      </c>
      <c r="Y1329" s="77" t="s">
        <v>2732</v>
      </c>
      <c r="Z1329" s="77"/>
      <c r="AA1329" s="54">
        <f>STOCK[[#This Row],[Costo total]]*STOCK[[#This Row],[Entradas]]</f>
        <v>9.54</v>
      </c>
      <c r="AB1329" s="54">
        <f>STOCK[[#This Row],[Stock Actual]]*STOCK[[#This Row],[Costo total]]</f>
        <v>0</v>
      </c>
      <c r="AC1329" s="77"/>
    </row>
    <row r="1330" s="53" customFormat="1" ht="50" customHeight="1" spans="1:29">
      <c r="A1330" s="53" t="s">
        <v>2744</v>
      </c>
      <c r="B1330" s="78"/>
      <c r="C1330" s="77" t="s">
        <v>32</v>
      </c>
      <c r="D1330" s="77" t="s">
        <v>2127</v>
      </c>
      <c r="E1330" s="79" t="s">
        <v>2745</v>
      </c>
      <c r="F1330" s="77" t="s">
        <v>46</v>
      </c>
      <c r="G1330" s="77" t="s">
        <v>36</v>
      </c>
      <c r="H1330" s="77">
        <f>STOCK[[#This Row],[Precio Final]]</f>
        <v>15</v>
      </c>
      <c r="I1330" s="77">
        <f>STOCK[[#This Row],[Precio Venta Ideal (x1.5)]]</f>
        <v>13.095</v>
      </c>
      <c r="J1330" s="80">
        <v>1</v>
      </c>
      <c r="K1330" s="80">
        <f>SUMIFS(VENTAS[Cantidad],VENTAS[Código del producto Vendido],STOCK[[#This Row],[Code]])</f>
        <v>0</v>
      </c>
      <c r="L1330" s="80">
        <f>STOCK[[#This Row],[Entradas]]-STOCK[[#This Row],[Salidas]]</f>
        <v>1</v>
      </c>
      <c r="M1330" s="77">
        <f>STOCK[[#This Row],[Precio Final]]*10%</f>
        <v>1.5</v>
      </c>
      <c r="N1330" s="77">
        <v>0</v>
      </c>
      <c r="O1330" s="77">
        <v>0</v>
      </c>
      <c r="P1330" s="77">
        <v>4.86</v>
      </c>
      <c r="Q1330" s="80">
        <v>0</v>
      </c>
      <c r="R1330" s="77">
        <v>0</v>
      </c>
      <c r="S1330" s="77">
        <v>2.37</v>
      </c>
      <c r="T1330" s="77">
        <f>STOCK[[#This Row],[Costo Unitario (USD)]]+STOCK[[#This Row],[Costo Envío (USD)]]+STOCK[[#This Row],[Comisión 10%]]</f>
        <v>8.73</v>
      </c>
      <c r="U1330" s="53">
        <f>STOCK[[#This Row],[Costo total]]*1.5</f>
        <v>13.095</v>
      </c>
      <c r="V1330" s="77">
        <v>15</v>
      </c>
      <c r="W1330" s="77">
        <f>STOCK[[#This Row],[Precio Final]]-STOCK[[#This Row],[Costo total]]</f>
        <v>6.27</v>
      </c>
      <c r="X1330" s="77">
        <f>STOCK[[#This Row],[Ganancia Unitaria]]*STOCK[[#This Row],[Salidas]]</f>
        <v>0</v>
      </c>
      <c r="Y1330" s="77" t="s">
        <v>2732</v>
      </c>
      <c r="Z1330" s="77"/>
      <c r="AA1330" s="54">
        <f>STOCK[[#This Row],[Costo total]]*STOCK[[#This Row],[Entradas]]</f>
        <v>8.73</v>
      </c>
      <c r="AB1330" s="54">
        <f>STOCK[[#This Row],[Stock Actual]]*STOCK[[#This Row],[Costo total]]</f>
        <v>8.73</v>
      </c>
      <c r="AC1330" s="77"/>
    </row>
    <row r="1331" s="53" customFormat="1" ht="50" customHeight="1" spans="1:29">
      <c r="A1331" s="53" t="s">
        <v>2746</v>
      </c>
      <c r="B1331" s="78"/>
      <c r="C1331" s="77" t="s">
        <v>32</v>
      </c>
      <c r="D1331" s="77" t="s">
        <v>2127</v>
      </c>
      <c r="E1331" s="79" t="s">
        <v>2747</v>
      </c>
      <c r="F1331" s="77" t="s">
        <v>49</v>
      </c>
      <c r="G1331" s="77" t="s">
        <v>36</v>
      </c>
      <c r="H1331" s="77">
        <f>STOCK[[#This Row],[Precio Final]]</f>
        <v>25</v>
      </c>
      <c r="I1331" s="77">
        <f>STOCK[[#This Row],[Precio Venta Ideal (x1.5)]]</f>
        <v>26.73</v>
      </c>
      <c r="J1331" s="80">
        <v>1</v>
      </c>
      <c r="K1331" s="80">
        <f>SUMIFS(VENTAS[Cantidad],VENTAS[Código del producto Vendido],STOCK[[#This Row],[Code]])</f>
        <v>0</v>
      </c>
      <c r="L1331" s="80">
        <f>STOCK[[#This Row],[Entradas]]-STOCK[[#This Row],[Salidas]]</f>
        <v>1</v>
      </c>
      <c r="M1331" s="77">
        <f>STOCK[[#This Row],[Precio Final]]*10%</f>
        <v>2.5</v>
      </c>
      <c r="N1331" s="77">
        <v>0</v>
      </c>
      <c r="O1331" s="77">
        <v>0</v>
      </c>
      <c r="P1331" s="77">
        <v>12.95</v>
      </c>
      <c r="Q1331" s="80">
        <v>0</v>
      </c>
      <c r="R1331" s="77">
        <v>0</v>
      </c>
      <c r="S1331" s="77">
        <v>2.37</v>
      </c>
      <c r="T1331" s="77">
        <f>STOCK[[#This Row],[Costo Unitario (USD)]]+STOCK[[#This Row],[Costo Envío (USD)]]+STOCK[[#This Row],[Comisión 10%]]</f>
        <v>17.82</v>
      </c>
      <c r="U1331" s="53">
        <f>STOCK[[#This Row],[Costo total]]*1.5</f>
        <v>26.73</v>
      </c>
      <c r="V1331" s="77">
        <v>25</v>
      </c>
      <c r="W1331" s="77">
        <f>STOCK[[#This Row],[Precio Final]]-STOCK[[#This Row],[Costo total]]</f>
        <v>7.18</v>
      </c>
      <c r="X1331" s="77">
        <f>STOCK[[#This Row],[Ganancia Unitaria]]*STOCK[[#This Row],[Salidas]]</f>
        <v>0</v>
      </c>
      <c r="Y1331" s="77" t="s">
        <v>2732</v>
      </c>
      <c r="Z1331" s="77"/>
      <c r="AA1331" s="54">
        <f>STOCK[[#This Row],[Costo total]]*STOCK[[#This Row],[Entradas]]</f>
        <v>17.82</v>
      </c>
      <c r="AB1331" s="54">
        <f>STOCK[[#This Row],[Stock Actual]]*STOCK[[#This Row],[Costo total]]</f>
        <v>17.82</v>
      </c>
      <c r="AC1331" s="77"/>
    </row>
    <row r="1332" s="53" customFormat="1" ht="50" customHeight="1" spans="1:29">
      <c r="A1332" s="53" t="s">
        <v>2748</v>
      </c>
      <c r="B1332" s="78"/>
      <c r="C1332" s="77" t="s">
        <v>32</v>
      </c>
      <c r="D1332" s="77" t="s">
        <v>2133</v>
      </c>
      <c r="E1332" s="79" t="s">
        <v>2749</v>
      </c>
      <c r="F1332" s="77" t="s">
        <v>62</v>
      </c>
      <c r="G1332" s="77" t="s">
        <v>36</v>
      </c>
      <c r="H1332" s="77">
        <f>STOCK[[#This Row],[Precio Final]]</f>
        <v>35</v>
      </c>
      <c r="I1332" s="77">
        <f>STOCK[[#This Row],[Precio Venta Ideal (x1.5)]]</f>
        <v>27.03</v>
      </c>
      <c r="J1332" s="80">
        <v>2</v>
      </c>
      <c r="K1332" s="80">
        <f>SUMIFS(VENTAS[Cantidad],VENTAS[Código del producto Vendido],STOCK[[#This Row],[Code]])</f>
        <v>1</v>
      </c>
      <c r="L1332" s="80">
        <f>STOCK[[#This Row],[Entradas]]-STOCK[[#This Row],[Salidas]]</f>
        <v>1</v>
      </c>
      <c r="M1332" s="77">
        <f>STOCK[[#This Row],[Precio Final]]*10%</f>
        <v>3.5</v>
      </c>
      <c r="N1332" s="77">
        <v>0</v>
      </c>
      <c r="O1332" s="77">
        <v>0</v>
      </c>
      <c r="P1332" s="77">
        <v>12.15</v>
      </c>
      <c r="Q1332" s="80">
        <v>0</v>
      </c>
      <c r="R1332" s="77">
        <v>0</v>
      </c>
      <c r="S1332" s="77">
        <v>2.37</v>
      </c>
      <c r="T1332" s="77">
        <f>STOCK[[#This Row],[Costo Unitario (USD)]]+STOCK[[#This Row],[Costo Envío (USD)]]+STOCK[[#This Row],[Comisión 10%]]</f>
        <v>18.02</v>
      </c>
      <c r="U1332" s="53">
        <f>STOCK[[#This Row],[Costo total]]*1.5</f>
        <v>27.03</v>
      </c>
      <c r="V1332" s="77">
        <v>35</v>
      </c>
      <c r="W1332" s="77">
        <f>STOCK[[#This Row],[Precio Final]]-STOCK[[#This Row],[Costo total]]</f>
        <v>16.98</v>
      </c>
      <c r="X1332" s="77">
        <f>STOCK[[#This Row],[Ganancia Unitaria]]*STOCK[[#This Row],[Salidas]]</f>
        <v>16.98</v>
      </c>
      <c r="Y1332" s="77" t="s">
        <v>2732</v>
      </c>
      <c r="Z1332" s="77"/>
      <c r="AA1332" s="54">
        <f>STOCK[[#This Row],[Costo total]]*STOCK[[#This Row],[Entradas]]</f>
        <v>36.04</v>
      </c>
      <c r="AB1332" s="54">
        <f>STOCK[[#This Row],[Stock Actual]]*STOCK[[#This Row],[Costo total]]</f>
        <v>18.02</v>
      </c>
      <c r="AC1332" s="77"/>
    </row>
    <row r="1333" s="53" customFormat="1" ht="50" customHeight="1" spans="1:29">
      <c r="A1333" s="53" t="s">
        <v>2750</v>
      </c>
      <c r="B1333" s="78"/>
      <c r="C1333" s="77" t="s">
        <v>32</v>
      </c>
      <c r="D1333" s="77" t="s">
        <v>2629</v>
      </c>
      <c r="E1333" s="79" t="s">
        <v>2751</v>
      </c>
      <c r="F1333" s="77" t="s">
        <v>62</v>
      </c>
      <c r="G1333" s="77" t="s">
        <v>36</v>
      </c>
      <c r="H1333" s="77">
        <f>STOCK[[#This Row],[Precio Final]]</f>
        <v>20</v>
      </c>
      <c r="I1333" s="77">
        <f>STOCK[[#This Row],[Precio Venta Ideal (x1.5)]]</f>
        <v>12.18</v>
      </c>
      <c r="J1333" s="80">
        <v>2</v>
      </c>
      <c r="K1333" s="80">
        <f>SUMIFS(VENTAS[Cantidad],VENTAS[Código del producto Vendido],STOCK[[#This Row],[Code]])</f>
        <v>0</v>
      </c>
      <c r="L1333" s="80">
        <f>STOCK[[#This Row],[Entradas]]-STOCK[[#This Row],[Salidas]]</f>
        <v>2</v>
      </c>
      <c r="M1333" s="77">
        <f>STOCK[[#This Row],[Precio Final]]*10%</f>
        <v>2</v>
      </c>
      <c r="N1333" s="77">
        <v>0</v>
      </c>
      <c r="O1333" s="77">
        <v>0</v>
      </c>
      <c r="P1333" s="77">
        <v>3.75</v>
      </c>
      <c r="Q1333" s="80">
        <v>0</v>
      </c>
      <c r="R1333" s="77">
        <v>0</v>
      </c>
      <c r="S1333" s="77">
        <v>2.37</v>
      </c>
      <c r="T1333" s="77">
        <f>STOCK[[#This Row],[Costo Unitario (USD)]]+STOCK[[#This Row],[Costo Envío (USD)]]+STOCK[[#This Row],[Comisión 10%]]</f>
        <v>8.12</v>
      </c>
      <c r="U1333" s="53">
        <f>STOCK[[#This Row],[Costo total]]*1.5</f>
        <v>12.18</v>
      </c>
      <c r="V1333" s="77">
        <v>20</v>
      </c>
      <c r="W1333" s="77">
        <f>STOCK[[#This Row],[Precio Final]]-STOCK[[#This Row],[Costo total]]</f>
        <v>11.88</v>
      </c>
      <c r="X1333" s="77">
        <f>STOCK[[#This Row],[Ganancia Unitaria]]*STOCK[[#This Row],[Salidas]]</f>
        <v>0</v>
      </c>
      <c r="Y1333" s="77" t="s">
        <v>2732</v>
      </c>
      <c r="Z1333" s="77"/>
      <c r="AA1333" s="54">
        <f>STOCK[[#This Row],[Costo total]]*STOCK[[#This Row],[Entradas]]</f>
        <v>16.24</v>
      </c>
      <c r="AB1333" s="54">
        <f>STOCK[[#This Row],[Stock Actual]]*STOCK[[#This Row],[Costo total]]</f>
        <v>16.24</v>
      </c>
      <c r="AC1333" s="77"/>
    </row>
    <row r="1334" s="53" customFormat="1" ht="50" customHeight="1" spans="1:29">
      <c r="A1334" s="53" t="s">
        <v>2752</v>
      </c>
      <c r="B1334" s="78"/>
      <c r="C1334" s="77" t="s">
        <v>32</v>
      </c>
      <c r="D1334" s="77" t="s">
        <v>2629</v>
      </c>
      <c r="E1334" s="79" t="s">
        <v>2751</v>
      </c>
      <c r="F1334" s="77" t="s">
        <v>49</v>
      </c>
      <c r="G1334" s="77" t="s">
        <v>36</v>
      </c>
      <c r="H1334" s="77">
        <f>STOCK[[#This Row],[Precio Final]]</f>
        <v>20</v>
      </c>
      <c r="I1334" s="77">
        <f>STOCK[[#This Row],[Precio Venta Ideal (x1.5)]]</f>
        <v>12.18</v>
      </c>
      <c r="J1334" s="80">
        <v>2</v>
      </c>
      <c r="K1334" s="80">
        <f>SUMIFS(VENTAS[Cantidad],VENTAS[Código del producto Vendido],STOCK[[#This Row],[Code]])</f>
        <v>2</v>
      </c>
      <c r="L1334" s="80">
        <f>STOCK[[#This Row],[Entradas]]-STOCK[[#This Row],[Salidas]]</f>
        <v>0</v>
      </c>
      <c r="M1334" s="77">
        <f>STOCK[[#This Row],[Precio Final]]*10%</f>
        <v>2</v>
      </c>
      <c r="N1334" s="77">
        <v>0</v>
      </c>
      <c r="O1334" s="77">
        <v>0</v>
      </c>
      <c r="P1334" s="77">
        <v>3.75</v>
      </c>
      <c r="Q1334" s="80">
        <v>0</v>
      </c>
      <c r="R1334" s="77">
        <v>0</v>
      </c>
      <c r="S1334" s="77">
        <v>2.37</v>
      </c>
      <c r="T1334" s="77">
        <f>STOCK[[#This Row],[Costo Unitario (USD)]]+STOCK[[#This Row],[Costo Envío (USD)]]+STOCK[[#This Row],[Comisión 10%]]</f>
        <v>8.12</v>
      </c>
      <c r="U1334" s="53">
        <f>STOCK[[#This Row],[Costo total]]*1.5</f>
        <v>12.18</v>
      </c>
      <c r="V1334" s="77">
        <v>20</v>
      </c>
      <c r="W1334" s="77">
        <f>STOCK[[#This Row],[Precio Final]]-STOCK[[#This Row],[Costo total]]</f>
        <v>11.88</v>
      </c>
      <c r="X1334" s="77">
        <f>STOCK[[#This Row],[Ganancia Unitaria]]*STOCK[[#This Row],[Salidas]]</f>
        <v>23.76</v>
      </c>
      <c r="Y1334" s="77" t="s">
        <v>2732</v>
      </c>
      <c r="Z1334" s="77"/>
      <c r="AA1334" s="54">
        <f>STOCK[[#This Row],[Costo total]]*STOCK[[#This Row],[Entradas]]</f>
        <v>16.24</v>
      </c>
      <c r="AB1334" s="54">
        <f>STOCK[[#This Row],[Stock Actual]]*STOCK[[#This Row],[Costo total]]</f>
        <v>0</v>
      </c>
      <c r="AC1334" s="77"/>
    </row>
    <row r="1335" s="53" customFormat="1" ht="50" customHeight="1" spans="1:29">
      <c r="A1335" s="53" t="s">
        <v>2753</v>
      </c>
      <c r="B1335" s="78"/>
      <c r="C1335" s="77" t="s">
        <v>32</v>
      </c>
      <c r="D1335" s="77" t="s">
        <v>2629</v>
      </c>
      <c r="E1335" s="79" t="s">
        <v>2751</v>
      </c>
      <c r="F1335" s="77" t="s">
        <v>46</v>
      </c>
      <c r="G1335" s="77" t="s">
        <v>36</v>
      </c>
      <c r="H1335" s="77">
        <f>STOCK[[#This Row],[Precio Final]]</f>
        <v>20</v>
      </c>
      <c r="I1335" s="77">
        <f>STOCK[[#This Row],[Precio Venta Ideal (x1.5)]]</f>
        <v>12.18</v>
      </c>
      <c r="J1335" s="80">
        <v>2</v>
      </c>
      <c r="K1335" s="80">
        <f>SUMIFS(VENTAS[Cantidad],VENTAS[Código del producto Vendido],STOCK[[#This Row],[Code]])</f>
        <v>2</v>
      </c>
      <c r="L1335" s="80">
        <f>STOCK[[#This Row],[Entradas]]-STOCK[[#This Row],[Salidas]]</f>
        <v>0</v>
      </c>
      <c r="M1335" s="77">
        <f>STOCK[[#This Row],[Precio Final]]*10%</f>
        <v>2</v>
      </c>
      <c r="N1335" s="77">
        <v>0</v>
      </c>
      <c r="O1335" s="77">
        <v>0</v>
      </c>
      <c r="P1335" s="77">
        <v>3.75</v>
      </c>
      <c r="Q1335" s="80">
        <v>0</v>
      </c>
      <c r="R1335" s="77">
        <v>0</v>
      </c>
      <c r="S1335" s="77">
        <v>2.37</v>
      </c>
      <c r="T1335" s="77">
        <f>STOCK[[#This Row],[Costo Unitario (USD)]]+STOCK[[#This Row],[Costo Envío (USD)]]+STOCK[[#This Row],[Comisión 10%]]</f>
        <v>8.12</v>
      </c>
      <c r="U1335" s="53">
        <f>STOCK[[#This Row],[Costo total]]*1.5</f>
        <v>12.18</v>
      </c>
      <c r="V1335" s="77">
        <v>20</v>
      </c>
      <c r="W1335" s="77">
        <f>STOCK[[#This Row],[Precio Final]]-STOCK[[#This Row],[Costo total]]</f>
        <v>11.88</v>
      </c>
      <c r="X1335" s="77">
        <f>STOCK[[#This Row],[Ganancia Unitaria]]*STOCK[[#This Row],[Salidas]]</f>
        <v>23.76</v>
      </c>
      <c r="Y1335" s="77" t="s">
        <v>2732</v>
      </c>
      <c r="Z1335" s="77"/>
      <c r="AA1335" s="54">
        <f>STOCK[[#This Row],[Costo total]]*STOCK[[#This Row],[Entradas]]</f>
        <v>16.24</v>
      </c>
      <c r="AB1335" s="54">
        <f>STOCK[[#This Row],[Stock Actual]]*STOCK[[#This Row],[Costo total]]</f>
        <v>0</v>
      </c>
      <c r="AC1335" s="77"/>
    </row>
    <row r="1336" s="53" customFormat="1" ht="50" customHeight="1" spans="1:29">
      <c r="A1336" s="53" t="s">
        <v>2754</v>
      </c>
      <c r="B1336" s="78"/>
      <c r="C1336" s="77" t="s">
        <v>32</v>
      </c>
      <c r="D1336" s="77" t="s">
        <v>2629</v>
      </c>
      <c r="E1336" s="79" t="s">
        <v>2755</v>
      </c>
      <c r="F1336" s="77" t="s">
        <v>62</v>
      </c>
      <c r="G1336" s="77" t="s">
        <v>36</v>
      </c>
      <c r="H1336" s="77">
        <f>STOCK[[#This Row],[Precio Final]]</f>
        <v>35</v>
      </c>
      <c r="I1336" s="77">
        <f>STOCK[[#This Row],[Precio Venta Ideal (x1.5)]]</f>
        <v>24.285</v>
      </c>
      <c r="J1336" s="80">
        <v>3</v>
      </c>
      <c r="K1336" s="80">
        <f>SUMIFS(VENTAS[Cantidad],VENTAS[Código del producto Vendido],STOCK[[#This Row],[Code]])</f>
        <v>0</v>
      </c>
      <c r="L1336" s="80">
        <f>STOCK[[#This Row],[Entradas]]-STOCK[[#This Row],[Salidas]]</f>
        <v>3</v>
      </c>
      <c r="M1336" s="77">
        <f>STOCK[[#This Row],[Precio Final]]*10%</f>
        <v>3.5</v>
      </c>
      <c r="N1336" s="77">
        <v>0</v>
      </c>
      <c r="O1336" s="77">
        <v>0</v>
      </c>
      <c r="P1336" s="77">
        <v>10.32</v>
      </c>
      <c r="Q1336" s="80">
        <v>0</v>
      </c>
      <c r="R1336" s="77">
        <v>0</v>
      </c>
      <c r="S1336" s="77">
        <v>2.37</v>
      </c>
      <c r="T1336" s="77">
        <f>STOCK[[#This Row],[Costo Unitario (USD)]]+STOCK[[#This Row],[Costo Envío (USD)]]+STOCK[[#This Row],[Comisión 10%]]</f>
        <v>16.19</v>
      </c>
      <c r="U1336" s="53">
        <f>STOCK[[#This Row],[Costo total]]*1.5</f>
        <v>24.285</v>
      </c>
      <c r="V1336" s="77">
        <v>35</v>
      </c>
      <c r="W1336" s="77">
        <f>STOCK[[#This Row],[Precio Final]]-STOCK[[#This Row],[Costo total]]</f>
        <v>18.81</v>
      </c>
      <c r="X1336" s="77">
        <f>STOCK[[#This Row],[Ganancia Unitaria]]*STOCK[[#This Row],[Salidas]]</f>
        <v>0</v>
      </c>
      <c r="Y1336" s="77" t="s">
        <v>2732</v>
      </c>
      <c r="Z1336" s="77"/>
      <c r="AA1336" s="54">
        <f>STOCK[[#This Row],[Costo total]]*STOCK[[#This Row],[Entradas]]</f>
        <v>48.57</v>
      </c>
      <c r="AB1336" s="54">
        <f>STOCK[[#This Row],[Stock Actual]]*STOCK[[#This Row],[Costo total]]</f>
        <v>48.57</v>
      </c>
      <c r="AC1336" s="77">
        <v>30</v>
      </c>
    </row>
    <row r="1337" s="53" customFormat="1" ht="50" customHeight="1" spans="1:29">
      <c r="A1337" s="53" t="s">
        <v>2756</v>
      </c>
      <c r="B1337" s="78"/>
      <c r="C1337" s="77" t="s">
        <v>32</v>
      </c>
      <c r="D1337" s="77" t="s">
        <v>2629</v>
      </c>
      <c r="E1337" s="79" t="s">
        <v>2755</v>
      </c>
      <c r="F1337" s="77" t="s">
        <v>49</v>
      </c>
      <c r="G1337" s="77" t="s">
        <v>36</v>
      </c>
      <c r="H1337" s="77">
        <f>STOCK[[#This Row],[Precio Final]]</f>
        <v>35</v>
      </c>
      <c r="I1337" s="77">
        <f>STOCK[[#This Row],[Precio Venta Ideal (x1.5)]]</f>
        <v>24.285</v>
      </c>
      <c r="J1337" s="80">
        <v>3</v>
      </c>
      <c r="K1337" s="80">
        <f>SUMIFS(VENTAS[Cantidad],VENTAS[Código del producto Vendido],STOCK[[#This Row],[Code]])</f>
        <v>0</v>
      </c>
      <c r="L1337" s="80">
        <f>STOCK[[#This Row],[Entradas]]-STOCK[[#This Row],[Salidas]]</f>
        <v>3</v>
      </c>
      <c r="M1337" s="77">
        <f>STOCK[[#This Row],[Precio Final]]*10%</f>
        <v>3.5</v>
      </c>
      <c r="N1337" s="77">
        <v>0</v>
      </c>
      <c r="O1337" s="77">
        <v>0</v>
      </c>
      <c r="P1337" s="77">
        <v>10.32</v>
      </c>
      <c r="Q1337" s="80">
        <v>0</v>
      </c>
      <c r="R1337" s="77">
        <v>0</v>
      </c>
      <c r="S1337" s="77">
        <v>2.37</v>
      </c>
      <c r="T1337" s="77">
        <f>STOCK[[#This Row],[Costo Unitario (USD)]]+STOCK[[#This Row],[Costo Envío (USD)]]+STOCK[[#This Row],[Comisión 10%]]</f>
        <v>16.19</v>
      </c>
      <c r="U1337" s="53">
        <f>STOCK[[#This Row],[Costo total]]*1.5</f>
        <v>24.285</v>
      </c>
      <c r="V1337" s="77">
        <v>35</v>
      </c>
      <c r="W1337" s="77">
        <f>STOCK[[#This Row],[Precio Final]]-STOCK[[#This Row],[Costo total]]</f>
        <v>18.81</v>
      </c>
      <c r="X1337" s="77">
        <f>STOCK[[#This Row],[Ganancia Unitaria]]*STOCK[[#This Row],[Salidas]]</f>
        <v>0</v>
      </c>
      <c r="Y1337" s="77" t="s">
        <v>2732</v>
      </c>
      <c r="Z1337" s="77"/>
      <c r="AA1337" s="54">
        <f>STOCK[[#This Row],[Costo total]]*STOCK[[#This Row],[Entradas]]</f>
        <v>48.57</v>
      </c>
      <c r="AB1337" s="54">
        <f>STOCK[[#This Row],[Stock Actual]]*STOCK[[#This Row],[Costo total]]</f>
        <v>48.57</v>
      </c>
      <c r="AC1337" s="77">
        <v>30</v>
      </c>
    </row>
    <row r="1338" s="53" customFormat="1" ht="50" customHeight="1" spans="1:29">
      <c r="A1338" s="53" t="s">
        <v>2757</v>
      </c>
      <c r="B1338" s="78"/>
      <c r="C1338" s="77" t="s">
        <v>32</v>
      </c>
      <c r="D1338" s="77" t="s">
        <v>2629</v>
      </c>
      <c r="E1338" s="79" t="s">
        <v>2755</v>
      </c>
      <c r="F1338" s="77" t="s">
        <v>46</v>
      </c>
      <c r="G1338" s="77" t="s">
        <v>36</v>
      </c>
      <c r="H1338" s="53">
        <f>STOCK[[#This Row],[Precio Final]]</f>
        <v>35</v>
      </c>
      <c r="I1338" s="81">
        <f>STOCK[[#This Row],[Precio Venta Ideal (x1.5)]]</f>
        <v>24.285</v>
      </c>
      <c r="J1338" s="80">
        <v>3</v>
      </c>
      <c r="K1338" s="71">
        <f>SUMIFS(VENTAS[Cantidad],VENTAS[Código del producto Vendido],STOCK[[#This Row],[Code]])</f>
        <v>0</v>
      </c>
      <c r="L1338" s="71">
        <f>STOCK[[#This Row],[Entradas]]-STOCK[[#This Row],[Salidas]]</f>
        <v>3</v>
      </c>
      <c r="M1338" s="53">
        <f>STOCK[[#This Row],[Precio Final]]*10%</f>
        <v>3.5</v>
      </c>
      <c r="N1338" s="77">
        <v>0</v>
      </c>
      <c r="O1338" s="77">
        <v>0</v>
      </c>
      <c r="P1338" s="53">
        <v>10.32</v>
      </c>
      <c r="Q1338" s="80">
        <v>0</v>
      </c>
      <c r="R1338" s="77">
        <v>0</v>
      </c>
      <c r="S1338" s="77">
        <v>2.37</v>
      </c>
      <c r="T1338" s="53">
        <f>STOCK[[#This Row],[Costo Unitario (USD)]]+STOCK[[#This Row],[Costo Envío (USD)]]+STOCK[[#This Row],[Comisión 10%]]</f>
        <v>16.19</v>
      </c>
      <c r="U1338" s="53">
        <f>STOCK[[#This Row],[Costo total]]*1.5</f>
        <v>24.285</v>
      </c>
      <c r="V1338" s="53">
        <v>35</v>
      </c>
      <c r="W1338" s="53">
        <f>STOCK[[#This Row],[Precio Final]]-STOCK[[#This Row],[Costo total]]</f>
        <v>18.81</v>
      </c>
      <c r="X1338" s="53">
        <f>STOCK[[#This Row],[Ganancia Unitaria]]*STOCK[[#This Row],[Salidas]]</f>
        <v>0</v>
      </c>
      <c r="Y1338" s="77" t="s">
        <v>2732</v>
      </c>
      <c r="AA1338" s="54">
        <f>STOCK[[#This Row],[Costo total]]*STOCK[[#This Row],[Entradas]]</f>
        <v>48.57</v>
      </c>
      <c r="AB1338" s="54">
        <f>STOCK[[#This Row],[Stock Actual]]*STOCK[[#This Row],[Costo total]]</f>
        <v>48.57</v>
      </c>
      <c r="AC1338" s="53">
        <v>30</v>
      </c>
    </row>
    <row r="1339" s="53" customFormat="1" ht="50" customHeight="1" spans="1:29">
      <c r="A1339" s="53" t="s">
        <v>2758</v>
      </c>
      <c r="B1339" s="78"/>
      <c r="C1339" s="77" t="s">
        <v>32</v>
      </c>
      <c r="D1339" s="77" t="s">
        <v>2629</v>
      </c>
      <c r="E1339" s="79" t="s">
        <v>2759</v>
      </c>
      <c r="F1339" s="77" t="s">
        <v>62</v>
      </c>
      <c r="G1339" s="77" t="s">
        <v>36</v>
      </c>
      <c r="H1339" s="77">
        <f>STOCK[[#This Row],[Precio Final]]</f>
        <v>15</v>
      </c>
      <c r="I1339" s="82">
        <f>STOCK[[#This Row],[Precio Venta Ideal (x1.5)]]</f>
        <v>18.675</v>
      </c>
      <c r="J1339" s="80">
        <v>0</v>
      </c>
      <c r="K1339" s="80">
        <f>SUMIFS(VENTAS[Cantidad],VENTAS[Código del producto Vendido],STOCK[[#This Row],[Code]])</f>
        <v>0</v>
      </c>
      <c r="L1339" s="80">
        <f>STOCK[[#This Row],[Entradas]]-STOCK[[#This Row],[Salidas]]</f>
        <v>0</v>
      </c>
      <c r="M1339" s="77">
        <f>STOCK[[#This Row],[Precio Final]]*10%</f>
        <v>1.5</v>
      </c>
      <c r="N1339" s="77">
        <v>0</v>
      </c>
      <c r="O1339" s="77">
        <v>0</v>
      </c>
      <c r="P1339" s="77">
        <v>8.58</v>
      </c>
      <c r="Q1339" s="80">
        <v>0</v>
      </c>
      <c r="R1339" s="77">
        <v>0</v>
      </c>
      <c r="S1339" s="77">
        <v>2.37</v>
      </c>
      <c r="T1339" s="77">
        <f>STOCK[[#This Row],[Costo Unitario (USD)]]+STOCK[[#This Row],[Costo Envío (USD)]]+STOCK[[#This Row],[Comisión 10%]]</f>
        <v>12.45</v>
      </c>
      <c r="U1339" s="53">
        <f>STOCK[[#This Row],[Costo total]]*1.5</f>
        <v>18.675</v>
      </c>
      <c r="V1339" s="77">
        <v>15</v>
      </c>
      <c r="W1339" s="77">
        <f>STOCK[[#This Row],[Precio Final]]-STOCK[[#This Row],[Costo total]]</f>
        <v>2.55</v>
      </c>
      <c r="X1339" s="77">
        <f>STOCK[[#This Row],[Ganancia Unitaria]]*STOCK[[#This Row],[Salidas]]</f>
        <v>0</v>
      </c>
      <c r="Y1339" s="77" t="s">
        <v>2732</v>
      </c>
      <c r="Z1339" s="77"/>
      <c r="AA1339" s="54">
        <f>STOCK[[#This Row],[Costo total]]*STOCK[[#This Row],[Entradas]]</f>
        <v>0</v>
      </c>
      <c r="AB1339" s="54">
        <f>STOCK[[#This Row],[Stock Actual]]*STOCK[[#This Row],[Costo total]]</f>
        <v>0</v>
      </c>
      <c r="AC1339" s="77"/>
    </row>
    <row r="1340" s="53" customFormat="1" ht="50" customHeight="1" spans="1:29">
      <c r="A1340" s="53" t="s">
        <v>2760</v>
      </c>
      <c r="B1340" s="78"/>
      <c r="C1340" s="77" t="s">
        <v>32</v>
      </c>
      <c r="D1340" s="77" t="s">
        <v>2629</v>
      </c>
      <c r="E1340" s="79" t="s">
        <v>2761</v>
      </c>
      <c r="F1340" s="77" t="s">
        <v>62</v>
      </c>
      <c r="G1340" s="77" t="s">
        <v>36</v>
      </c>
      <c r="H1340" s="77">
        <f>STOCK[[#This Row],[Precio Final]]</f>
        <v>25</v>
      </c>
      <c r="I1340" s="82">
        <f>STOCK[[#This Row],[Precio Venta Ideal (x1.5)]]</f>
        <v>21.15</v>
      </c>
      <c r="J1340" s="80">
        <v>1</v>
      </c>
      <c r="K1340" s="80">
        <f>SUMIFS(VENTAS[Cantidad],VENTAS[Código del producto Vendido],STOCK[[#This Row],[Code]])</f>
        <v>1</v>
      </c>
      <c r="L1340" s="80">
        <f>STOCK[[#This Row],[Entradas]]-STOCK[[#This Row],[Salidas]]</f>
        <v>0</v>
      </c>
      <c r="M1340" s="77">
        <f>STOCK[[#This Row],[Precio Final]]*10%</f>
        <v>2.5</v>
      </c>
      <c r="N1340" s="77">
        <v>0</v>
      </c>
      <c r="O1340" s="77">
        <v>0</v>
      </c>
      <c r="P1340" s="77">
        <v>9.23</v>
      </c>
      <c r="Q1340" s="80">
        <v>0</v>
      </c>
      <c r="R1340" s="77">
        <v>0</v>
      </c>
      <c r="S1340" s="77">
        <v>2.37</v>
      </c>
      <c r="T1340" s="77">
        <f>STOCK[[#This Row],[Costo Unitario (USD)]]+STOCK[[#This Row],[Costo Envío (USD)]]+STOCK[[#This Row],[Comisión 10%]]</f>
        <v>14.1</v>
      </c>
      <c r="U1340" s="53">
        <f>STOCK[[#This Row],[Costo total]]*1.5</f>
        <v>21.15</v>
      </c>
      <c r="V1340" s="77">
        <v>25</v>
      </c>
      <c r="W1340" s="77">
        <f>STOCK[[#This Row],[Precio Final]]-STOCK[[#This Row],[Costo total]]</f>
        <v>10.9</v>
      </c>
      <c r="X1340" s="77">
        <f>STOCK[[#This Row],[Ganancia Unitaria]]*STOCK[[#This Row],[Salidas]]</f>
        <v>10.9</v>
      </c>
      <c r="Y1340" s="77" t="s">
        <v>2732</v>
      </c>
      <c r="Z1340" s="77"/>
      <c r="AA1340" s="54">
        <f>STOCK[[#This Row],[Costo total]]*STOCK[[#This Row],[Entradas]]</f>
        <v>14.1</v>
      </c>
      <c r="AB1340" s="54">
        <f>STOCK[[#This Row],[Stock Actual]]*STOCK[[#This Row],[Costo total]]</f>
        <v>0</v>
      </c>
      <c r="AC1340" s="77"/>
    </row>
    <row r="1341" s="53" customFormat="1" ht="50" customHeight="1" spans="1:29">
      <c r="A1341" s="53" t="s">
        <v>2762</v>
      </c>
      <c r="B1341" s="78"/>
      <c r="C1341" s="77" t="s">
        <v>32</v>
      </c>
      <c r="D1341" s="77" t="s">
        <v>2127</v>
      </c>
      <c r="E1341" s="79" t="s">
        <v>2763</v>
      </c>
      <c r="F1341" s="77" t="s">
        <v>62</v>
      </c>
      <c r="G1341" s="77" t="s">
        <v>36</v>
      </c>
      <c r="H1341" s="77">
        <f>STOCK[[#This Row],[Precio Final]]</f>
        <v>22</v>
      </c>
      <c r="I1341" s="82">
        <f>STOCK[[#This Row],[Precio Venta Ideal (x1.5)]]</f>
        <v>23.145</v>
      </c>
      <c r="J1341" s="80">
        <v>2</v>
      </c>
      <c r="K1341" s="80">
        <f>SUMIFS(VENTAS[Cantidad],VENTAS[Código del producto Vendido],STOCK[[#This Row],[Code]])</f>
        <v>2</v>
      </c>
      <c r="L1341" s="80">
        <f>STOCK[[#This Row],[Entradas]]-STOCK[[#This Row],[Salidas]]</f>
        <v>0</v>
      </c>
      <c r="M1341" s="77">
        <f>STOCK[[#This Row],[Precio Final]]*10%</f>
        <v>2.2</v>
      </c>
      <c r="N1341" s="77">
        <v>0</v>
      </c>
      <c r="O1341" s="77">
        <v>0</v>
      </c>
      <c r="P1341" s="77">
        <v>10.86</v>
      </c>
      <c r="Q1341" s="80">
        <v>0</v>
      </c>
      <c r="R1341" s="77">
        <v>0</v>
      </c>
      <c r="S1341" s="77">
        <v>2.37</v>
      </c>
      <c r="T1341" s="77">
        <f>STOCK[[#This Row],[Costo Unitario (USD)]]+STOCK[[#This Row],[Costo Envío (USD)]]+STOCK[[#This Row],[Comisión 10%]]</f>
        <v>15.43</v>
      </c>
      <c r="U1341" s="53">
        <f>STOCK[[#This Row],[Costo total]]*1.5</f>
        <v>23.145</v>
      </c>
      <c r="V1341" s="77">
        <v>22</v>
      </c>
      <c r="W1341" s="77">
        <f>STOCK[[#This Row],[Precio Final]]-STOCK[[#This Row],[Costo total]]</f>
        <v>6.57</v>
      </c>
      <c r="X1341" s="77">
        <f>STOCK[[#This Row],[Ganancia Unitaria]]*STOCK[[#This Row],[Salidas]]</f>
        <v>13.14</v>
      </c>
      <c r="Y1341" s="77" t="s">
        <v>2732</v>
      </c>
      <c r="Z1341" s="77"/>
      <c r="AA1341" s="54">
        <f>STOCK[[#This Row],[Costo total]]*STOCK[[#This Row],[Entradas]]</f>
        <v>30.86</v>
      </c>
      <c r="AB1341" s="54">
        <f>STOCK[[#This Row],[Stock Actual]]*STOCK[[#This Row],[Costo total]]</f>
        <v>0</v>
      </c>
      <c r="AC1341" s="77"/>
    </row>
    <row r="1342" s="53" customFormat="1" ht="50" customHeight="1" spans="1:29">
      <c r="A1342" s="53" t="s">
        <v>2764</v>
      </c>
      <c r="B1342" s="78"/>
      <c r="C1342" s="77" t="s">
        <v>32</v>
      </c>
      <c r="D1342" s="77" t="s">
        <v>2127</v>
      </c>
      <c r="E1342" s="79" t="s">
        <v>2763</v>
      </c>
      <c r="F1342" s="77" t="s">
        <v>49</v>
      </c>
      <c r="G1342" s="77" t="s">
        <v>36</v>
      </c>
      <c r="H1342" s="77">
        <f>STOCK[[#This Row],[Precio Final]]</f>
        <v>22</v>
      </c>
      <c r="I1342" s="82">
        <f>STOCK[[#This Row],[Precio Venta Ideal (x1.5)]]</f>
        <v>23.145</v>
      </c>
      <c r="J1342" s="80">
        <v>2</v>
      </c>
      <c r="K1342" s="80">
        <f>SUMIFS(VENTAS[Cantidad],VENTAS[Código del producto Vendido],STOCK[[#This Row],[Code]])</f>
        <v>1</v>
      </c>
      <c r="L1342" s="80">
        <f>STOCK[[#This Row],[Entradas]]-STOCK[[#This Row],[Salidas]]</f>
        <v>1</v>
      </c>
      <c r="M1342" s="77">
        <f>STOCK[[#This Row],[Precio Final]]*10%</f>
        <v>2.2</v>
      </c>
      <c r="N1342" s="77">
        <v>0</v>
      </c>
      <c r="O1342" s="77">
        <v>0</v>
      </c>
      <c r="P1342" s="77">
        <v>10.86</v>
      </c>
      <c r="Q1342" s="80">
        <v>0</v>
      </c>
      <c r="R1342" s="77">
        <v>0</v>
      </c>
      <c r="S1342" s="77">
        <v>2.37</v>
      </c>
      <c r="T1342" s="77">
        <f>STOCK[[#This Row],[Costo Unitario (USD)]]+STOCK[[#This Row],[Costo Envío (USD)]]+STOCK[[#This Row],[Comisión 10%]]</f>
        <v>15.43</v>
      </c>
      <c r="U1342" s="53">
        <f>STOCK[[#This Row],[Costo total]]*1.5</f>
        <v>23.145</v>
      </c>
      <c r="V1342" s="77">
        <v>22</v>
      </c>
      <c r="W1342" s="77">
        <f>STOCK[[#This Row],[Precio Final]]-STOCK[[#This Row],[Costo total]]</f>
        <v>6.57</v>
      </c>
      <c r="X1342" s="77">
        <f>STOCK[[#This Row],[Ganancia Unitaria]]*STOCK[[#This Row],[Salidas]]</f>
        <v>6.57</v>
      </c>
      <c r="Y1342" s="77" t="s">
        <v>2732</v>
      </c>
      <c r="Z1342" s="77"/>
      <c r="AA1342" s="54">
        <f>STOCK[[#This Row],[Costo total]]*STOCK[[#This Row],[Entradas]]</f>
        <v>30.86</v>
      </c>
      <c r="AB1342" s="54">
        <f>STOCK[[#This Row],[Stock Actual]]*STOCK[[#This Row],[Costo total]]</f>
        <v>15.43</v>
      </c>
      <c r="AC1342" s="77"/>
    </row>
    <row r="1343" s="53" customFormat="1" ht="50" customHeight="1" spans="1:29">
      <c r="A1343" s="53" t="s">
        <v>2765</v>
      </c>
      <c r="B1343" s="78"/>
      <c r="C1343" s="77" t="s">
        <v>32</v>
      </c>
      <c r="D1343" s="77" t="s">
        <v>2127</v>
      </c>
      <c r="E1343" s="79" t="s">
        <v>2763</v>
      </c>
      <c r="F1343" s="77" t="s">
        <v>46</v>
      </c>
      <c r="G1343" s="77" t="s">
        <v>36</v>
      </c>
      <c r="H1343" s="77">
        <f>STOCK[[#This Row],[Precio Final]]</f>
        <v>22</v>
      </c>
      <c r="I1343" s="82">
        <f>STOCK[[#This Row],[Precio Venta Ideal (x1.5)]]</f>
        <v>23.145</v>
      </c>
      <c r="J1343" s="80">
        <v>2</v>
      </c>
      <c r="K1343" s="80">
        <f>SUMIFS(VENTAS[Cantidad],VENTAS[Código del producto Vendido],STOCK[[#This Row],[Code]])</f>
        <v>0</v>
      </c>
      <c r="L1343" s="80">
        <f>STOCK[[#This Row],[Entradas]]-STOCK[[#This Row],[Salidas]]</f>
        <v>2</v>
      </c>
      <c r="M1343" s="77">
        <f>STOCK[[#This Row],[Precio Final]]*10%</f>
        <v>2.2</v>
      </c>
      <c r="N1343" s="77">
        <v>0</v>
      </c>
      <c r="O1343" s="77">
        <v>0</v>
      </c>
      <c r="P1343" s="77">
        <v>10.86</v>
      </c>
      <c r="Q1343" s="80">
        <v>0</v>
      </c>
      <c r="R1343" s="77">
        <v>0</v>
      </c>
      <c r="S1343" s="77">
        <v>2.37</v>
      </c>
      <c r="T1343" s="77">
        <f>STOCK[[#This Row],[Costo Unitario (USD)]]+STOCK[[#This Row],[Costo Envío (USD)]]+STOCK[[#This Row],[Comisión 10%]]</f>
        <v>15.43</v>
      </c>
      <c r="U1343" s="53">
        <f>STOCK[[#This Row],[Costo total]]*1.5</f>
        <v>23.145</v>
      </c>
      <c r="V1343" s="77">
        <v>22</v>
      </c>
      <c r="W1343" s="77">
        <f>STOCK[[#This Row],[Precio Final]]-STOCK[[#This Row],[Costo total]]</f>
        <v>6.57</v>
      </c>
      <c r="X1343" s="77">
        <f>STOCK[[#This Row],[Ganancia Unitaria]]*STOCK[[#This Row],[Salidas]]</f>
        <v>0</v>
      </c>
      <c r="Y1343" s="77" t="s">
        <v>2732</v>
      </c>
      <c r="Z1343" s="77"/>
      <c r="AA1343" s="54">
        <f>STOCK[[#This Row],[Costo total]]*STOCK[[#This Row],[Entradas]]</f>
        <v>30.86</v>
      </c>
      <c r="AB1343" s="54">
        <f>STOCK[[#This Row],[Stock Actual]]*STOCK[[#This Row],[Costo total]]</f>
        <v>30.86</v>
      </c>
      <c r="AC1343" s="77"/>
    </row>
    <row r="1344" s="53" customFormat="1" ht="50" customHeight="1" spans="1:29">
      <c r="A1344" s="53" t="s">
        <v>2766</v>
      </c>
      <c r="B1344" s="78"/>
      <c r="C1344" s="77" t="s">
        <v>32</v>
      </c>
      <c r="D1344" s="77" t="s">
        <v>2127</v>
      </c>
      <c r="E1344" s="79" t="s">
        <v>2767</v>
      </c>
      <c r="F1344" s="77" t="s">
        <v>62</v>
      </c>
      <c r="G1344" s="77" t="s">
        <v>36</v>
      </c>
      <c r="H1344" s="77">
        <f>STOCK[[#This Row],[Precio Final]]</f>
        <v>22</v>
      </c>
      <c r="I1344" s="82">
        <f>STOCK[[#This Row],[Precio Venta Ideal (x1.5)]]</f>
        <v>22.605</v>
      </c>
      <c r="J1344" s="80">
        <v>2</v>
      </c>
      <c r="K1344" s="80">
        <f>SUMIFS(VENTAS[Cantidad],VENTAS[Código del producto Vendido],STOCK[[#This Row],[Code]])</f>
        <v>0</v>
      </c>
      <c r="L1344" s="80">
        <f>STOCK[[#This Row],[Entradas]]-STOCK[[#This Row],[Salidas]]</f>
        <v>2</v>
      </c>
      <c r="M1344" s="77">
        <f>STOCK[[#This Row],[Precio Final]]*10%</f>
        <v>2.2</v>
      </c>
      <c r="N1344" s="77">
        <v>0</v>
      </c>
      <c r="O1344" s="77">
        <v>0</v>
      </c>
      <c r="P1344" s="77">
        <v>10.5</v>
      </c>
      <c r="Q1344" s="80">
        <v>0</v>
      </c>
      <c r="R1344" s="77">
        <v>0</v>
      </c>
      <c r="S1344" s="77">
        <v>2.37</v>
      </c>
      <c r="T1344" s="77">
        <f>STOCK[[#This Row],[Costo Unitario (USD)]]+STOCK[[#This Row],[Costo Envío (USD)]]+STOCK[[#This Row],[Comisión 10%]]</f>
        <v>15.07</v>
      </c>
      <c r="U1344" s="53">
        <f>STOCK[[#This Row],[Costo total]]*1.5</f>
        <v>22.605</v>
      </c>
      <c r="V1344" s="77">
        <v>22</v>
      </c>
      <c r="W1344" s="77">
        <f>STOCK[[#This Row],[Precio Final]]-STOCK[[#This Row],[Costo total]]</f>
        <v>6.93</v>
      </c>
      <c r="X1344" s="77">
        <f>STOCK[[#This Row],[Ganancia Unitaria]]*STOCK[[#This Row],[Salidas]]</f>
        <v>0</v>
      </c>
      <c r="Y1344" s="77" t="s">
        <v>2732</v>
      </c>
      <c r="Z1344" s="77"/>
      <c r="AA1344" s="54">
        <f>STOCK[[#This Row],[Costo total]]*STOCK[[#This Row],[Entradas]]</f>
        <v>30.14</v>
      </c>
      <c r="AB1344" s="54">
        <f>STOCK[[#This Row],[Stock Actual]]*STOCK[[#This Row],[Costo total]]</f>
        <v>30.14</v>
      </c>
      <c r="AC1344" s="77"/>
    </row>
    <row r="1345" s="53" customFormat="1" ht="50" customHeight="1" spans="1:29">
      <c r="A1345" s="53" t="s">
        <v>2768</v>
      </c>
      <c r="B1345" s="78"/>
      <c r="C1345" s="77" t="s">
        <v>32</v>
      </c>
      <c r="D1345" s="77" t="s">
        <v>2127</v>
      </c>
      <c r="E1345" s="79" t="s">
        <v>2767</v>
      </c>
      <c r="F1345" s="77" t="s">
        <v>49</v>
      </c>
      <c r="G1345" s="77" t="s">
        <v>36</v>
      </c>
      <c r="H1345" s="77">
        <f>STOCK[[#This Row],[Precio Final]]</f>
        <v>22</v>
      </c>
      <c r="I1345" s="82">
        <f>STOCK[[#This Row],[Precio Venta Ideal (x1.5)]]</f>
        <v>22.605</v>
      </c>
      <c r="J1345" s="80">
        <v>2</v>
      </c>
      <c r="K1345" s="80">
        <f>SUMIFS(VENTAS[Cantidad],VENTAS[Código del producto Vendido],STOCK[[#This Row],[Code]])</f>
        <v>0</v>
      </c>
      <c r="L1345" s="80">
        <f>STOCK[[#This Row],[Entradas]]-STOCK[[#This Row],[Salidas]]</f>
        <v>2</v>
      </c>
      <c r="M1345" s="77">
        <f>STOCK[[#This Row],[Precio Final]]*10%</f>
        <v>2.2</v>
      </c>
      <c r="N1345" s="77">
        <v>0</v>
      </c>
      <c r="O1345" s="77">
        <v>0</v>
      </c>
      <c r="P1345" s="77">
        <v>10.5</v>
      </c>
      <c r="Q1345" s="80">
        <v>0</v>
      </c>
      <c r="R1345" s="77">
        <v>0</v>
      </c>
      <c r="S1345" s="77">
        <v>2.37</v>
      </c>
      <c r="T1345" s="77">
        <f>STOCK[[#This Row],[Costo Unitario (USD)]]+STOCK[[#This Row],[Costo Envío (USD)]]+STOCK[[#This Row],[Comisión 10%]]</f>
        <v>15.07</v>
      </c>
      <c r="U1345" s="53">
        <f>STOCK[[#This Row],[Costo total]]*1.5</f>
        <v>22.605</v>
      </c>
      <c r="V1345" s="77">
        <v>22</v>
      </c>
      <c r="W1345" s="77">
        <f>STOCK[[#This Row],[Precio Final]]-STOCK[[#This Row],[Costo total]]</f>
        <v>6.93</v>
      </c>
      <c r="X1345" s="77">
        <f>STOCK[[#This Row],[Ganancia Unitaria]]*STOCK[[#This Row],[Salidas]]</f>
        <v>0</v>
      </c>
      <c r="Y1345" s="77" t="s">
        <v>2732</v>
      </c>
      <c r="Z1345" s="77"/>
      <c r="AA1345" s="54">
        <f>STOCK[[#This Row],[Costo total]]*STOCK[[#This Row],[Entradas]]</f>
        <v>30.14</v>
      </c>
      <c r="AB1345" s="54">
        <f>STOCK[[#This Row],[Stock Actual]]*STOCK[[#This Row],[Costo total]]</f>
        <v>30.14</v>
      </c>
      <c r="AC1345" s="77"/>
    </row>
    <row r="1346" s="53" customFormat="1" ht="50" customHeight="1" spans="1:29">
      <c r="A1346" s="53" t="s">
        <v>2769</v>
      </c>
      <c r="B1346" s="78"/>
      <c r="C1346" s="77" t="s">
        <v>32</v>
      </c>
      <c r="D1346" s="77" t="s">
        <v>2127</v>
      </c>
      <c r="E1346" s="79" t="s">
        <v>2767</v>
      </c>
      <c r="F1346" s="77" t="s">
        <v>46</v>
      </c>
      <c r="G1346" s="77" t="s">
        <v>36</v>
      </c>
      <c r="H1346" s="77">
        <f>STOCK[[#This Row],[Precio Final]]</f>
        <v>22</v>
      </c>
      <c r="I1346" s="82">
        <f>STOCK[[#This Row],[Precio Venta Ideal (x1.5)]]</f>
        <v>22.605</v>
      </c>
      <c r="J1346" s="80">
        <v>2</v>
      </c>
      <c r="K1346" s="80">
        <f>SUMIFS(VENTAS[Cantidad],VENTAS[Código del producto Vendido],STOCK[[#This Row],[Code]])</f>
        <v>2</v>
      </c>
      <c r="L1346" s="80">
        <f>STOCK[[#This Row],[Entradas]]-STOCK[[#This Row],[Salidas]]</f>
        <v>0</v>
      </c>
      <c r="M1346" s="77">
        <f>STOCK[[#This Row],[Precio Final]]*10%</f>
        <v>2.2</v>
      </c>
      <c r="N1346" s="77">
        <v>0</v>
      </c>
      <c r="O1346" s="77">
        <v>0</v>
      </c>
      <c r="P1346" s="77">
        <v>10.5</v>
      </c>
      <c r="Q1346" s="80">
        <v>0</v>
      </c>
      <c r="R1346" s="77">
        <v>0</v>
      </c>
      <c r="S1346" s="77">
        <v>2.37</v>
      </c>
      <c r="T1346" s="77">
        <f>STOCK[[#This Row],[Costo Unitario (USD)]]+STOCK[[#This Row],[Costo Envío (USD)]]+STOCK[[#This Row],[Comisión 10%]]</f>
        <v>15.07</v>
      </c>
      <c r="U1346" s="53">
        <f>STOCK[[#This Row],[Costo total]]*1.5</f>
        <v>22.605</v>
      </c>
      <c r="V1346" s="77">
        <v>22</v>
      </c>
      <c r="W1346" s="77">
        <f>STOCK[[#This Row],[Precio Final]]-STOCK[[#This Row],[Costo total]]</f>
        <v>6.93</v>
      </c>
      <c r="X1346" s="77">
        <f>STOCK[[#This Row],[Ganancia Unitaria]]*STOCK[[#This Row],[Salidas]]</f>
        <v>13.86</v>
      </c>
      <c r="Y1346" s="77" t="s">
        <v>2732</v>
      </c>
      <c r="Z1346" s="77"/>
      <c r="AA1346" s="54">
        <f>STOCK[[#This Row],[Costo total]]*STOCK[[#This Row],[Entradas]]</f>
        <v>30.14</v>
      </c>
      <c r="AB1346" s="54">
        <f>STOCK[[#This Row],[Stock Actual]]*STOCK[[#This Row],[Costo total]]</f>
        <v>0</v>
      </c>
      <c r="AC1346" s="77"/>
    </row>
    <row r="1347" s="53" customFormat="1" ht="50" customHeight="1" spans="1:29">
      <c r="A1347" s="53" t="s">
        <v>2770</v>
      </c>
      <c r="B1347" s="78"/>
      <c r="C1347" s="77" t="s">
        <v>32</v>
      </c>
      <c r="D1347" s="77" t="s">
        <v>1226</v>
      </c>
      <c r="E1347" s="79" t="s">
        <v>2771</v>
      </c>
      <c r="F1347" s="77" t="s">
        <v>517</v>
      </c>
      <c r="G1347" s="77" t="s">
        <v>2451</v>
      </c>
      <c r="H1347" s="77">
        <f>STOCK[[#This Row],[Precio Final]]</f>
        <v>45</v>
      </c>
      <c r="I1347" s="82">
        <f>STOCK[[#This Row],[Precio Venta Ideal (x1.5)]]</f>
        <v>36.225</v>
      </c>
      <c r="J1347" s="80">
        <v>2</v>
      </c>
      <c r="K1347" s="80">
        <f>SUMIFS(VENTAS[Cantidad],VENTAS[Código del producto Vendido],STOCK[[#This Row],[Code]])</f>
        <v>0</v>
      </c>
      <c r="L1347" s="80">
        <f>STOCK[[#This Row],[Entradas]]-STOCK[[#This Row],[Salidas]]</f>
        <v>2</v>
      </c>
      <c r="M1347" s="77">
        <f>STOCK[[#This Row],[Precio Final]]*10%</f>
        <v>4.5</v>
      </c>
      <c r="N1347" s="77">
        <v>0</v>
      </c>
      <c r="O1347" s="77">
        <v>0</v>
      </c>
      <c r="P1347" s="77">
        <v>18</v>
      </c>
      <c r="Q1347" s="80">
        <v>0</v>
      </c>
      <c r="R1347" s="77">
        <v>0</v>
      </c>
      <c r="S1347" s="77">
        <v>1.65</v>
      </c>
      <c r="T1347" s="77">
        <f>STOCK[[#This Row],[Costo Unitario (USD)]]+STOCK[[#This Row],[Costo Envío (USD)]]+STOCK[[#This Row],[Comisión 10%]]</f>
        <v>24.15</v>
      </c>
      <c r="U1347" s="53">
        <f>STOCK[[#This Row],[Costo total]]*1.5</f>
        <v>36.225</v>
      </c>
      <c r="V1347" s="77">
        <v>45</v>
      </c>
      <c r="W1347" s="77">
        <f>STOCK[[#This Row],[Precio Final]]-STOCK[[#This Row],[Costo total]]</f>
        <v>20.85</v>
      </c>
      <c r="X1347" s="77">
        <f>STOCK[[#This Row],[Ganancia Unitaria]]*STOCK[[#This Row],[Salidas]]</f>
        <v>0</v>
      </c>
      <c r="Y1347" s="77" t="s">
        <v>2772</v>
      </c>
      <c r="Z1347" s="77"/>
      <c r="AA1347" s="54">
        <f>STOCK[[#This Row],[Costo total]]*STOCK[[#This Row],[Entradas]]</f>
        <v>48.3</v>
      </c>
      <c r="AB1347" s="54">
        <f>STOCK[[#This Row],[Stock Actual]]*STOCK[[#This Row],[Costo total]]</f>
        <v>48.3</v>
      </c>
      <c r="AC1347" s="77"/>
    </row>
    <row r="1348" s="53" customFormat="1" ht="50" customHeight="1" spans="1:29">
      <c r="A1348" s="53" t="s">
        <v>2773</v>
      </c>
      <c r="B1348" s="78"/>
      <c r="C1348" s="77" t="s">
        <v>32</v>
      </c>
      <c r="D1348" s="77" t="s">
        <v>1226</v>
      </c>
      <c r="E1348" s="79" t="s">
        <v>2771</v>
      </c>
      <c r="F1348" s="77" t="s">
        <v>766</v>
      </c>
      <c r="G1348" s="77" t="s">
        <v>2451</v>
      </c>
      <c r="H1348" s="77">
        <f>STOCK[[#This Row],[Precio Final]]</f>
        <v>45</v>
      </c>
      <c r="I1348" s="82">
        <f>STOCK[[#This Row],[Precio Venta Ideal (x1.5)]]</f>
        <v>36.225</v>
      </c>
      <c r="J1348" s="80">
        <v>2</v>
      </c>
      <c r="K1348" s="80">
        <f>SUMIFS(VENTAS[Cantidad],VENTAS[Código del producto Vendido],STOCK[[#This Row],[Code]])</f>
        <v>2</v>
      </c>
      <c r="L1348" s="80">
        <f>STOCK[[#This Row],[Entradas]]-STOCK[[#This Row],[Salidas]]</f>
        <v>0</v>
      </c>
      <c r="M1348" s="77">
        <f>STOCK[[#This Row],[Precio Final]]*10%</f>
        <v>4.5</v>
      </c>
      <c r="N1348" s="77">
        <v>0</v>
      </c>
      <c r="O1348" s="77">
        <v>0</v>
      </c>
      <c r="P1348" s="77">
        <v>18</v>
      </c>
      <c r="Q1348" s="80">
        <v>0</v>
      </c>
      <c r="R1348" s="77">
        <v>0</v>
      </c>
      <c r="S1348" s="77">
        <v>1.65</v>
      </c>
      <c r="T1348" s="77">
        <f>STOCK[[#This Row],[Costo Unitario (USD)]]+STOCK[[#This Row],[Costo Envío (USD)]]+STOCK[[#This Row],[Comisión 10%]]</f>
        <v>24.15</v>
      </c>
      <c r="U1348" s="53">
        <f>STOCK[[#This Row],[Costo total]]*1.5</f>
        <v>36.225</v>
      </c>
      <c r="V1348" s="77">
        <v>45</v>
      </c>
      <c r="W1348" s="77">
        <f>STOCK[[#This Row],[Precio Final]]-STOCK[[#This Row],[Costo total]]</f>
        <v>20.85</v>
      </c>
      <c r="X1348" s="77">
        <f>STOCK[[#This Row],[Ganancia Unitaria]]*STOCK[[#This Row],[Salidas]]</f>
        <v>41.7</v>
      </c>
      <c r="Y1348" s="77"/>
      <c r="Z1348" s="77"/>
      <c r="AA1348" s="54">
        <f>STOCK[[#This Row],[Costo total]]*STOCK[[#This Row],[Entradas]]</f>
        <v>48.3</v>
      </c>
      <c r="AB1348" s="54">
        <f>STOCK[[#This Row],[Stock Actual]]*STOCK[[#This Row],[Costo total]]</f>
        <v>0</v>
      </c>
      <c r="AC1348" s="77"/>
    </row>
    <row r="1349" s="53" customFormat="1" ht="50" customHeight="1" spans="1:29">
      <c r="A1349" s="53" t="s">
        <v>2774</v>
      </c>
      <c r="B1349" s="78"/>
      <c r="C1349" s="77" t="s">
        <v>32</v>
      </c>
      <c r="D1349" s="77" t="s">
        <v>1226</v>
      </c>
      <c r="E1349" s="79" t="s">
        <v>2771</v>
      </c>
      <c r="F1349" s="77" t="s">
        <v>764</v>
      </c>
      <c r="G1349" s="77" t="s">
        <v>2451</v>
      </c>
      <c r="H1349" s="77">
        <f>STOCK[[#This Row],[Precio Final]]</f>
        <v>45</v>
      </c>
      <c r="I1349" s="82">
        <f>STOCK[[#This Row],[Precio Venta Ideal (x1.5)]]</f>
        <v>36.225</v>
      </c>
      <c r="J1349" s="80">
        <v>1</v>
      </c>
      <c r="K1349" s="80">
        <f>SUMIFS(VENTAS[Cantidad],VENTAS[Código del producto Vendido],STOCK[[#This Row],[Code]])</f>
        <v>1</v>
      </c>
      <c r="L1349" s="80">
        <f>STOCK[[#This Row],[Entradas]]-STOCK[[#This Row],[Salidas]]</f>
        <v>0</v>
      </c>
      <c r="M1349" s="77">
        <f>STOCK[[#This Row],[Precio Final]]*10%</f>
        <v>4.5</v>
      </c>
      <c r="N1349" s="77">
        <v>0</v>
      </c>
      <c r="O1349" s="77">
        <v>0</v>
      </c>
      <c r="P1349" s="77">
        <v>18</v>
      </c>
      <c r="Q1349" s="80">
        <v>0</v>
      </c>
      <c r="R1349" s="77">
        <v>0</v>
      </c>
      <c r="S1349" s="77">
        <v>1.65</v>
      </c>
      <c r="T1349" s="77">
        <f>STOCK[[#This Row],[Costo Unitario (USD)]]+STOCK[[#This Row],[Costo Envío (USD)]]+STOCK[[#This Row],[Comisión 10%]]</f>
        <v>24.15</v>
      </c>
      <c r="U1349" s="53">
        <f>STOCK[[#This Row],[Costo total]]*1.5</f>
        <v>36.225</v>
      </c>
      <c r="V1349" s="77">
        <v>45</v>
      </c>
      <c r="W1349" s="77">
        <f>STOCK[[#This Row],[Precio Final]]-STOCK[[#This Row],[Costo total]]</f>
        <v>20.85</v>
      </c>
      <c r="X1349" s="77">
        <f>STOCK[[#This Row],[Ganancia Unitaria]]*STOCK[[#This Row],[Salidas]]</f>
        <v>20.85</v>
      </c>
      <c r="Y1349" s="77"/>
      <c r="Z1349" s="77"/>
      <c r="AA1349" s="54">
        <f>STOCK[[#This Row],[Costo total]]*STOCK[[#This Row],[Entradas]]</f>
        <v>24.15</v>
      </c>
      <c r="AB1349" s="54">
        <f>STOCK[[#This Row],[Stock Actual]]*STOCK[[#This Row],[Costo total]]</f>
        <v>0</v>
      </c>
      <c r="AC1349" s="77"/>
    </row>
    <row r="1350" s="53" customFormat="1" ht="50" customHeight="1" spans="1:29">
      <c r="A1350" s="53" t="s">
        <v>2775</v>
      </c>
      <c r="B1350" s="78"/>
      <c r="C1350" s="77" t="s">
        <v>32</v>
      </c>
      <c r="D1350" s="77" t="s">
        <v>1226</v>
      </c>
      <c r="E1350" s="79" t="s">
        <v>2771</v>
      </c>
      <c r="F1350" s="77" t="s">
        <v>759</v>
      </c>
      <c r="G1350" s="77" t="s">
        <v>2451</v>
      </c>
      <c r="H1350" s="77">
        <f>STOCK[[#This Row],[Precio Final]]</f>
        <v>45</v>
      </c>
      <c r="I1350" s="82">
        <f>STOCK[[#This Row],[Precio Venta Ideal (x1.5)]]</f>
        <v>36.225</v>
      </c>
      <c r="J1350" s="80">
        <v>2</v>
      </c>
      <c r="K1350" s="80">
        <f>SUMIFS(VENTAS[Cantidad],VENTAS[Código del producto Vendido],STOCK[[#This Row],[Code]])</f>
        <v>0</v>
      </c>
      <c r="L1350" s="80">
        <f>STOCK[[#This Row],[Entradas]]-STOCK[[#This Row],[Salidas]]</f>
        <v>2</v>
      </c>
      <c r="M1350" s="77">
        <f>STOCK[[#This Row],[Precio Final]]*10%</f>
        <v>4.5</v>
      </c>
      <c r="N1350" s="77">
        <v>0</v>
      </c>
      <c r="O1350" s="77">
        <v>0</v>
      </c>
      <c r="P1350" s="77">
        <v>18</v>
      </c>
      <c r="Q1350" s="80">
        <v>0</v>
      </c>
      <c r="R1350" s="77">
        <v>0</v>
      </c>
      <c r="S1350" s="77">
        <v>1.65</v>
      </c>
      <c r="T1350" s="77">
        <f>STOCK[[#This Row],[Costo Unitario (USD)]]+STOCK[[#This Row],[Costo Envío (USD)]]+STOCK[[#This Row],[Comisión 10%]]</f>
        <v>24.15</v>
      </c>
      <c r="U1350" s="53">
        <f>STOCK[[#This Row],[Costo total]]*1.5</f>
        <v>36.225</v>
      </c>
      <c r="V1350" s="77">
        <v>45</v>
      </c>
      <c r="W1350" s="77">
        <f>STOCK[[#This Row],[Precio Final]]-STOCK[[#This Row],[Costo total]]</f>
        <v>20.85</v>
      </c>
      <c r="X1350" s="77">
        <f>STOCK[[#This Row],[Ganancia Unitaria]]*STOCK[[#This Row],[Salidas]]</f>
        <v>0</v>
      </c>
      <c r="Y1350" s="77"/>
      <c r="Z1350" s="77"/>
      <c r="AA1350" s="54">
        <f>STOCK[[#This Row],[Costo total]]*STOCK[[#This Row],[Entradas]]</f>
        <v>48.3</v>
      </c>
      <c r="AB1350" s="54">
        <f>STOCK[[#This Row],[Stock Actual]]*STOCK[[#This Row],[Costo total]]</f>
        <v>48.3</v>
      </c>
      <c r="AC1350" s="77"/>
    </row>
    <row r="1351" s="53" customFormat="1" ht="50" customHeight="1" spans="1:29">
      <c r="A1351" s="53" t="s">
        <v>2776</v>
      </c>
      <c r="B1351" s="78"/>
      <c r="C1351" s="77" t="s">
        <v>32</v>
      </c>
      <c r="D1351" s="77" t="s">
        <v>1226</v>
      </c>
      <c r="E1351" s="79" t="s">
        <v>2777</v>
      </c>
      <c r="F1351" s="77" t="s">
        <v>517</v>
      </c>
      <c r="G1351" s="77" t="s">
        <v>2451</v>
      </c>
      <c r="H1351" s="77">
        <f>STOCK[[#This Row],[Precio Final]]</f>
        <v>35</v>
      </c>
      <c r="I1351" s="82">
        <f>STOCK[[#This Row],[Precio Venta Ideal (x1.5)]]</f>
        <v>23.475</v>
      </c>
      <c r="J1351" s="80">
        <v>1</v>
      </c>
      <c r="K1351" s="80">
        <f>SUMIFS(VENTAS[Cantidad],VENTAS[Código del producto Vendido],STOCK[[#This Row],[Code]])</f>
        <v>1</v>
      </c>
      <c r="L1351" s="80">
        <f>STOCK[[#This Row],[Entradas]]-STOCK[[#This Row],[Salidas]]</f>
        <v>0</v>
      </c>
      <c r="M1351" s="77">
        <f>STOCK[[#This Row],[Precio Final]]*10%</f>
        <v>3.5</v>
      </c>
      <c r="N1351" s="77">
        <v>0</v>
      </c>
      <c r="O1351" s="77">
        <v>0</v>
      </c>
      <c r="P1351" s="77">
        <v>10.5</v>
      </c>
      <c r="Q1351" s="80">
        <v>0</v>
      </c>
      <c r="R1351" s="77">
        <v>0</v>
      </c>
      <c r="S1351" s="77">
        <v>1.65</v>
      </c>
      <c r="T1351" s="77">
        <f>STOCK[[#This Row],[Costo Unitario (USD)]]+STOCK[[#This Row],[Costo Envío (USD)]]+STOCK[[#This Row],[Comisión 10%]]</f>
        <v>15.65</v>
      </c>
      <c r="U1351" s="53">
        <f>STOCK[[#This Row],[Costo total]]*1.5</f>
        <v>23.475</v>
      </c>
      <c r="V1351" s="77">
        <v>35</v>
      </c>
      <c r="W1351" s="77">
        <f>STOCK[[#This Row],[Precio Final]]-STOCK[[#This Row],[Costo total]]</f>
        <v>19.35</v>
      </c>
      <c r="X1351" s="77">
        <f>STOCK[[#This Row],[Ganancia Unitaria]]*STOCK[[#This Row],[Salidas]]</f>
        <v>19.35</v>
      </c>
      <c r="Y1351" s="77"/>
      <c r="Z1351" s="77"/>
      <c r="AA1351" s="54">
        <f>STOCK[[#This Row],[Costo total]]*STOCK[[#This Row],[Entradas]]</f>
        <v>15.65</v>
      </c>
      <c r="AB1351" s="54">
        <f>STOCK[[#This Row],[Stock Actual]]*STOCK[[#This Row],[Costo total]]</f>
        <v>0</v>
      </c>
      <c r="AC1351" s="77"/>
    </row>
    <row r="1352" s="53" customFormat="1" ht="50" customHeight="1" spans="1:29">
      <c r="A1352" s="53" t="s">
        <v>2778</v>
      </c>
      <c r="B1352" s="78"/>
      <c r="C1352" s="77" t="s">
        <v>32</v>
      </c>
      <c r="D1352" s="77" t="s">
        <v>1226</v>
      </c>
      <c r="E1352" s="79" t="s">
        <v>2777</v>
      </c>
      <c r="F1352" s="77" t="s">
        <v>540</v>
      </c>
      <c r="G1352" s="77" t="s">
        <v>2451</v>
      </c>
      <c r="H1352" s="77">
        <f>STOCK[[#This Row],[Precio Final]]</f>
        <v>35</v>
      </c>
      <c r="I1352" s="82">
        <f>STOCK[[#This Row],[Precio Venta Ideal (x1.5)]]</f>
        <v>23.475</v>
      </c>
      <c r="J1352" s="80">
        <v>2</v>
      </c>
      <c r="K1352" s="80">
        <f>SUMIFS(VENTAS[Cantidad],VENTAS[Código del producto Vendido],STOCK[[#This Row],[Code]])</f>
        <v>2</v>
      </c>
      <c r="L1352" s="80">
        <f>STOCK[[#This Row],[Entradas]]-STOCK[[#This Row],[Salidas]]</f>
        <v>0</v>
      </c>
      <c r="M1352" s="77">
        <f>STOCK[[#This Row],[Precio Final]]*10%</f>
        <v>3.5</v>
      </c>
      <c r="N1352" s="77">
        <v>0</v>
      </c>
      <c r="O1352" s="77">
        <v>0</v>
      </c>
      <c r="P1352" s="77">
        <v>10.5</v>
      </c>
      <c r="Q1352" s="80">
        <v>0</v>
      </c>
      <c r="R1352" s="77">
        <v>0</v>
      </c>
      <c r="S1352" s="77">
        <v>1.65</v>
      </c>
      <c r="T1352" s="77">
        <f>STOCK[[#This Row],[Costo Unitario (USD)]]+STOCK[[#This Row],[Costo Envío (USD)]]+STOCK[[#This Row],[Comisión 10%]]</f>
        <v>15.65</v>
      </c>
      <c r="U1352" s="53">
        <f>STOCK[[#This Row],[Costo total]]*1.5</f>
        <v>23.475</v>
      </c>
      <c r="V1352" s="77">
        <v>35</v>
      </c>
      <c r="W1352" s="77">
        <f>STOCK[[#This Row],[Precio Final]]-STOCK[[#This Row],[Costo total]]</f>
        <v>19.35</v>
      </c>
      <c r="X1352" s="77">
        <f>STOCK[[#This Row],[Ganancia Unitaria]]*STOCK[[#This Row],[Salidas]]</f>
        <v>38.7</v>
      </c>
      <c r="Y1352" s="77"/>
      <c r="Z1352" s="77"/>
      <c r="AA1352" s="54">
        <f>STOCK[[#This Row],[Costo total]]*STOCK[[#This Row],[Entradas]]</f>
        <v>31.3</v>
      </c>
      <c r="AB1352" s="54">
        <f>STOCK[[#This Row],[Stock Actual]]*STOCK[[#This Row],[Costo total]]</f>
        <v>0</v>
      </c>
      <c r="AC1352" s="77"/>
    </row>
    <row r="1353" s="53" customFormat="1" ht="50" customHeight="1" spans="1:29">
      <c r="A1353" s="53" t="s">
        <v>2779</v>
      </c>
      <c r="B1353" s="78"/>
      <c r="C1353" s="77" t="s">
        <v>32</v>
      </c>
      <c r="D1353" s="77" t="s">
        <v>1226</v>
      </c>
      <c r="E1353" s="79" t="s">
        <v>2777</v>
      </c>
      <c r="F1353" s="77" t="s">
        <v>754</v>
      </c>
      <c r="G1353" s="77" t="s">
        <v>2451</v>
      </c>
      <c r="H1353" s="77">
        <f>STOCK[[#This Row],[Precio Final]]</f>
        <v>35</v>
      </c>
      <c r="I1353" s="82">
        <f>STOCK[[#This Row],[Precio Venta Ideal (x1.5)]]</f>
        <v>23.475</v>
      </c>
      <c r="J1353" s="80">
        <v>2</v>
      </c>
      <c r="K1353" s="80">
        <f>SUMIFS(VENTAS[Cantidad],VENTAS[Código del producto Vendido],STOCK[[#This Row],[Code]])</f>
        <v>1</v>
      </c>
      <c r="L1353" s="80">
        <f>STOCK[[#This Row],[Entradas]]-STOCK[[#This Row],[Salidas]]</f>
        <v>1</v>
      </c>
      <c r="M1353" s="77">
        <f>STOCK[[#This Row],[Precio Final]]*10%</f>
        <v>3.5</v>
      </c>
      <c r="N1353" s="77">
        <v>0</v>
      </c>
      <c r="O1353" s="77">
        <v>0</v>
      </c>
      <c r="P1353" s="77">
        <v>10.5</v>
      </c>
      <c r="Q1353" s="80">
        <v>0</v>
      </c>
      <c r="R1353" s="77">
        <v>0</v>
      </c>
      <c r="S1353" s="77">
        <v>1.65</v>
      </c>
      <c r="T1353" s="77">
        <f>STOCK[[#This Row],[Costo Unitario (USD)]]+STOCK[[#This Row],[Costo Envío (USD)]]+STOCK[[#This Row],[Comisión 10%]]</f>
        <v>15.65</v>
      </c>
      <c r="U1353" s="53">
        <f>STOCK[[#This Row],[Costo total]]*1.5</f>
        <v>23.475</v>
      </c>
      <c r="V1353" s="77">
        <v>35</v>
      </c>
      <c r="W1353" s="77">
        <f>STOCK[[#This Row],[Precio Final]]-STOCK[[#This Row],[Costo total]]</f>
        <v>19.35</v>
      </c>
      <c r="X1353" s="77">
        <f>STOCK[[#This Row],[Ganancia Unitaria]]*STOCK[[#This Row],[Salidas]]</f>
        <v>19.35</v>
      </c>
      <c r="Y1353" s="77"/>
      <c r="Z1353" s="77"/>
      <c r="AA1353" s="54">
        <f>STOCK[[#This Row],[Costo total]]*STOCK[[#This Row],[Entradas]]</f>
        <v>31.3</v>
      </c>
      <c r="AB1353" s="54">
        <f>STOCK[[#This Row],[Stock Actual]]*STOCK[[#This Row],[Costo total]]</f>
        <v>15.65</v>
      </c>
      <c r="AC1353" s="77"/>
    </row>
    <row r="1354" s="53" customFormat="1" ht="50" customHeight="1" spans="1:29">
      <c r="A1354" s="53" t="s">
        <v>2780</v>
      </c>
      <c r="B1354" s="78"/>
      <c r="C1354" s="77" t="s">
        <v>32</v>
      </c>
      <c r="D1354" s="77" t="s">
        <v>1226</v>
      </c>
      <c r="E1354" s="79" t="s">
        <v>2781</v>
      </c>
      <c r="F1354" s="77" t="s">
        <v>517</v>
      </c>
      <c r="G1354" s="77" t="s">
        <v>2451</v>
      </c>
      <c r="H1354" s="77">
        <f>STOCK[[#This Row],[Precio Final]]</f>
        <v>35</v>
      </c>
      <c r="I1354" s="82">
        <f>STOCK[[#This Row],[Precio Venta Ideal (x1.5)]]</f>
        <v>20.85</v>
      </c>
      <c r="J1354" s="80">
        <v>2</v>
      </c>
      <c r="K1354" s="80">
        <f>SUMIFS(VENTAS[Cantidad],VENTAS[Código del producto Vendido],STOCK[[#This Row],[Code]])</f>
        <v>1</v>
      </c>
      <c r="L1354" s="80">
        <f>STOCK[[#This Row],[Entradas]]-STOCK[[#This Row],[Salidas]]</f>
        <v>1</v>
      </c>
      <c r="M1354" s="77">
        <f>STOCK[[#This Row],[Precio Final]]*10%</f>
        <v>3.5</v>
      </c>
      <c r="N1354" s="77">
        <v>0</v>
      </c>
      <c r="O1354" s="77">
        <v>0</v>
      </c>
      <c r="P1354" s="77">
        <v>8.75</v>
      </c>
      <c r="Q1354" s="80">
        <v>0</v>
      </c>
      <c r="R1354" s="77">
        <v>0</v>
      </c>
      <c r="S1354" s="77">
        <v>1.65</v>
      </c>
      <c r="T1354" s="77">
        <f>STOCK[[#This Row],[Costo Unitario (USD)]]+STOCK[[#This Row],[Costo Envío (USD)]]+STOCK[[#This Row],[Comisión 10%]]</f>
        <v>13.9</v>
      </c>
      <c r="U1354" s="53">
        <f>STOCK[[#This Row],[Costo total]]*1.5</f>
        <v>20.85</v>
      </c>
      <c r="V1354" s="77">
        <v>35</v>
      </c>
      <c r="W1354" s="77">
        <f>STOCK[[#This Row],[Precio Final]]-STOCK[[#This Row],[Costo total]]</f>
        <v>21.1</v>
      </c>
      <c r="X1354" s="77">
        <f>STOCK[[#This Row],[Ganancia Unitaria]]*STOCK[[#This Row],[Salidas]]</f>
        <v>21.1</v>
      </c>
      <c r="Y1354" s="77"/>
      <c r="Z1354" s="77"/>
      <c r="AA1354" s="54">
        <f>STOCK[[#This Row],[Costo total]]*STOCK[[#This Row],[Entradas]]</f>
        <v>27.8</v>
      </c>
      <c r="AB1354" s="54">
        <f>STOCK[[#This Row],[Stock Actual]]*STOCK[[#This Row],[Costo total]]</f>
        <v>13.9</v>
      </c>
      <c r="AC1354" s="77"/>
    </row>
    <row r="1355" s="53" customFormat="1" ht="50" customHeight="1" spans="1:29">
      <c r="A1355" s="53" t="s">
        <v>2782</v>
      </c>
      <c r="B1355" s="78"/>
      <c r="C1355" s="77" t="s">
        <v>32</v>
      </c>
      <c r="D1355" s="77" t="s">
        <v>1226</v>
      </c>
      <c r="E1355" s="79" t="s">
        <v>2781</v>
      </c>
      <c r="F1355" s="77" t="s">
        <v>766</v>
      </c>
      <c r="G1355" s="77" t="s">
        <v>2451</v>
      </c>
      <c r="H1355" s="77">
        <f>STOCK[[#This Row],[Precio Final]]</f>
        <v>35</v>
      </c>
      <c r="I1355" s="82">
        <f>STOCK[[#This Row],[Precio Venta Ideal (x1.5)]]</f>
        <v>20.85</v>
      </c>
      <c r="J1355" s="80">
        <v>2</v>
      </c>
      <c r="K1355" s="80">
        <f>SUMIFS(VENTAS[Cantidad],VENTAS[Código del producto Vendido],STOCK[[#This Row],[Code]])</f>
        <v>0</v>
      </c>
      <c r="L1355" s="80">
        <f>STOCK[[#This Row],[Entradas]]-STOCK[[#This Row],[Salidas]]</f>
        <v>2</v>
      </c>
      <c r="M1355" s="77">
        <f>STOCK[[#This Row],[Precio Final]]*10%</f>
        <v>3.5</v>
      </c>
      <c r="N1355" s="77">
        <v>0</v>
      </c>
      <c r="O1355" s="77">
        <v>0</v>
      </c>
      <c r="P1355" s="77">
        <v>8.75</v>
      </c>
      <c r="Q1355" s="80">
        <v>0</v>
      </c>
      <c r="R1355" s="77">
        <v>0</v>
      </c>
      <c r="S1355" s="77">
        <v>1.65</v>
      </c>
      <c r="T1355" s="77">
        <f>STOCK[[#This Row],[Costo Unitario (USD)]]+STOCK[[#This Row],[Costo Envío (USD)]]+STOCK[[#This Row],[Comisión 10%]]</f>
        <v>13.9</v>
      </c>
      <c r="U1355" s="53">
        <f>STOCK[[#This Row],[Costo total]]*1.5</f>
        <v>20.85</v>
      </c>
      <c r="V1355" s="77">
        <v>35</v>
      </c>
      <c r="W1355" s="77">
        <f>STOCK[[#This Row],[Precio Final]]-STOCK[[#This Row],[Costo total]]</f>
        <v>21.1</v>
      </c>
      <c r="X1355" s="77">
        <f>STOCK[[#This Row],[Ganancia Unitaria]]*STOCK[[#This Row],[Salidas]]</f>
        <v>0</v>
      </c>
      <c r="Y1355" s="77"/>
      <c r="Z1355" s="77"/>
      <c r="AA1355" s="54">
        <f>STOCK[[#This Row],[Costo total]]*STOCK[[#This Row],[Entradas]]</f>
        <v>27.8</v>
      </c>
      <c r="AB1355" s="54">
        <f>STOCK[[#This Row],[Stock Actual]]*STOCK[[#This Row],[Costo total]]</f>
        <v>27.8</v>
      </c>
      <c r="AC1355" s="77"/>
    </row>
    <row r="1356" s="53" customFormat="1" ht="50" customHeight="1" spans="1:29">
      <c r="A1356" s="53" t="s">
        <v>2783</v>
      </c>
      <c r="B1356" s="78"/>
      <c r="C1356" s="77" t="s">
        <v>32</v>
      </c>
      <c r="D1356" s="77" t="s">
        <v>1226</v>
      </c>
      <c r="E1356" s="79" t="s">
        <v>2781</v>
      </c>
      <c r="F1356" s="77" t="s">
        <v>540</v>
      </c>
      <c r="G1356" s="77" t="s">
        <v>2451</v>
      </c>
      <c r="H1356" s="77">
        <f>STOCK[[#This Row],[Precio Final]]</f>
        <v>35</v>
      </c>
      <c r="I1356" s="82">
        <f>STOCK[[#This Row],[Precio Venta Ideal (x1.5)]]</f>
        <v>20.85</v>
      </c>
      <c r="J1356" s="80">
        <v>2</v>
      </c>
      <c r="K1356" s="80">
        <f>SUMIFS(VENTAS[Cantidad],VENTAS[Código del producto Vendido],STOCK[[#This Row],[Code]])</f>
        <v>1</v>
      </c>
      <c r="L1356" s="80">
        <f>STOCK[[#This Row],[Entradas]]-STOCK[[#This Row],[Salidas]]</f>
        <v>1</v>
      </c>
      <c r="M1356" s="77">
        <f>STOCK[[#This Row],[Precio Final]]*10%</f>
        <v>3.5</v>
      </c>
      <c r="N1356" s="77">
        <v>0</v>
      </c>
      <c r="O1356" s="77">
        <v>0</v>
      </c>
      <c r="P1356" s="77">
        <v>8.75</v>
      </c>
      <c r="Q1356" s="80">
        <v>0</v>
      </c>
      <c r="R1356" s="77">
        <v>0</v>
      </c>
      <c r="S1356" s="77">
        <v>1.65</v>
      </c>
      <c r="T1356" s="77">
        <f>STOCK[[#This Row],[Costo Unitario (USD)]]+STOCK[[#This Row],[Costo Envío (USD)]]+STOCK[[#This Row],[Comisión 10%]]</f>
        <v>13.9</v>
      </c>
      <c r="U1356" s="53">
        <f>STOCK[[#This Row],[Costo total]]*1.5</f>
        <v>20.85</v>
      </c>
      <c r="V1356" s="77">
        <v>35</v>
      </c>
      <c r="W1356" s="77">
        <f>STOCK[[#This Row],[Precio Final]]-STOCK[[#This Row],[Costo total]]</f>
        <v>21.1</v>
      </c>
      <c r="X1356" s="77">
        <f>STOCK[[#This Row],[Ganancia Unitaria]]*STOCK[[#This Row],[Salidas]]</f>
        <v>21.1</v>
      </c>
      <c r="Y1356" s="77"/>
      <c r="Z1356" s="77"/>
      <c r="AA1356" s="54">
        <f>STOCK[[#This Row],[Costo total]]*STOCK[[#This Row],[Entradas]]</f>
        <v>27.8</v>
      </c>
      <c r="AB1356" s="54">
        <f>STOCK[[#This Row],[Stock Actual]]*STOCK[[#This Row],[Costo total]]</f>
        <v>13.9</v>
      </c>
      <c r="AC1356" s="77"/>
    </row>
    <row r="1357" s="53" customFormat="1" ht="50" customHeight="1" spans="1:29">
      <c r="A1357" s="53" t="s">
        <v>2784</v>
      </c>
      <c r="B1357" s="78"/>
      <c r="C1357" s="77" t="s">
        <v>32</v>
      </c>
      <c r="D1357" s="77" t="s">
        <v>1226</v>
      </c>
      <c r="E1357" s="79" t="s">
        <v>2785</v>
      </c>
      <c r="F1357" s="77" t="s">
        <v>517</v>
      </c>
      <c r="G1357" s="77" t="s">
        <v>2451</v>
      </c>
      <c r="H1357" s="77">
        <f>STOCK[[#This Row],[Precio Final]]</f>
        <v>20</v>
      </c>
      <c r="I1357" s="82">
        <f>STOCK[[#This Row],[Precio Venta Ideal (x1.5)]]</f>
        <v>12.975</v>
      </c>
      <c r="J1357" s="80">
        <v>2</v>
      </c>
      <c r="K1357" s="80">
        <f>SUMIFS(VENTAS[Cantidad],VENTAS[Código del producto Vendido],STOCK[[#This Row],[Code]])</f>
        <v>0</v>
      </c>
      <c r="L1357" s="80">
        <f>STOCK[[#This Row],[Entradas]]-STOCK[[#This Row],[Salidas]]</f>
        <v>2</v>
      </c>
      <c r="M1357" s="77">
        <f>STOCK[[#This Row],[Precio Final]]*10%</f>
        <v>2</v>
      </c>
      <c r="N1357" s="77">
        <v>0</v>
      </c>
      <c r="O1357" s="77">
        <v>0</v>
      </c>
      <c r="P1357" s="77">
        <v>5</v>
      </c>
      <c r="Q1357" s="80">
        <v>0</v>
      </c>
      <c r="R1357" s="77">
        <v>0</v>
      </c>
      <c r="S1357" s="77">
        <v>1.65</v>
      </c>
      <c r="T1357" s="77">
        <f>STOCK[[#This Row],[Costo Unitario (USD)]]+STOCK[[#This Row],[Costo Envío (USD)]]+STOCK[[#This Row],[Comisión 10%]]</f>
        <v>8.65</v>
      </c>
      <c r="U1357" s="53">
        <f>STOCK[[#This Row],[Costo total]]*1.5</f>
        <v>12.975</v>
      </c>
      <c r="V1357" s="77">
        <v>20</v>
      </c>
      <c r="W1357" s="77">
        <f>STOCK[[#This Row],[Precio Final]]-STOCK[[#This Row],[Costo total]]</f>
        <v>11.35</v>
      </c>
      <c r="X1357" s="77">
        <f>STOCK[[#This Row],[Ganancia Unitaria]]*STOCK[[#This Row],[Salidas]]</f>
        <v>0</v>
      </c>
      <c r="Y1357" s="77"/>
      <c r="Z1357" s="77"/>
      <c r="AA1357" s="54">
        <f>STOCK[[#This Row],[Costo total]]*STOCK[[#This Row],[Entradas]]</f>
        <v>17.3</v>
      </c>
      <c r="AB1357" s="54">
        <f>STOCK[[#This Row],[Stock Actual]]*STOCK[[#This Row],[Costo total]]</f>
        <v>17.3</v>
      </c>
      <c r="AC1357" s="77"/>
    </row>
    <row r="1358" s="53" customFormat="1" ht="50" customHeight="1" spans="1:29">
      <c r="A1358" s="53" t="s">
        <v>2786</v>
      </c>
      <c r="B1358" s="78"/>
      <c r="C1358" s="77" t="s">
        <v>32</v>
      </c>
      <c r="D1358" s="77" t="s">
        <v>1226</v>
      </c>
      <c r="E1358" s="79" t="s">
        <v>2785</v>
      </c>
      <c r="F1358" s="77" t="s">
        <v>766</v>
      </c>
      <c r="G1358" s="77" t="s">
        <v>2451</v>
      </c>
      <c r="H1358" s="77">
        <f>STOCK[[#This Row],[Precio Final]]</f>
        <v>20</v>
      </c>
      <c r="I1358" s="82">
        <f>STOCK[[#This Row],[Precio Venta Ideal (x1.5)]]</f>
        <v>12.975</v>
      </c>
      <c r="J1358" s="80">
        <v>2</v>
      </c>
      <c r="K1358" s="80">
        <f>SUMIFS(VENTAS[Cantidad],VENTAS[Código del producto Vendido],STOCK[[#This Row],[Code]])</f>
        <v>2</v>
      </c>
      <c r="L1358" s="80">
        <f>STOCK[[#This Row],[Entradas]]-STOCK[[#This Row],[Salidas]]</f>
        <v>0</v>
      </c>
      <c r="M1358" s="77">
        <f>STOCK[[#This Row],[Precio Final]]*10%</f>
        <v>2</v>
      </c>
      <c r="N1358" s="77">
        <v>0</v>
      </c>
      <c r="O1358" s="77">
        <v>0</v>
      </c>
      <c r="P1358" s="77">
        <v>5</v>
      </c>
      <c r="Q1358" s="80">
        <v>0</v>
      </c>
      <c r="R1358" s="77">
        <v>0</v>
      </c>
      <c r="S1358" s="77">
        <v>1.65</v>
      </c>
      <c r="T1358" s="77">
        <f>STOCK[[#This Row],[Costo Unitario (USD)]]+STOCK[[#This Row],[Costo Envío (USD)]]+STOCK[[#This Row],[Comisión 10%]]</f>
        <v>8.65</v>
      </c>
      <c r="U1358" s="53">
        <f>STOCK[[#This Row],[Costo total]]*1.5</f>
        <v>12.975</v>
      </c>
      <c r="V1358" s="77">
        <v>20</v>
      </c>
      <c r="W1358" s="77">
        <f>STOCK[[#This Row],[Precio Final]]-STOCK[[#This Row],[Costo total]]</f>
        <v>11.35</v>
      </c>
      <c r="X1358" s="77">
        <f>STOCK[[#This Row],[Ganancia Unitaria]]*STOCK[[#This Row],[Salidas]]</f>
        <v>22.7</v>
      </c>
      <c r="Y1358" s="77"/>
      <c r="Z1358" s="77"/>
      <c r="AA1358" s="54">
        <f>STOCK[[#This Row],[Costo total]]*STOCK[[#This Row],[Entradas]]</f>
        <v>17.3</v>
      </c>
      <c r="AB1358" s="54">
        <f>STOCK[[#This Row],[Stock Actual]]*STOCK[[#This Row],[Costo total]]</f>
        <v>0</v>
      </c>
      <c r="AC1358" s="77"/>
    </row>
    <row r="1359" s="53" customFormat="1" ht="50" customHeight="1" spans="1:29">
      <c r="A1359" s="53" t="s">
        <v>2787</v>
      </c>
      <c r="B1359" s="78"/>
      <c r="C1359" s="77" t="s">
        <v>32</v>
      </c>
      <c r="D1359" s="77" t="s">
        <v>1226</v>
      </c>
      <c r="E1359" s="79" t="s">
        <v>2785</v>
      </c>
      <c r="F1359" s="77" t="s">
        <v>2788</v>
      </c>
      <c r="G1359" s="77" t="s">
        <v>2451</v>
      </c>
      <c r="H1359" s="77">
        <f>STOCK[[#This Row],[Precio Final]]</f>
        <v>20</v>
      </c>
      <c r="I1359" s="82">
        <f>STOCK[[#This Row],[Precio Venta Ideal (x1.5)]]</f>
        <v>12.975</v>
      </c>
      <c r="J1359" s="80">
        <v>2</v>
      </c>
      <c r="K1359" s="80">
        <f>SUMIFS(VENTAS[Cantidad],VENTAS[Código del producto Vendido],STOCK[[#This Row],[Code]])</f>
        <v>1</v>
      </c>
      <c r="L1359" s="80">
        <f>STOCK[[#This Row],[Entradas]]-STOCK[[#This Row],[Salidas]]</f>
        <v>1</v>
      </c>
      <c r="M1359" s="77">
        <f>STOCK[[#This Row],[Precio Final]]*10%</f>
        <v>2</v>
      </c>
      <c r="N1359" s="77">
        <v>0</v>
      </c>
      <c r="O1359" s="77">
        <v>0</v>
      </c>
      <c r="P1359" s="77">
        <v>5</v>
      </c>
      <c r="Q1359" s="80">
        <v>0</v>
      </c>
      <c r="R1359" s="77">
        <v>0</v>
      </c>
      <c r="S1359" s="77">
        <v>1.65</v>
      </c>
      <c r="T1359" s="77">
        <f>STOCK[[#This Row],[Costo Unitario (USD)]]+STOCK[[#This Row],[Costo Envío (USD)]]+STOCK[[#This Row],[Comisión 10%]]</f>
        <v>8.65</v>
      </c>
      <c r="U1359" s="53">
        <f>STOCK[[#This Row],[Costo total]]*1.5</f>
        <v>12.975</v>
      </c>
      <c r="V1359" s="77">
        <v>20</v>
      </c>
      <c r="W1359" s="77">
        <f>STOCK[[#This Row],[Precio Final]]-STOCK[[#This Row],[Costo total]]</f>
        <v>11.35</v>
      </c>
      <c r="X1359" s="77">
        <f>STOCK[[#This Row],[Ganancia Unitaria]]*STOCK[[#This Row],[Salidas]]</f>
        <v>11.35</v>
      </c>
      <c r="Y1359" s="77"/>
      <c r="Z1359" s="77"/>
      <c r="AA1359" s="54">
        <f>STOCK[[#This Row],[Costo total]]*STOCK[[#This Row],[Entradas]]</f>
        <v>17.3</v>
      </c>
      <c r="AB1359" s="54">
        <f>STOCK[[#This Row],[Stock Actual]]*STOCK[[#This Row],[Costo total]]</f>
        <v>8.65</v>
      </c>
      <c r="AC1359" s="77"/>
    </row>
    <row r="1360" s="53" customFormat="1" ht="50" customHeight="1" spans="1:29">
      <c r="A1360" s="53" t="s">
        <v>2789</v>
      </c>
      <c r="B1360" s="78"/>
      <c r="C1360" s="77" t="s">
        <v>32</v>
      </c>
      <c r="D1360" s="77" t="s">
        <v>1226</v>
      </c>
      <c r="E1360" s="79" t="s">
        <v>2785</v>
      </c>
      <c r="F1360" s="77" t="s">
        <v>754</v>
      </c>
      <c r="G1360" s="77" t="s">
        <v>2451</v>
      </c>
      <c r="H1360" s="77">
        <f>STOCK[[#This Row],[Precio Final]]</f>
        <v>20</v>
      </c>
      <c r="I1360" s="82">
        <f>STOCK[[#This Row],[Precio Venta Ideal (x1.5)]]</f>
        <v>12.975</v>
      </c>
      <c r="J1360" s="80">
        <v>2</v>
      </c>
      <c r="K1360" s="80">
        <f>SUMIFS(VENTAS[Cantidad],VENTAS[Código del producto Vendido],STOCK[[#This Row],[Code]])</f>
        <v>0</v>
      </c>
      <c r="L1360" s="80">
        <f>STOCK[[#This Row],[Entradas]]-STOCK[[#This Row],[Salidas]]</f>
        <v>2</v>
      </c>
      <c r="M1360" s="77">
        <f>STOCK[[#This Row],[Precio Final]]*10%</f>
        <v>2</v>
      </c>
      <c r="N1360" s="77">
        <v>0</v>
      </c>
      <c r="O1360" s="77">
        <v>0</v>
      </c>
      <c r="P1360" s="77">
        <v>5</v>
      </c>
      <c r="Q1360" s="80">
        <v>0</v>
      </c>
      <c r="R1360" s="77">
        <v>0</v>
      </c>
      <c r="S1360" s="77">
        <v>1.65</v>
      </c>
      <c r="T1360" s="77">
        <f>STOCK[[#This Row],[Costo Unitario (USD)]]+STOCK[[#This Row],[Costo Envío (USD)]]+STOCK[[#This Row],[Comisión 10%]]</f>
        <v>8.65</v>
      </c>
      <c r="U1360" s="53">
        <f>STOCK[[#This Row],[Costo total]]*1.5</f>
        <v>12.975</v>
      </c>
      <c r="V1360" s="77">
        <v>20</v>
      </c>
      <c r="W1360" s="77">
        <f>STOCK[[#This Row],[Precio Final]]-STOCK[[#This Row],[Costo total]]</f>
        <v>11.35</v>
      </c>
      <c r="X1360" s="77">
        <f>STOCK[[#This Row],[Ganancia Unitaria]]*STOCK[[#This Row],[Salidas]]</f>
        <v>0</v>
      </c>
      <c r="Y1360" s="77"/>
      <c r="Z1360" s="77"/>
      <c r="AA1360" s="54">
        <f>STOCK[[#This Row],[Costo total]]*STOCK[[#This Row],[Entradas]]</f>
        <v>17.3</v>
      </c>
      <c r="AB1360" s="54">
        <f>STOCK[[#This Row],[Stock Actual]]*STOCK[[#This Row],[Costo total]]</f>
        <v>17.3</v>
      </c>
      <c r="AC1360" s="77"/>
    </row>
    <row r="1361" s="53" customFormat="1" ht="50" customHeight="1" spans="1:29">
      <c r="A1361" s="53" t="s">
        <v>2790</v>
      </c>
      <c r="B1361" s="78"/>
      <c r="C1361" s="77" t="s">
        <v>32</v>
      </c>
      <c r="D1361" s="77" t="s">
        <v>1226</v>
      </c>
      <c r="E1361" s="79" t="s">
        <v>2791</v>
      </c>
      <c r="F1361" s="77" t="s">
        <v>517</v>
      </c>
      <c r="G1361" s="77" t="s">
        <v>2451</v>
      </c>
      <c r="H1361" s="77">
        <f>STOCK[[#This Row],[Precio Final]]</f>
        <v>30</v>
      </c>
      <c r="I1361" s="82">
        <f>STOCK[[#This Row],[Precio Venta Ideal (x1.5)]]</f>
        <v>20.1</v>
      </c>
      <c r="J1361" s="80">
        <v>1</v>
      </c>
      <c r="K1361" s="80">
        <f>SUMIFS(VENTAS[Cantidad],VENTAS[Código del producto Vendido],STOCK[[#This Row],[Code]])</f>
        <v>0</v>
      </c>
      <c r="L1361" s="80">
        <f>STOCK[[#This Row],[Entradas]]-STOCK[[#This Row],[Salidas]]</f>
        <v>1</v>
      </c>
      <c r="M1361" s="77">
        <f>STOCK[[#This Row],[Precio Final]]*10%</f>
        <v>3</v>
      </c>
      <c r="N1361" s="77">
        <v>0</v>
      </c>
      <c r="O1361" s="77">
        <v>0</v>
      </c>
      <c r="P1361" s="77">
        <v>8.75</v>
      </c>
      <c r="Q1361" s="80">
        <v>0</v>
      </c>
      <c r="R1361" s="77">
        <v>0</v>
      </c>
      <c r="S1361" s="77">
        <v>1.65</v>
      </c>
      <c r="T1361" s="77">
        <f>STOCK[[#This Row],[Costo Unitario (USD)]]+STOCK[[#This Row],[Costo Envío (USD)]]+STOCK[[#This Row],[Comisión 10%]]</f>
        <v>13.4</v>
      </c>
      <c r="U1361" s="53">
        <f>STOCK[[#This Row],[Costo total]]*1.5</f>
        <v>20.1</v>
      </c>
      <c r="V1361" s="77">
        <v>30</v>
      </c>
      <c r="W1361" s="77">
        <f>STOCK[[#This Row],[Precio Final]]-STOCK[[#This Row],[Costo total]]</f>
        <v>16.6</v>
      </c>
      <c r="X1361" s="77">
        <f>STOCK[[#This Row],[Ganancia Unitaria]]*STOCK[[#This Row],[Salidas]]</f>
        <v>0</v>
      </c>
      <c r="Y1361" s="77"/>
      <c r="Z1361" s="77"/>
      <c r="AA1361" s="54">
        <f>STOCK[[#This Row],[Costo total]]*STOCK[[#This Row],[Entradas]]</f>
        <v>13.4</v>
      </c>
      <c r="AB1361" s="54">
        <f>STOCK[[#This Row],[Stock Actual]]*STOCK[[#This Row],[Costo total]]</f>
        <v>13.4</v>
      </c>
      <c r="AC1361" s="77"/>
    </row>
    <row r="1362" s="53" customFormat="1" ht="50" customHeight="1" spans="1:29">
      <c r="A1362" s="53" t="s">
        <v>2792</v>
      </c>
      <c r="B1362" s="78"/>
      <c r="C1362" s="77" t="s">
        <v>32</v>
      </c>
      <c r="D1362" s="77" t="s">
        <v>1226</v>
      </c>
      <c r="E1362" s="79" t="s">
        <v>2791</v>
      </c>
      <c r="F1362" s="77" t="s">
        <v>766</v>
      </c>
      <c r="G1362" s="77" t="s">
        <v>2451</v>
      </c>
      <c r="H1362" s="77">
        <f>STOCK[[#This Row],[Precio Final]]</f>
        <v>30</v>
      </c>
      <c r="I1362" s="82">
        <f>STOCK[[#This Row],[Precio Venta Ideal (x1.5)]]</f>
        <v>20.1</v>
      </c>
      <c r="J1362" s="80">
        <v>1</v>
      </c>
      <c r="K1362" s="80">
        <f>SUMIFS(VENTAS[Cantidad],VENTAS[Código del producto Vendido],STOCK[[#This Row],[Code]])</f>
        <v>0</v>
      </c>
      <c r="L1362" s="80">
        <f>STOCK[[#This Row],[Entradas]]-STOCK[[#This Row],[Salidas]]</f>
        <v>1</v>
      </c>
      <c r="M1362" s="77">
        <f>STOCK[[#This Row],[Precio Final]]*10%</f>
        <v>3</v>
      </c>
      <c r="N1362" s="77">
        <v>0</v>
      </c>
      <c r="O1362" s="77">
        <v>0</v>
      </c>
      <c r="P1362" s="77">
        <v>8.75</v>
      </c>
      <c r="Q1362" s="80">
        <v>0</v>
      </c>
      <c r="R1362" s="77">
        <v>0</v>
      </c>
      <c r="S1362" s="77">
        <v>1.65</v>
      </c>
      <c r="T1362" s="77">
        <f>STOCK[[#This Row],[Costo Unitario (USD)]]+STOCK[[#This Row],[Costo Envío (USD)]]+STOCK[[#This Row],[Comisión 10%]]</f>
        <v>13.4</v>
      </c>
      <c r="U1362" s="53">
        <f>STOCK[[#This Row],[Costo total]]*1.5</f>
        <v>20.1</v>
      </c>
      <c r="V1362" s="77">
        <v>30</v>
      </c>
      <c r="W1362" s="77">
        <f>STOCK[[#This Row],[Precio Final]]-STOCK[[#This Row],[Costo total]]</f>
        <v>16.6</v>
      </c>
      <c r="X1362" s="77">
        <f>STOCK[[#This Row],[Ganancia Unitaria]]*STOCK[[#This Row],[Salidas]]</f>
        <v>0</v>
      </c>
      <c r="Y1362" s="77"/>
      <c r="Z1362" s="77"/>
      <c r="AA1362" s="54">
        <f>STOCK[[#This Row],[Costo total]]*STOCK[[#This Row],[Entradas]]</f>
        <v>13.4</v>
      </c>
      <c r="AB1362" s="54">
        <f>STOCK[[#This Row],[Stock Actual]]*STOCK[[#This Row],[Costo total]]</f>
        <v>13.4</v>
      </c>
      <c r="AC1362" s="77"/>
    </row>
    <row r="1363" s="53" customFormat="1" ht="50" customHeight="1" spans="1:29">
      <c r="A1363" s="53" t="s">
        <v>2793</v>
      </c>
      <c r="B1363" s="78"/>
      <c r="C1363" s="77" t="s">
        <v>32</v>
      </c>
      <c r="D1363" s="77" t="s">
        <v>1226</v>
      </c>
      <c r="E1363" s="79" t="s">
        <v>2794</v>
      </c>
      <c r="F1363" s="77" t="s">
        <v>517</v>
      </c>
      <c r="G1363" s="77" t="s">
        <v>2451</v>
      </c>
      <c r="H1363" s="77">
        <f>STOCK[[#This Row],[Precio Final]]</f>
        <v>35</v>
      </c>
      <c r="I1363" s="82">
        <f>STOCK[[#This Row],[Precio Venta Ideal (x1.5)]]</f>
        <v>25.35</v>
      </c>
      <c r="J1363" s="80">
        <v>2</v>
      </c>
      <c r="K1363" s="80">
        <f>SUMIFS(VENTAS[Cantidad],VENTAS[Código del producto Vendido],STOCK[[#This Row],[Code]])</f>
        <v>2</v>
      </c>
      <c r="L1363" s="80">
        <f>STOCK[[#This Row],[Entradas]]-STOCK[[#This Row],[Salidas]]</f>
        <v>0</v>
      </c>
      <c r="M1363" s="77">
        <f>STOCK[[#This Row],[Precio Final]]*10%</f>
        <v>3.5</v>
      </c>
      <c r="N1363" s="77">
        <v>0</v>
      </c>
      <c r="O1363" s="77">
        <v>0</v>
      </c>
      <c r="P1363" s="77">
        <v>11.75</v>
      </c>
      <c r="Q1363" s="80">
        <v>0</v>
      </c>
      <c r="R1363" s="77">
        <v>0</v>
      </c>
      <c r="S1363" s="77">
        <v>1.65</v>
      </c>
      <c r="T1363" s="77">
        <f>STOCK[[#This Row],[Costo Unitario (USD)]]+STOCK[[#This Row],[Costo Envío (USD)]]+STOCK[[#This Row],[Comisión 10%]]</f>
        <v>16.9</v>
      </c>
      <c r="U1363" s="53">
        <f>STOCK[[#This Row],[Costo total]]*1.5</f>
        <v>25.35</v>
      </c>
      <c r="V1363" s="77">
        <v>35</v>
      </c>
      <c r="W1363" s="77">
        <f>STOCK[[#This Row],[Precio Final]]-STOCK[[#This Row],[Costo total]]</f>
        <v>18.1</v>
      </c>
      <c r="X1363" s="77">
        <f>STOCK[[#This Row],[Ganancia Unitaria]]*STOCK[[#This Row],[Salidas]]</f>
        <v>36.2</v>
      </c>
      <c r="Y1363" s="77"/>
      <c r="Z1363" s="77"/>
      <c r="AA1363" s="54">
        <f>STOCK[[#This Row],[Costo total]]*STOCK[[#This Row],[Entradas]]</f>
        <v>33.8</v>
      </c>
      <c r="AB1363" s="54">
        <f>STOCK[[#This Row],[Stock Actual]]*STOCK[[#This Row],[Costo total]]</f>
        <v>0</v>
      </c>
      <c r="AC1363" s="77"/>
    </row>
    <row r="1364" s="53" customFormat="1" ht="50" customHeight="1" spans="1:29">
      <c r="A1364" s="53" t="s">
        <v>2795</v>
      </c>
      <c r="B1364" s="78"/>
      <c r="C1364" s="77" t="s">
        <v>32</v>
      </c>
      <c r="D1364" s="77" t="s">
        <v>1226</v>
      </c>
      <c r="E1364" s="79" t="s">
        <v>2794</v>
      </c>
      <c r="F1364" s="77" t="s">
        <v>766</v>
      </c>
      <c r="G1364" s="77" t="s">
        <v>2451</v>
      </c>
      <c r="H1364" s="77">
        <f>STOCK[[#This Row],[Precio Final]]</f>
        <v>35</v>
      </c>
      <c r="I1364" s="82">
        <f>STOCK[[#This Row],[Precio Venta Ideal (x1.5)]]</f>
        <v>22.35</v>
      </c>
      <c r="J1364" s="80">
        <v>4</v>
      </c>
      <c r="K1364" s="80">
        <f>SUMIFS(VENTAS[Cantidad],VENTAS[Código del producto Vendido],STOCK[[#This Row],[Code]])</f>
        <v>4</v>
      </c>
      <c r="L1364" s="80">
        <f>STOCK[[#This Row],[Entradas]]-STOCK[[#This Row],[Salidas]]</f>
        <v>0</v>
      </c>
      <c r="M1364" s="77">
        <f>STOCK[[#This Row],[Precio Final]]*10%</f>
        <v>3.5</v>
      </c>
      <c r="N1364" s="77">
        <v>0</v>
      </c>
      <c r="O1364" s="77">
        <v>0</v>
      </c>
      <c r="P1364" s="77">
        <v>9.75</v>
      </c>
      <c r="Q1364" s="80">
        <v>0</v>
      </c>
      <c r="R1364" s="77">
        <v>0</v>
      </c>
      <c r="S1364" s="77">
        <v>1.65</v>
      </c>
      <c r="T1364" s="77">
        <f>STOCK[[#This Row],[Costo Unitario (USD)]]+STOCK[[#This Row],[Costo Envío (USD)]]+STOCK[[#This Row],[Comisión 10%]]</f>
        <v>14.9</v>
      </c>
      <c r="U1364" s="53">
        <f>STOCK[[#This Row],[Costo total]]*1.5</f>
        <v>22.35</v>
      </c>
      <c r="V1364" s="77">
        <v>35</v>
      </c>
      <c r="W1364" s="77">
        <f>STOCK[[#This Row],[Precio Final]]-STOCK[[#This Row],[Costo total]]</f>
        <v>20.1</v>
      </c>
      <c r="X1364" s="77">
        <f>STOCK[[#This Row],[Ganancia Unitaria]]*STOCK[[#This Row],[Salidas]]</f>
        <v>80.4</v>
      </c>
      <c r="Y1364" s="77"/>
      <c r="Z1364" s="77"/>
      <c r="AA1364" s="54">
        <f>STOCK[[#This Row],[Costo total]]*STOCK[[#This Row],[Entradas]]</f>
        <v>59.6</v>
      </c>
      <c r="AB1364" s="54">
        <f>STOCK[[#This Row],[Stock Actual]]*STOCK[[#This Row],[Costo total]]</f>
        <v>0</v>
      </c>
      <c r="AC1364" s="77"/>
    </row>
    <row r="1365" s="53" customFormat="1" ht="50" customHeight="1" spans="1:29">
      <c r="A1365" s="53" t="s">
        <v>2796</v>
      </c>
      <c r="B1365" s="78"/>
      <c r="C1365" s="77" t="s">
        <v>32</v>
      </c>
      <c r="D1365" s="77" t="s">
        <v>1226</v>
      </c>
      <c r="E1365" s="79" t="s">
        <v>2794</v>
      </c>
      <c r="F1365" s="77" t="s">
        <v>540</v>
      </c>
      <c r="G1365" s="77" t="s">
        <v>2451</v>
      </c>
      <c r="H1365" s="77">
        <f>STOCK[[#This Row],[Precio Final]]</f>
        <v>35</v>
      </c>
      <c r="I1365" s="82">
        <f>STOCK[[#This Row],[Precio Venta Ideal (x1.5)]]</f>
        <v>25.35</v>
      </c>
      <c r="J1365" s="80">
        <v>2</v>
      </c>
      <c r="K1365" s="80">
        <f>SUMIFS(VENTAS[Cantidad],VENTAS[Código del producto Vendido],STOCK[[#This Row],[Code]])</f>
        <v>2</v>
      </c>
      <c r="L1365" s="80">
        <f>STOCK[[#This Row],[Entradas]]-STOCK[[#This Row],[Salidas]]</f>
        <v>0</v>
      </c>
      <c r="M1365" s="77">
        <f>STOCK[[#This Row],[Precio Final]]*10%</f>
        <v>3.5</v>
      </c>
      <c r="N1365" s="77">
        <v>0</v>
      </c>
      <c r="O1365" s="77">
        <v>0</v>
      </c>
      <c r="P1365" s="77">
        <v>11.75</v>
      </c>
      <c r="Q1365" s="80">
        <v>0</v>
      </c>
      <c r="R1365" s="77">
        <v>0</v>
      </c>
      <c r="S1365" s="77">
        <v>1.65</v>
      </c>
      <c r="T1365" s="77">
        <f>STOCK[[#This Row],[Costo Unitario (USD)]]+STOCK[[#This Row],[Costo Envío (USD)]]+STOCK[[#This Row],[Comisión 10%]]</f>
        <v>16.9</v>
      </c>
      <c r="U1365" s="53">
        <f>STOCK[[#This Row],[Costo total]]*1.5</f>
        <v>25.35</v>
      </c>
      <c r="V1365" s="77">
        <v>35</v>
      </c>
      <c r="W1365" s="77">
        <f>STOCK[[#This Row],[Precio Final]]-STOCK[[#This Row],[Costo total]]</f>
        <v>18.1</v>
      </c>
      <c r="X1365" s="77">
        <f>STOCK[[#This Row],[Ganancia Unitaria]]*STOCK[[#This Row],[Salidas]]</f>
        <v>36.2</v>
      </c>
      <c r="Y1365" s="77"/>
      <c r="Z1365" s="77"/>
      <c r="AA1365" s="54">
        <f>STOCK[[#This Row],[Costo total]]*STOCK[[#This Row],[Entradas]]</f>
        <v>33.8</v>
      </c>
      <c r="AB1365" s="54">
        <f>STOCK[[#This Row],[Stock Actual]]*STOCK[[#This Row],[Costo total]]</f>
        <v>0</v>
      </c>
      <c r="AC1365" s="77"/>
    </row>
    <row r="1366" s="53" customFormat="1" ht="50" customHeight="1" spans="1:29">
      <c r="A1366" s="53" t="s">
        <v>2797</v>
      </c>
      <c r="B1366" s="78"/>
      <c r="C1366" s="77" t="s">
        <v>32</v>
      </c>
      <c r="D1366" s="77" t="s">
        <v>1226</v>
      </c>
      <c r="E1366" s="79" t="s">
        <v>2794</v>
      </c>
      <c r="F1366" s="77" t="s">
        <v>764</v>
      </c>
      <c r="G1366" s="77" t="s">
        <v>2451</v>
      </c>
      <c r="H1366" s="77">
        <f>STOCK[[#This Row],[Precio Final]]</f>
        <v>35</v>
      </c>
      <c r="I1366" s="82">
        <f>STOCK[[#This Row],[Precio Venta Ideal (x1.5)]]</f>
        <v>34.725</v>
      </c>
      <c r="J1366" s="80">
        <v>2</v>
      </c>
      <c r="K1366" s="80">
        <f>SUMIFS(VENTAS[Cantidad],VENTAS[Código del producto Vendido],STOCK[[#This Row],[Code]])</f>
        <v>2</v>
      </c>
      <c r="L1366" s="80">
        <f>STOCK[[#This Row],[Entradas]]-STOCK[[#This Row],[Salidas]]</f>
        <v>0</v>
      </c>
      <c r="M1366" s="77">
        <f>STOCK[[#This Row],[Precio Final]]*10%</f>
        <v>3.5</v>
      </c>
      <c r="N1366" s="77">
        <v>0</v>
      </c>
      <c r="O1366" s="77">
        <v>0</v>
      </c>
      <c r="P1366" s="77">
        <v>18</v>
      </c>
      <c r="Q1366" s="80">
        <v>0</v>
      </c>
      <c r="R1366" s="77">
        <v>0</v>
      </c>
      <c r="S1366" s="77">
        <v>1.65</v>
      </c>
      <c r="T1366" s="77">
        <f>STOCK[[#This Row],[Costo Unitario (USD)]]+STOCK[[#This Row],[Costo Envío (USD)]]+STOCK[[#This Row],[Comisión 10%]]</f>
        <v>23.15</v>
      </c>
      <c r="U1366" s="53">
        <f>STOCK[[#This Row],[Costo total]]*1.5</f>
        <v>34.725</v>
      </c>
      <c r="V1366" s="77">
        <v>35</v>
      </c>
      <c r="W1366" s="77">
        <f>STOCK[[#This Row],[Precio Final]]-STOCK[[#This Row],[Costo total]]</f>
        <v>11.85</v>
      </c>
      <c r="X1366" s="77">
        <f>STOCK[[#This Row],[Ganancia Unitaria]]*STOCK[[#This Row],[Salidas]]</f>
        <v>23.7</v>
      </c>
      <c r="Y1366" s="77"/>
      <c r="Z1366" s="77"/>
      <c r="AA1366" s="54">
        <f>STOCK[[#This Row],[Costo total]]*STOCK[[#This Row],[Entradas]]</f>
        <v>46.3</v>
      </c>
      <c r="AB1366" s="54">
        <f>STOCK[[#This Row],[Stock Actual]]*STOCK[[#This Row],[Costo total]]</f>
        <v>0</v>
      </c>
      <c r="AC1366" s="77"/>
    </row>
    <row r="1367" s="53" customFormat="1" ht="50" customHeight="1" spans="1:29">
      <c r="A1367" s="53" t="s">
        <v>2798</v>
      </c>
      <c r="B1367" s="78"/>
      <c r="C1367" s="77" t="s">
        <v>32</v>
      </c>
      <c r="D1367" s="77" t="s">
        <v>1226</v>
      </c>
      <c r="E1367" s="79" t="s">
        <v>2794</v>
      </c>
      <c r="F1367" s="77" t="s">
        <v>754</v>
      </c>
      <c r="G1367" s="77" t="s">
        <v>2451</v>
      </c>
      <c r="H1367" s="77">
        <f>STOCK[[#This Row],[Precio Final]]</f>
        <v>35</v>
      </c>
      <c r="I1367" s="82">
        <f>STOCK[[#This Row],[Precio Venta Ideal (x1.5)]]</f>
        <v>25.35</v>
      </c>
      <c r="J1367" s="80">
        <v>2</v>
      </c>
      <c r="K1367" s="80">
        <f>SUMIFS(VENTAS[Cantidad],VENTAS[Código del producto Vendido],STOCK[[#This Row],[Code]])</f>
        <v>4</v>
      </c>
      <c r="L1367" s="80">
        <f>STOCK[[#This Row],[Entradas]]-STOCK[[#This Row],[Salidas]]</f>
        <v>-2</v>
      </c>
      <c r="M1367" s="77">
        <f>STOCK[[#This Row],[Precio Final]]*10%</f>
        <v>3.5</v>
      </c>
      <c r="N1367" s="77">
        <v>0</v>
      </c>
      <c r="O1367" s="77">
        <v>0</v>
      </c>
      <c r="P1367" s="77">
        <v>11.75</v>
      </c>
      <c r="Q1367" s="80">
        <v>0</v>
      </c>
      <c r="R1367" s="77">
        <v>0</v>
      </c>
      <c r="S1367" s="77">
        <v>1.65</v>
      </c>
      <c r="T1367" s="77">
        <f>STOCK[[#This Row],[Costo Unitario (USD)]]+STOCK[[#This Row],[Costo Envío (USD)]]+STOCK[[#This Row],[Comisión 10%]]</f>
        <v>16.9</v>
      </c>
      <c r="U1367" s="53">
        <f>STOCK[[#This Row],[Costo total]]*1.5</f>
        <v>25.35</v>
      </c>
      <c r="V1367" s="77">
        <v>35</v>
      </c>
      <c r="W1367" s="77">
        <f>STOCK[[#This Row],[Precio Final]]-STOCK[[#This Row],[Costo total]]</f>
        <v>18.1</v>
      </c>
      <c r="X1367" s="77">
        <f>STOCK[[#This Row],[Ganancia Unitaria]]*STOCK[[#This Row],[Salidas]]</f>
        <v>72.4</v>
      </c>
      <c r="Y1367" s="77"/>
      <c r="Z1367" s="77"/>
      <c r="AA1367" s="54">
        <f>STOCK[[#This Row],[Costo total]]*STOCK[[#This Row],[Entradas]]</f>
        <v>33.8</v>
      </c>
      <c r="AB1367" s="54">
        <f>STOCK[[#This Row],[Stock Actual]]*STOCK[[#This Row],[Costo total]]</f>
        <v>-33.8</v>
      </c>
      <c r="AC1367" s="77"/>
    </row>
    <row r="1368" s="53" customFormat="1" ht="50" customHeight="1" spans="1:29">
      <c r="A1368" s="53" t="s">
        <v>2799</v>
      </c>
      <c r="B1368" s="78"/>
      <c r="C1368" s="77" t="s">
        <v>32</v>
      </c>
      <c r="D1368" s="77" t="s">
        <v>1226</v>
      </c>
      <c r="E1368" s="79" t="s">
        <v>2800</v>
      </c>
      <c r="F1368" s="77" t="s">
        <v>517</v>
      </c>
      <c r="G1368" s="77" t="s">
        <v>2451</v>
      </c>
      <c r="H1368" s="77">
        <f>STOCK[[#This Row],[Precio Final]]</f>
        <v>25</v>
      </c>
      <c r="I1368" s="82">
        <f>STOCK[[#This Row],[Precio Venta Ideal (x1.5)]]</f>
        <v>20.85</v>
      </c>
      <c r="J1368" s="80">
        <v>1</v>
      </c>
      <c r="K1368" s="80">
        <f>SUMIFS(VENTAS[Cantidad],VENTAS[Código del producto Vendido],STOCK[[#This Row],[Code]])</f>
        <v>0</v>
      </c>
      <c r="L1368" s="80">
        <f>STOCK[[#This Row],[Entradas]]-STOCK[[#This Row],[Salidas]]</f>
        <v>1</v>
      </c>
      <c r="M1368" s="77">
        <f>STOCK[[#This Row],[Precio Final]]*10%</f>
        <v>2.5</v>
      </c>
      <c r="N1368" s="77">
        <v>0</v>
      </c>
      <c r="O1368" s="77">
        <v>0</v>
      </c>
      <c r="P1368" s="77">
        <v>9.75</v>
      </c>
      <c r="Q1368" s="80">
        <v>0</v>
      </c>
      <c r="R1368" s="77">
        <v>0</v>
      </c>
      <c r="S1368" s="77">
        <v>1.65</v>
      </c>
      <c r="T1368" s="77">
        <f>STOCK[[#This Row],[Costo Unitario (USD)]]+STOCK[[#This Row],[Costo Envío (USD)]]+STOCK[[#This Row],[Comisión 10%]]</f>
        <v>13.9</v>
      </c>
      <c r="U1368" s="53">
        <f>STOCK[[#This Row],[Costo total]]*1.5</f>
        <v>20.85</v>
      </c>
      <c r="V1368" s="77">
        <v>25</v>
      </c>
      <c r="W1368" s="77">
        <f>STOCK[[#This Row],[Precio Final]]-STOCK[[#This Row],[Costo total]]</f>
        <v>11.1</v>
      </c>
      <c r="X1368" s="77">
        <f>STOCK[[#This Row],[Ganancia Unitaria]]*STOCK[[#This Row],[Salidas]]</f>
        <v>0</v>
      </c>
      <c r="Y1368" s="77"/>
      <c r="Z1368" s="77"/>
      <c r="AA1368" s="54">
        <f>STOCK[[#This Row],[Costo total]]*STOCK[[#This Row],[Entradas]]</f>
        <v>13.9</v>
      </c>
      <c r="AB1368" s="54">
        <f>STOCK[[#This Row],[Stock Actual]]*STOCK[[#This Row],[Costo total]]</f>
        <v>13.9</v>
      </c>
      <c r="AC1368" s="77"/>
    </row>
    <row r="1369" s="53" customFormat="1" ht="50" customHeight="1" spans="1:29">
      <c r="A1369" s="53" t="s">
        <v>2801</v>
      </c>
      <c r="B1369" s="78"/>
      <c r="C1369" s="77" t="s">
        <v>32</v>
      </c>
      <c r="D1369" s="77" t="s">
        <v>1226</v>
      </c>
      <c r="E1369" s="79" t="s">
        <v>2800</v>
      </c>
      <c r="F1369" s="77" t="s">
        <v>766</v>
      </c>
      <c r="G1369" s="77" t="s">
        <v>2451</v>
      </c>
      <c r="H1369" s="77">
        <f>STOCK[[#This Row],[Precio Final]]</f>
        <v>25</v>
      </c>
      <c r="I1369" s="82">
        <f>STOCK[[#This Row],[Precio Venta Ideal (x1.5)]]</f>
        <v>20.85</v>
      </c>
      <c r="J1369" s="80">
        <v>1</v>
      </c>
      <c r="K1369" s="80">
        <f>SUMIFS(VENTAS[Cantidad],VENTAS[Código del producto Vendido],STOCK[[#This Row],[Code]])</f>
        <v>0</v>
      </c>
      <c r="L1369" s="80">
        <f>STOCK[[#This Row],[Entradas]]-STOCK[[#This Row],[Salidas]]</f>
        <v>1</v>
      </c>
      <c r="M1369" s="77">
        <f>STOCK[[#This Row],[Precio Final]]*10%</f>
        <v>2.5</v>
      </c>
      <c r="N1369" s="77">
        <v>0</v>
      </c>
      <c r="O1369" s="77">
        <v>0</v>
      </c>
      <c r="P1369" s="77">
        <v>9.75</v>
      </c>
      <c r="Q1369" s="80">
        <v>0</v>
      </c>
      <c r="R1369" s="77">
        <v>0</v>
      </c>
      <c r="S1369" s="77">
        <v>1.65</v>
      </c>
      <c r="T1369" s="77">
        <f>STOCK[[#This Row],[Costo Unitario (USD)]]+STOCK[[#This Row],[Costo Envío (USD)]]+STOCK[[#This Row],[Comisión 10%]]</f>
        <v>13.9</v>
      </c>
      <c r="U1369" s="53">
        <f>STOCK[[#This Row],[Costo total]]*1.5</f>
        <v>20.85</v>
      </c>
      <c r="V1369" s="77">
        <v>25</v>
      </c>
      <c r="W1369" s="77">
        <f>STOCK[[#This Row],[Precio Final]]-STOCK[[#This Row],[Costo total]]</f>
        <v>11.1</v>
      </c>
      <c r="X1369" s="77">
        <f>STOCK[[#This Row],[Ganancia Unitaria]]*STOCK[[#This Row],[Salidas]]</f>
        <v>0</v>
      </c>
      <c r="Y1369" s="77"/>
      <c r="Z1369" s="77"/>
      <c r="AA1369" s="54">
        <f>STOCK[[#This Row],[Costo total]]*STOCK[[#This Row],[Entradas]]</f>
        <v>13.9</v>
      </c>
      <c r="AB1369" s="54">
        <f>STOCK[[#This Row],[Stock Actual]]*STOCK[[#This Row],[Costo total]]</f>
        <v>13.9</v>
      </c>
      <c r="AC1369" s="77"/>
    </row>
    <row r="1370" s="53" customFormat="1" ht="50" customHeight="1" spans="1:29">
      <c r="A1370" s="53" t="s">
        <v>2802</v>
      </c>
      <c r="B1370" s="78"/>
      <c r="C1370" s="77" t="s">
        <v>32</v>
      </c>
      <c r="D1370" s="77" t="s">
        <v>1226</v>
      </c>
      <c r="E1370" s="79" t="s">
        <v>2803</v>
      </c>
      <c r="F1370" s="77" t="s">
        <v>517</v>
      </c>
      <c r="G1370" s="77" t="s">
        <v>2451</v>
      </c>
      <c r="H1370" s="77">
        <f>STOCK[[#This Row],[Precio Final]]</f>
        <v>40</v>
      </c>
      <c r="I1370" s="82">
        <f>STOCK[[#This Row],[Precio Venta Ideal (x1.5)]]</f>
        <v>23.1</v>
      </c>
      <c r="J1370" s="80">
        <v>1</v>
      </c>
      <c r="K1370" s="80">
        <f>SUMIFS(VENTAS[Cantidad],VENTAS[Código del producto Vendido],STOCK[[#This Row],[Code]])</f>
        <v>2</v>
      </c>
      <c r="L1370" s="80">
        <f>STOCK[[#This Row],[Entradas]]-STOCK[[#This Row],[Salidas]]</f>
        <v>-1</v>
      </c>
      <c r="M1370" s="77">
        <f>STOCK[[#This Row],[Precio Final]]*10%</f>
        <v>4</v>
      </c>
      <c r="N1370" s="77">
        <v>0</v>
      </c>
      <c r="O1370" s="77">
        <v>0</v>
      </c>
      <c r="P1370" s="77">
        <v>9.75</v>
      </c>
      <c r="Q1370" s="80">
        <v>0</v>
      </c>
      <c r="R1370" s="77">
        <v>0</v>
      </c>
      <c r="S1370" s="77">
        <v>1.65</v>
      </c>
      <c r="T1370" s="77">
        <f>STOCK[[#This Row],[Costo Unitario (USD)]]+STOCK[[#This Row],[Costo Envío (USD)]]+STOCK[[#This Row],[Comisión 10%]]</f>
        <v>15.4</v>
      </c>
      <c r="U1370" s="53">
        <f>STOCK[[#This Row],[Costo total]]*1.5</f>
        <v>23.1</v>
      </c>
      <c r="V1370" s="77">
        <v>40</v>
      </c>
      <c r="W1370" s="77">
        <f>STOCK[[#This Row],[Precio Final]]-STOCK[[#This Row],[Costo total]]</f>
        <v>24.6</v>
      </c>
      <c r="X1370" s="77">
        <f>STOCK[[#This Row],[Ganancia Unitaria]]*STOCK[[#This Row],[Salidas]]</f>
        <v>49.2</v>
      </c>
      <c r="Y1370" s="77"/>
      <c r="Z1370" s="77"/>
      <c r="AA1370" s="54">
        <f>STOCK[[#This Row],[Costo total]]*STOCK[[#This Row],[Entradas]]</f>
        <v>15.4</v>
      </c>
      <c r="AB1370" s="54">
        <f>STOCK[[#This Row],[Stock Actual]]*STOCK[[#This Row],[Costo total]]</f>
        <v>-15.4</v>
      </c>
      <c r="AC1370" s="77"/>
    </row>
    <row r="1371" s="53" customFormat="1" ht="50" customHeight="1" spans="1:29">
      <c r="A1371" s="53" t="s">
        <v>2804</v>
      </c>
      <c r="B1371" s="78"/>
      <c r="C1371" s="77" t="s">
        <v>32</v>
      </c>
      <c r="D1371" s="77" t="s">
        <v>1226</v>
      </c>
      <c r="E1371" s="79" t="s">
        <v>2803</v>
      </c>
      <c r="F1371" s="77" t="s">
        <v>540</v>
      </c>
      <c r="G1371" s="77" t="s">
        <v>2451</v>
      </c>
      <c r="H1371" s="77">
        <f>STOCK[[#This Row],[Precio Final]]</f>
        <v>40</v>
      </c>
      <c r="I1371" s="82">
        <f>STOCK[[#This Row],[Precio Venta Ideal (x1.5)]]</f>
        <v>25.515</v>
      </c>
      <c r="J1371" s="80">
        <v>2</v>
      </c>
      <c r="K1371" s="80">
        <f>SUMIFS(VENTAS[Cantidad],VENTAS[Código del producto Vendido],STOCK[[#This Row],[Code]])</f>
        <v>4</v>
      </c>
      <c r="L1371" s="80">
        <f>STOCK[[#This Row],[Entradas]]-STOCK[[#This Row],[Salidas]]</f>
        <v>-2</v>
      </c>
      <c r="M1371" s="77">
        <f>STOCK[[#This Row],[Precio Final]]*10%</f>
        <v>4</v>
      </c>
      <c r="N1371" s="77">
        <v>0</v>
      </c>
      <c r="O1371" s="77">
        <v>0</v>
      </c>
      <c r="P1371" s="77">
        <v>11.36</v>
      </c>
      <c r="Q1371" s="80">
        <v>0</v>
      </c>
      <c r="R1371" s="77">
        <v>0</v>
      </c>
      <c r="S1371" s="77">
        <v>1.65</v>
      </c>
      <c r="T1371" s="77">
        <f>STOCK[[#This Row],[Costo Unitario (USD)]]+STOCK[[#This Row],[Costo Envío (USD)]]+STOCK[[#This Row],[Comisión 10%]]</f>
        <v>17.01</v>
      </c>
      <c r="U1371" s="53">
        <f>STOCK[[#This Row],[Costo total]]*1.5</f>
        <v>25.515</v>
      </c>
      <c r="V1371" s="77">
        <v>40</v>
      </c>
      <c r="W1371" s="77">
        <f>STOCK[[#This Row],[Precio Final]]-STOCK[[#This Row],[Costo total]]</f>
        <v>22.99</v>
      </c>
      <c r="X1371" s="77">
        <f>STOCK[[#This Row],[Ganancia Unitaria]]*STOCK[[#This Row],[Salidas]]</f>
        <v>91.96</v>
      </c>
      <c r="Y1371" s="77"/>
      <c r="Z1371" s="77"/>
      <c r="AA1371" s="54">
        <f>STOCK[[#This Row],[Costo total]]*STOCK[[#This Row],[Entradas]]</f>
        <v>34.02</v>
      </c>
      <c r="AB1371" s="54">
        <f>STOCK[[#This Row],[Stock Actual]]*STOCK[[#This Row],[Costo total]]</f>
        <v>-34.02</v>
      </c>
      <c r="AC1371" s="77"/>
    </row>
    <row r="1372" s="53" customFormat="1" ht="50" customHeight="1" spans="1:29">
      <c r="A1372" s="53" t="s">
        <v>2805</v>
      </c>
      <c r="B1372" s="78"/>
      <c r="C1372" s="77" t="s">
        <v>32</v>
      </c>
      <c r="D1372" s="77" t="s">
        <v>1226</v>
      </c>
      <c r="E1372" s="79" t="s">
        <v>2803</v>
      </c>
      <c r="F1372" s="77" t="s">
        <v>764</v>
      </c>
      <c r="G1372" s="77" t="s">
        <v>2451</v>
      </c>
      <c r="H1372" s="77">
        <f>STOCK[[#This Row],[Precio Final]]</f>
        <v>40</v>
      </c>
      <c r="I1372" s="82">
        <f>STOCK[[#This Row],[Precio Venta Ideal (x1.5)]]</f>
        <v>25.515</v>
      </c>
      <c r="J1372" s="80">
        <v>2</v>
      </c>
      <c r="K1372" s="80">
        <f>SUMIFS(VENTAS[Cantidad],VENTAS[Código del producto Vendido],STOCK[[#This Row],[Code]])</f>
        <v>1</v>
      </c>
      <c r="L1372" s="80">
        <f>STOCK[[#This Row],[Entradas]]-STOCK[[#This Row],[Salidas]]</f>
        <v>1</v>
      </c>
      <c r="M1372" s="77">
        <f>STOCK[[#This Row],[Precio Final]]*10%</f>
        <v>4</v>
      </c>
      <c r="N1372" s="77">
        <v>0</v>
      </c>
      <c r="O1372" s="77">
        <v>0</v>
      </c>
      <c r="P1372" s="77">
        <v>11.36</v>
      </c>
      <c r="Q1372" s="80">
        <v>0</v>
      </c>
      <c r="R1372" s="77">
        <v>0</v>
      </c>
      <c r="S1372" s="77">
        <v>1.65</v>
      </c>
      <c r="T1372" s="77">
        <f>STOCK[[#This Row],[Costo Unitario (USD)]]+STOCK[[#This Row],[Costo Envío (USD)]]+STOCK[[#This Row],[Comisión 10%]]</f>
        <v>17.01</v>
      </c>
      <c r="U1372" s="53">
        <f>STOCK[[#This Row],[Costo total]]*1.5</f>
        <v>25.515</v>
      </c>
      <c r="V1372" s="77">
        <v>40</v>
      </c>
      <c r="W1372" s="77">
        <f>STOCK[[#This Row],[Precio Final]]-STOCK[[#This Row],[Costo total]]</f>
        <v>22.99</v>
      </c>
      <c r="X1372" s="77">
        <f>STOCK[[#This Row],[Ganancia Unitaria]]*STOCK[[#This Row],[Salidas]]</f>
        <v>22.99</v>
      </c>
      <c r="Y1372" s="77"/>
      <c r="Z1372" s="77"/>
      <c r="AA1372" s="54">
        <f>STOCK[[#This Row],[Costo total]]*STOCK[[#This Row],[Entradas]]</f>
        <v>34.02</v>
      </c>
      <c r="AB1372" s="54">
        <f>STOCK[[#This Row],[Stock Actual]]*STOCK[[#This Row],[Costo total]]</f>
        <v>17.01</v>
      </c>
      <c r="AC1372" s="77"/>
    </row>
    <row r="1373" s="53" customFormat="1" ht="50" customHeight="1" spans="1:29">
      <c r="A1373" s="53" t="s">
        <v>2806</v>
      </c>
      <c r="B1373" s="78"/>
      <c r="C1373" s="77" t="s">
        <v>32</v>
      </c>
      <c r="D1373" s="77" t="s">
        <v>1226</v>
      </c>
      <c r="E1373" s="79" t="s">
        <v>2803</v>
      </c>
      <c r="F1373" s="77" t="s">
        <v>759</v>
      </c>
      <c r="G1373" s="77" t="s">
        <v>2451</v>
      </c>
      <c r="H1373" s="77">
        <f>STOCK[[#This Row],[Precio Final]]</f>
        <v>40</v>
      </c>
      <c r="I1373" s="82">
        <f>STOCK[[#This Row],[Precio Venta Ideal (x1.5)]]</f>
        <v>25.515</v>
      </c>
      <c r="J1373" s="80">
        <v>2</v>
      </c>
      <c r="K1373" s="80">
        <f>SUMIFS(VENTAS[Cantidad],VENTAS[Código del producto Vendido],STOCK[[#This Row],[Code]])</f>
        <v>3</v>
      </c>
      <c r="L1373" s="80">
        <f>STOCK[[#This Row],[Entradas]]-STOCK[[#This Row],[Salidas]]</f>
        <v>-1</v>
      </c>
      <c r="M1373" s="77">
        <f>STOCK[[#This Row],[Precio Final]]*10%</f>
        <v>4</v>
      </c>
      <c r="N1373" s="77">
        <v>0</v>
      </c>
      <c r="O1373" s="77">
        <v>0</v>
      </c>
      <c r="P1373" s="77">
        <v>11.36</v>
      </c>
      <c r="Q1373" s="80">
        <v>0</v>
      </c>
      <c r="R1373" s="77">
        <v>0</v>
      </c>
      <c r="S1373" s="77">
        <v>1.65</v>
      </c>
      <c r="T1373" s="77">
        <f>STOCK[[#This Row],[Costo Unitario (USD)]]+STOCK[[#This Row],[Costo Envío (USD)]]+STOCK[[#This Row],[Comisión 10%]]</f>
        <v>17.01</v>
      </c>
      <c r="U1373" s="53">
        <f>STOCK[[#This Row],[Costo total]]*1.5</f>
        <v>25.515</v>
      </c>
      <c r="V1373" s="77">
        <v>40</v>
      </c>
      <c r="W1373" s="77">
        <f>STOCK[[#This Row],[Precio Final]]-STOCK[[#This Row],[Costo total]]</f>
        <v>22.99</v>
      </c>
      <c r="X1373" s="77">
        <f>STOCK[[#This Row],[Ganancia Unitaria]]*STOCK[[#This Row],[Salidas]]</f>
        <v>68.97</v>
      </c>
      <c r="Y1373" s="77"/>
      <c r="Z1373" s="77"/>
      <c r="AA1373" s="54">
        <f>STOCK[[#This Row],[Costo total]]*STOCK[[#This Row],[Entradas]]</f>
        <v>34.02</v>
      </c>
      <c r="AB1373" s="54">
        <f>STOCK[[#This Row],[Stock Actual]]*STOCK[[#This Row],[Costo total]]</f>
        <v>-17.01</v>
      </c>
      <c r="AC1373" s="77"/>
    </row>
    <row r="1374" s="53" customFormat="1" ht="50" customHeight="1" spans="1:29">
      <c r="A1374" s="53" t="s">
        <v>2807</v>
      </c>
      <c r="B1374" s="78"/>
      <c r="C1374" s="77" t="s">
        <v>32</v>
      </c>
      <c r="D1374" s="77" t="s">
        <v>1226</v>
      </c>
      <c r="E1374" s="79" t="s">
        <v>2803</v>
      </c>
      <c r="F1374" s="77" t="s">
        <v>754</v>
      </c>
      <c r="G1374" s="77" t="s">
        <v>2451</v>
      </c>
      <c r="H1374" s="77">
        <f>STOCK[[#This Row],[Precio Final]]</f>
        <v>40</v>
      </c>
      <c r="I1374" s="82">
        <f>STOCK[[#This Row],[Precio Venta Ideal (x1.5)]]</f>
        <v>25.515</v>
      </c>
      <c r="J1374" s="80">
        <v>2</v>
      </c>
      <c r="K1374" s="80">
        <f>SUMIFS(VENTAS[Cantidad],VENTAS[Código del producto Vendido],STOCK[[#This Row],[Code]])</f>
        <v>0</v>
      </c>
      <c r="L1374" s="80">
        <f>STOCK[[#This Row],[Entradas]]-STOCK[[#This Row],[Salidas]]</f>
        <v>2</v>
      </c>
      <c r="M1374" s="77">
        <f>STOCK[[#This Row],[Precio Final]]*10%</f>
        <v>4</v>
      </c>
      <c r="N1374" s="77">
        <v>0</v>
      </c>
      <c r="O1374" s="77">
        <v>0</v>
      </c>
      <c r="P1374" s="77">
        <v>11.36</v>
      </c>
      <c r="Q1374" s="80">
        <v>0</v>
      </c>
      <c r="R1374" s="77">
        <v>0</v>
      </c>
      <c r="S1374" s="77">
        <v>1.65</v>
      </c>
      <c r="T1374" s="77">
        <f>STOCK[[#This Row],[Costo Unitario (USD)]]+STOCK[[#This Row],[Costo Envío (USD)]]+STOCK[[#This Row],[Comisión 10%]]</f>
        <v>17.01</v>
      </c>
      <c r="U1374" s="53">
        <f>STOCK[[#This Row],[Costo total]]*1.5</f>
        <v>25.515</v>
      </c>
      <c r="V1374" s="77">
        <v>40</v>
      </c>
      <c r="W1374" s="77">
        <f>STOCK[[#This Row],[Precio Final]]-STOCK[[#This Row],[Costo total]]</f>
        <v>22.99</v>
      </c>
      <c r="X1374" s="77">
        <f>STOCK[[#This Row],[Ganancia Unitaria]]*STOCK[[#This Row],[Salidas]]</f>
        <v>0</v>
      </c>
      <c r="Y1374" s="77"/>
      <c r="Z1374" s="77"/>
      <c r="AA1374" s="54">
        <f>STOCK[[#This Row],[Costo total]]*STOCK[[#This Row],[Entradas]]</f>
        <v>34.02</v>
      </c>
      <c r="AB1374" s="54">
        <f>STOCK[[#This Row],[Stock Actual]]*STOCK[[#This Row],[Costo total]]</f>
        <v>34.02</v>
      </c>
      <c r="AC1374" s="77"/>
    </row>
    <row r="1375" s="53" customFormat="1" ht="50" customHeight="1" spans="1:29">
      <c r="A1375" s="53" t="s">
        <v>2808</v>
      </c>
      <c r="B1375" s="78"/>
      <c r="C1375" s="77" t="s">
        <v>32</v>
      </c>
      <c r="D1375" s="77" t="s">
        <v>1226</v>
      </c>
      <c r="E1375" s="79" t="s">
        <v>2803</v>
      </c>
      <c r="F1375" s="77" t="s">
        <v>766</v>
      </c>
      <c r="G1375" s="77"/>
      <c r="H1375" s="77">
        <f>STOCK[[#This Row],[Precio Final]]</f>
        <v>40</v>
      </c>
      <c r="I1375" s="82">
        <f>STOCK[[#This Row],[Precio Venta Ideal (x1.5)]]</f>
        <v>25.515</v>
      </c>
      <c r="J1375" s="80">
        <v>2</v>
      </c>
      <c r="K1375" s="80">
        <f>SUMIFS(VENTAS[Cantidad],VENTAS[Código del producto Vendido],STOCK[[#This Row],[Code]])</f>
        <v>2</v>
      </c>
      <c r="L1375" s="80">
        <f>STOCK[[#This Row],[Entradas]]-STOCK[[#This Row],[Salidas]]</f>
        <v>0</v>
      </c>
      <c r="M1375" s="77">
        <f>STOCK[[#This Row],[Precio Final]]*10%</f>
        <v>4</v>
      </c>
      <c r="N1375" s="77">
        <v>0</v>
      </c>
      <c r="O1375" s="77">
        <v>0</v>
      </c>
      <c r="P1375" s="77">
        <v>11.36</v>
      </c>
      <c r="Q1375" s="80">
        <v>0</v>
      </c>
      <c r="R1375" s="77">
        <v>0</v>
      </c>
      <c r="S1375" s="77">
        <v>1.65</v>
      </c>
      <c r="T1375" s="77">
        <f>STOCK[[#This Row],[Costo Unitario (USD)]]+STOCK[[#This Row],[Costo Envío (USD)]]+STOCK[[#This Row],[Comisión 10%]]</f>
        <v>17.01</v>
      </c>
      <c r="U1375" s="53">
        <f>STOCK[[#This Row],[Costo total]]*1.5</f>
        <v>25.515</v>
      </c>
      <c r="V1375" s="77">
        <v>40</v>
      </c>
      <c r="W1375" s="77">
        <f>STOCK[[#This Row],[Precio Final]]-STOCK[[#This Row],[Costo total]]</f>
        <v>22.99</v>
      </c>
      <c r="X1375" s="77">
        <f>STOCK[[#This Row],[Ganancia Unitaria]]*STOCK[[#This Row],[Salidas]]</f>
        <v>45.98</v>
      </c>
      <c r="Y1375" s="77"/>
      <c r="Z1375" s="77"/>
      <c r="AA1375" s="54">
        <f>STOCK[[#This Row],[Costo total]]*STOCK[[#This Row],[Entradas]]</f>
        <v>34.02</v>
      </c>
      <c r="AB1375" s="54">
        <f>STOCK[[#This Row],[Stock Actual]]*STOCK[[#This Row],[Costo total]]</f>
        <v>0</v>
      </c>
      <c r="AC1375" s="77"/>
    </row>
    <row r="1376" s="53" customFormat="1" ht="50" customHeight="1" spans="1:29">
      <c r="A1376" s="53" t="s">
        <v>2809</v>
      </c>
      <c r="B1376" s="78"/>
      <c r="C1376" s="77" t="s">
        <v>32</v>
      </c>
      <c r="D1376" s="77" t="s">
        <v>1212</v>
      </c>
      <c r="E1376" s="79" t="s">
        <v>2810</v>
      </c>
      <c r="F1376" s="77" t="s">
        <v>62</v>
      </c>
      <c r="G1376" s="77"/>
      <c r="H1376" s="77">
        <f>STOCK[[#This Row],[Precio Final]]</f>
        <v>20</v>
      </c>
      <c r="I1376" s="82">
        <f>STOCK[[#This Row],[Precio Venta Ideal (x1.5)]]</f>
        <v>14.145</v>
      </c>
      <c r="J1376" s="80">
        <v>3</v>
      </c>
      <c r="K1376" s="80">
        <f>SUMIFS(VENTAS[Cantidad],VENTAS[Código del producto Vendido],STOCK[[#This Row],[Code]])</f>
        <v>1</v>
      </c>
      <c r="L1376" s="80">
        <f>STOCK[[#This Row],[Entradas]]-STOCK[[#This Row],[Salidas]]</f>
        <v>2</v>
      </c>
      <c r="M1376" s="77">
        <f>STOCK[[#This Row],[Precio Final]]*10%</f>
        <v>2</v>
      </c>
      <c r="N1376" s="77">
        <v>0</v>
      </c>
      <c r="O1376" s="77">
        <v>0</v>
      </c>
      <c r="P1376" s="77">
        <v>5.78</v>
      </c>
      <c r="Q1376" s="80">
        <v>0</v>
      </c>
      <c r="R1376" s="77">
        <v>0</v>
      </c>
      <c r="S1376" s="77">
        <v>1.65</v>
      </c>
      <c r="T1376" s="77">
        <f>STOCK[[#This Row],[Costo Unitario (USD)]]+STOCK[[#This Row],[Costo Envío (USD)]]+STOCK[[#This Row],[Comisión 10%]]</f>
        <v>9.43</v>
      </c>
      <c r="U1376" s="53">
        <f>STOCK[[#This Row],[Costo total]]*1.5</f>
        <v>14.145</v>
      </c>
      <c r="V1376" s="77">
        <v>20</v>
      </c>
      <c r="W1376" s="77">
        <f>STOCK[[#This Row],[Precio Final]]-STOCK[[#This Row],[Costo total]]</f>
        <v>10.57</v>
      </c>
      <c r="X1376" s="77">
        <f>STOCK[[#This Row],[Ganancia Unitaria]]*STOCK[[#This Row],[Salidas]]</f>
        <v>10.57</v>
      </c>
      <c r="Y1376" s="77"/>
      <c r="Z1376" s="77"/>
      <c r="AA1376" s="54">
        <f>STOCK[[#This Row],[Costo total]]*STOCK[[#This Row],[Entradas]]</f>
        <v>28.29</v>
      </c>
      <c r="AB1376" s="54">
        <f>STOCK[[#This Row],[Stock Actual]]*STOCK[[#This Row],[Costo total]]</f>
        <v>18.86</v>
      </c>
      <c r="AC1376" s="77"/>
    </row>
    <row r="1377" s="53" customFormat="1" ht="50" customHeight="1" spans="1:29">
      <c r="A1377" s="53" t="s">
        <v>2811</v>
      </c>
      <c r="B1377" s="78"/>
      <c r="C1377" s="77" t="s">
        <v>32</v>
      </c>
      <c r="D1377" s="77" t="s">
        <v>1212</v>
      </c>
      <c r="E1377" s="79" t="s">
        <v>2810</v>
      </c>
      <c r="F1377" s="77" t="s">
        <v>49</v>
      </c>
      <c r="G1377" s="77"/>
      <c r="H1377" s="77">
        <f>STOCK[[#This Row],[Precio Final]]</f>
        <v>20</v>
      </c>
      <c r="I1377" s="82">
        <f>STOCK[[#This Row],[Precio Venta Ideal (x1.5)]]</f>
        <v>14.145</v>
      </c>
      <c r="J1377" s="80">
        <v>3</v>
      </c>
      <c r="K1377" s="80">
        <f>SUMIFS(VENTAS[Cantidad],VENTAS[Código del producto Vendido],STOCK[[#This Row],[Code]])</f>
        <v>0</v>
      </c>
      <c r="L1377" s="80">
        <f>STOCK[[#This Row],[Entradas]]-STOCK[[#This Row],[Salidas]]</f>
        <v>3</v>
      </c>
      <c r="M1377" s="77">
        <f>STOCK[[#This Row],[Precio Final]]*10%</f>
        <v>2</v>
      </c>
      <c r="N1377" s="77">
        <v>0</v>
      </c>
      <c r="O1377" s="77">
        <v>0</v>
      </c>
      <c r="P1377" s="77">
        <v>5.78</v>
      </c>
      <c r="Q1377" s="80">
        <v>0</v>
      </c>
      <c r="R1377" s="77">
        <v>0</v>
      </c>
      <c r="S1377" s="77">
        <v>1.65</v>
      </c>
      <c r="T1377" s="77">
        <f>STOCK[[#This Row],[Costo Unitario (USD)]]+STOCK[[#This Row],[Costo Envío (USD)]]+STOCK[[#This Row],[Comisión 10%]]</f>
        <v>9.43</v>
      </c>
      <c r="U1377" s="53">
        <f>STOCK[[#This Row],[Costo total]]*1.5</f>
        <v>14.145</v>
      </c>
      <c r="V1377" s="77">
        <v>20</v>
      </c>
      <c r="W1377" s="77">
        <f>STOCK[[#This Row],[Precio Final]]-STOCK[[#This Row],[Costo total]]</f>
        <v>10.57</v>
      </c>
      <c r="X1377" s="77">
        <f>STOCK[[#This Row],[Ganancia Unitaria]]*STOCK[[#This Row],[Salidas]]</f>
        <v>0</v>
      </c>
      <c r="Y1377" s="77"/>
      <c r="Z1377" s="77"/>
      <c r="AA1377" s="54">
        <f>STOCK[[#This Row],[Costo total]]*STOCK[[#This Row],[Entradas]]</f>
        <v>28.29</v>
      </c>
      <c r="AB1377" s="54">
        <f>STOCK[[#This Row],[Stock Actual]]*STOCK[[#This Row],[Costo total]]</f>
        <v>28.29</v>
      </c>
      <c r="AC1377" s="77"/>
    </row>
    <row r="1378" s="53" customFormat="1" ht="50" customHeight="1" spans="1:29">
      <c r="A1378" s="53" t="s">
        <v>2812</v>
      </c>
      <c r="B1378" s="78"/>
      <c r="C1378" s="77" t="s">
        <v>32</v>
      </c>
      <c r="D1378" s="77" t="s">
        <v>1212</v>
      </c>
      <c r="E1378" s="79" t="s">
        <v>2810</v>
      </c>
      <c r="F1378" s="77" t="s">
        <v>46</v>
      </c>
      <c r="G1378" s="77"/>
      <c r="H1378" s="77">
        <f>STOCK[[#This Row],[Precio Final]]</f>
        <v>20</v>
      </c>
      <c r="I1378" s="82">
        <f>STOCK[[#This Row],[Precio Venta Ideal (x1.5)]]</f>
        <v>14.145</v>
      </c>
      <c r="J1378" s="80">
        <v>3</v>
      </c>
      <c r="K1378" s="80">
        <f>SUMIFS(VENTAS[Cantidad],VENTAS[Código del producto Vendido],STOCK[[#This Row],[Code]])</f>
        <v>0</v>
      </c>
      <c r="L1378" s="80">
        <f>STOCK[[#This Row],[Entradas]]-STOCK[[#This Row],[Salidas]]</f>
        <v>3</v>
      </c>
      <c r="M1378" s="77">
        <f>STOCK[[#This Row],[Precio Final]]*10%</f>
        <v>2</v>
      </c>
      <c r="N1378" s="77">
        <v>0</v>
      </c>
      <c r="O1378" s="77">
        <v>0</v>
      </c>
      <c r="P1378" s="77">
        <v>5.78</v>
      </c>
      <c r="Q1378" s="80">
        <v>0</v>
      </c>
      <c r="R1378" s="77">
        <v>0</v>
      </c>
      <c r="S1378" s="77">
        <v>1.65</v>
      </c>
      <c r="T1378" s="77">
        <f>STOCK[[#This Row],[Costo Unitario (USD)]]+STOCK[[#This Row],[Costo Envío (USD)]]+STOCK[[#This Row],[Comisión 10%]]</f>
        <v>9.43</v>
      </c>
      <c r="U1378" s="53">
        <f>STOCK[[#This Row],[Costo total]]*1.5</f>
        <v>14.145</v>
      </c>
      <c r="V1378" s="77">
        <v>20</v>
      </c>
      <c r="W1378" s="77">
        <f>STOCK[[#This Row],[Precio Final]]-STOCK[[#This Row],[Costo total]]</f>
        <v>10.57</v>
      </c>
      <c r="X1378" s="77">
        <f>STOCK[[#This Row],[Ganancia Unitaria]]*STOCK[[#This Row],[Salidas]]</f>
        <v>0</v>
      </c>
      <c r="Y1378" s="77"/>
      <c r="Z1378" s="77"/>
      <c r="AA1378" s="54">
        <f>STOCK[[#This Row],[Costo total]]*STOCK[[#This Row],[Entradas]]</f>
        <v>28.29</v>
      </c>
      <c r="AB1378" s="54">
        <f>STOCK[[#This Row],[Stock Actual]]*STOCK[[#This Row],[Costo total]]</f>
        <v>28.29</v>
      </c>
      <c r="AC1378" s="77"/>
    </row>
    <row r="1379" s="53" customFormat="1" ht="50" customHeight="1" spans="1:29">
      <c r="A1379" s="53" t="s">
        <v>2813</v>
      </c>
      <c r="B1379" s="78"/>
      <c r="C1379" s="77" t="s">
        <v>32</v>
      </c>
      <c r="D1379" s="77" t="s">
        <v>2111</v>
      </c>
      <c r="E1379" s="79" t="s">
        <v>2814</v>
      </c>
      <c r="F1379" s="77" t="s">
        <v>2498</v>
      </c>
      <c r="G1379" s="77"/>
      <c r="H1379" s="77">
        <f>STOCK[[#This Row],[Precio Final]]</f>
        <v>22</v>
      </c>
      <c r="I1379" s="82">
        <f>STOCK[[#This Row],[Precio Venta Ideal (x1.5)]]</f>
        <v>18.72</v>
      </c>
      <c r="J1379" s="80">
        <v>4</v>
      </c>
      <c r="K1379" s="80">
        <f>SUMIFS(VENTAS[Cantidad],VENTAS[Código del producto Vendido],STOCK[[#This Row],[Code]])</f>
        <v>6</v>
      </c>
      <c r="L1379" s="80">
        <f>STOCK[[#This Row],[Entradas]]-STOCK[[#This Row],[Salidas]]</f>
        <v>-2</v>
      </c>
      <c r="M1379" s="77">
        <f>STOCK[[#This Row],[Precio Final]]*10%</f>
        <v>2.2</v>
      </c>
      <c r="N1379" s="77">
        <v>0</v>
      </c>
      <c r="O1379" s="77">
        <v>0</v>
      </c>
      <c r="P1379" s="77">
        <v>8.63</v>
      </c>
      <c r="Q1379" s="80">
        <v>0</v>
      </c>
      <c r="R1379" s="77">
        <v>0</v>
      </c>
      <c r="S1379" s="77">
        <v>1.65</v>
      </c>
      <c r="T1379" s="77">
        <f>STOCK[[#This Row],[Costo Unitario (USD)]]+STOCK[[#This Row],[Costo Envío (USD)]]+STOCK[[#This Row],[Comisión 10%]]</f>
        <v>12.48</v>
      </c>
      <c r="U1379" s="53">
        <f>STOCK[[#This Row],[Costo total]]*1.5</f>
        <v>18.72</v>
      </c>
      <c r="V1379" s="77">
        <v>22</v>
      </c>
      <c r="W1379" s="77">
        <f>STOCK[[#This Row],[Precio Final]]-STOCK[[#This Row],[Costo total]]</f>
        <v>9.52</v>
      </c>
      <c r="X1379" s="77">
        <f>STOCK[[#This Row],[Ganancia Unitaria]]*STOCK[[#This Row],[Salidas]]</f>
        <v>57.12</v>
      </c>
      <c r="Y1379" s="77"/>
      <c r="Z1379" s="77"/>
      <c r="AA1379" s="54">
        <f>STOCK[[#This Row],[Costo total]]*STOCK[[#This Row],[Entradas]]</f>
        <v>49.92</v>
      </c>
      <c r="AB1379" s="54">
        <f>STOCK[[#This Row],[Stock Actual]]*STOCK[[#This Row],[Costo total]]</f>
        <v>-24.96</v>
      </c>
      <c r="AC1379" s="77"/>
    </row>
    <row r="1380" s="53" customFormat="1" ht="50" customHeight="1" spans="1:29">
      <c r="A1380" s="53" t="s">
        <v>2815</v>
      </c>
      <c r="B1380" s="78"/>
      <c r="C1380" s="77" t="s">
        <v>32</v>
      </c>
      <c r="D1380" s="77" t="s">
        <v>2111</v>
      </c>
      <c r="E1380" s="79" t="s">
        <v>2816</v>
      </c>
      <c r="F1380" s="77" t="s">
        <v>2817</v>
      </c>
      <c r="G1380" s="77"/>
      <c r="H1380" s="77">
        <f>STOCK[[#This Row],[Precio Final]]</f>
        <v>22</v>
      </c>
      <c r="I1380" s="82">
        <f>STOCK[[#This Row],[Precio Venta Ideal (x1.5)]]</f>
        <v>21.555</v>
      </c>
      <c r="J1380" s="80">
        <v>7</v>
      </c>
      <c r="K1380" s="80">
        <f>SUMIFS(VENTAS[Cantidad],VENTAS[Código del producto Vendido],STOCK[[#This Row],[Code]])</f>
        <v>13</v>
      </c>
      <c r="L1380" s="80">
        <f>STOCK[[#This Row],[Entradas]]-STOCK[[#This Row],[Salidas]]</f>
        <v>-6</v>
      </c>
      <c r="M1380" s="77">
        <f>STOCK[[#This Row],[Precio Final]]*10%</f>
        <v>2.2</v>
      </c>
      <c r="N1380" s="77">
        <v>0</v>
      </c>
      <c r="O1380" s="77">
        <v>0</v>
      </c>
      <c r="P1380" s="77">
        <v>10.52</v>
      </c>
      <c r="Q1380" s="80">
        <v>0</v>
      </c>
      <c r="R1380" s="77">
        <v>0</v>
      </c>
      <c r="S1380" s="77">
        <v>1.65</v>
      </c>
      <c r="T1380" s="77">
        <f>STOCK[[#This Row],[Costo Unitario (USD)]]+STOCK[[#This Row],[Costo Envío (USD)]]+STOCK[[#This Row],[Comisión 10%]]</f>
        <v>14.37</v>
      </c>
      <c r="U1380" s="53">
        <f>STOCK[[#This Row],[Costo total]]*1.5</f>
        <v>21.555</v>
      </c>
      <c r="V1380" s="77">
        <v>22</v>
      </c>
      <c r="W1380" s="77">
        <f>STOCK[[#This Row],[Precio Final]]-STOCK[[#This Row],[Costo total]]</f>
        <v>7.63</v>
      </c>
      <c r="X1380" s="77">
        <f>STOCK[[#This Row],[Ganancia Unitaria]]*STOCK[[#This Row],[Salidas]]</f>
        <v>99.19</v>
      </c>
      <c r="Y1380" s="77"/>
      <c r="Z1380" s="77"/>
      <c r="AA1380" s="54">
        <f>STOCK[[#This Row],[Costo total]]*STOCK[[#This Row],[Entradas]]</f>
        <v>100.59</v>
      </c>
      <c r="AB1380" s="54">
        <f>STOCK[[#This Row],[Stock Actual]]*STOCK[[#This Row],[Costo total]]</f>
        <v>-86.22</v>
      </c>
      <c r="AC1380" s="77"/>
    </row>
    <row r="1381" s="53" customFormat="1" ht="50" customHeight="1" spans="1:29">
      <c r="A1381" s="53" t="s">
        <v>2818</v>
      </c>
      <c r="B1381" s="78"/>
      <c r="C1381" s="77" t="s">
        <v>32</v>
      </c>
      <c r="D1381" s="77" t="s">
        <v>2111</v>
      </c>
      <c r="E1381" s="79" t="s">
        <v>2819</v>
      </c>
      <c r="F1381" s="77" t="s">
        <v>2498</v>
      </c>
      <c r="G1381" s="77"/>
      <c r="H1381" s="77">
        <f>STOCK[[#This Row],[Precio Final]]</f>
        <v>25</v>
      </c>
      <c r="I1381" s="82">
        <f>STOCK[[#This Row],[Precio Venta Ideal (x1.5)]]</f>
        <v>20.31</v>
      </c>
      <c r="J1381" s="80">
        <v>3</v>
      </c>
      <c r="K1381" s="80">
        <f>SUMIFS(VENTAS[Cantidad],VENTAS[Código del producto Vendido],STOCK[[#This Row],[Code]])</f>
        <v>0</v>
      </c>
      <c r="L1381" s="80">
        <f>STOCK[[#This Row],[Entradas]]-STOCK[[#This Row],[Salidas]]</f>
        <v>3</v>
      </c>
      <c r="M1381" s="77">
        <f>STOCK[[#This Row],[Precio Final]]*10%</f>
        <v>2.5</v>
      </c>
      <c r="N1381" s="77">
        <v>0</v>
      </c>
      <c r="O1381" s="77">
        <v>0</v>
      </c>
      <c r="P1381" s="77">
        <v>9.39</v>
      </c>
      <c r="Q1381" s="80">
        <v>0</v>
      </c>
      <c r="R1381" s="77">
        <v>0</v>
      </c>
      <c r="S1381" s="77">
        <v>1.65</v>
      </c>
      <c r="T1381" s="77">
        <f>STOCK[[#This Row],[Costo Unitario (USD)]]+STOCK[[#This Row],[Costo Envío (USD)]]+STOCK[[#This Row],[Comisión 10%]]</f>
        <v>13.54</v>
      </c>
      <c r="U1381" s="53">
        <f>STOCK[[#This Row],[Costo total]]*1.5</f>
        <v>20.31</v>
      </c>
      <c r="V1381" s="77">
        <v>25</v>
      </c>
      <c r="W1381" s="77">
        <f>STOCK[[#This Row],[Precio Final]]-STOCK[[#This Row],[Costo total]]</f>
        <v>11.46</v>
      </c>
      <c r="X1381" s="77">
        <f>STOCK[[#This Row],[Ganancia Unitaria]]*STOCK[[#This Row],[Salidas]]</f>
        <v>0</v>
      </c>
      <c r="Y1381" s="77"/>
      <c r="Z1381" s="77"/>
      <c r="AA1381" s="54">
        <f>STOCK[[#This Row],[Costo total]]*STOCK[[#This Row],[Entradas]]</f>
        <v>40.62</v>
      </c>
      <c r="AB1381" s="54">
        <f>STOCK[[#This Row],[Stock Actual]]*STOCK[[#This Row],[Costo total]]</f>
        <v>40.62</v>
      </c>
      <c r="AC1381" s="77"/>
    </row>
    <row r="1382" s="53" customFormat="1" ht="50" customHeight="1" spans="1:29">
      <c r="A1382" s="53" t="s">
        <v>2820</v>
      </c>
      <c r="B1382" s="78"/>
      <c r="C1382" s="77" t="s">
        <v>32</v>
      </c>
      <c r="D1382" s="77" t="s">
        <v>2111</v>
      </c>
      <c r="E1382" s="79" t="s">
        <v>2821</v>
      </c>
      <c r="F1382" s="77" t="s">
        <v>2822</v>
      </c>
      <c r="G1382" s="77"/>
      <c r="H1382" s="77">
        <f>STOCK[[#This Row],[Precio Final]]</f>
        <v>25</v>
      </c>
      <c r="I1382" s="82">
        <f>STOCK[[#This Row],[Precio Venta Ideal (x1.5)]]</f>
        <v>18.96</v>
      </c>
      <c r="J1382" s="80">
        <v>5</v>
      </c>
      <c r="K1382" s="80">
        <f>SUMIFS(VENTAS[Cantidad],VENTAS[Código del producto Vendido],STOCK[[#This Row],[Code]])</f>
        <v>7</v>
      </c>
      <c r="L1382" s="80">
        <f>STOCK[[#This Row],[Entradas]]-STOCK[[#This Row],[Salidas]]</f>
        <v>-2</v>
      </c>
      <c r="M1382" s="77">
        <f>STOCK[[#This Row],[Precio Final]]*10%</f>
        <v>2.5</v>
      </c>
      <c r="N1382" s="77">
        <v>0</v>
      </c>
      <c r="O1382" s="77">
        <v>0</v>
      </c>
      <c r="P1382" s="77">
        <v>8.49</v>
      </c>
      <c r="Q1382" s="80">
        <v>0</v>
      </c>
      <c r="R1382" s="77">
        <v>0</v>
      </c>
      <c r="S1382" s="77">
        <v>1.65</v>
      </c>
      <c r="T1382" s="77">
        <f>STOCK[[#This Row],[Costo Unitario (USD)]]+STOCK[[#This Row],[Costo Envío (USD)]]+STOCK[[#This Row],[Comisión 10%]]</f>
        <v>12.64</v>
      </c>
      <c r="U1382" s="53">
        <f>STOCK[[#This Row],[Costo total]]*1.5</f>
        <v>18.96</v>
      </c>
      <c r="V1382" s="77">
        <v>25</v>
      </c>
      <c r="W1382" s="77">
        <f>STOCK[[#This Row],[Precio Final]]-STOCK[[#This Row],[Costo total]]</f>
        <v>12.36</v>
      </c>
      <c r="X1382" s="77">
        <f>STOCK[[#This Row],[Ganancia Unitaria]]*STOCK[[#This Row],[Salidas]]</f>
        <v>86.52</v>
      </c>
      <c r="Y1382" s="77"/>
      <c r="Z1382" s="77"/>
      <c r="AA1382" s="54">
        <f>STOCK[[#This Row],[Costo total]]*STOCK[[#This Row],[Entradas]]</f>
        <v>63.2</v>
      </c>
      <c r="AB1382" s="54">
        <f>STOCK[[#This Row],[Stock Actual]]*STOCK[[#This Row],[Costo total]]</f>
        <v>-25.28</v>
      </c>
      <c r="AC1382" s="77"/>
    </row>
    <row r="1383" s="53" customFormat="1" ht="50" customHeight="1" spans="1:29">
      <c r="A1383" s="53" t="s">
        <v>2823</v>
      </c>
      <c r="B1383" s="78"/>
      <c r="C1383" s="77" t="s">
        <v>32</v>
      </c>
      <c r="D1383" s="77" t="s">
        <v>2111</v>
      </c>
      <c r="E1383" s="79" t="s">
        <v>2824</v>
      </c>
      <c r="F1383" s="77" t="s">
        <v>2817</v>
      </c>
      <c r="G1383" s="77"/>
      <c r="H1383" s="77">
        <f>STOCK[[#This Row],[Precio Final]]</f>
        <v>25</v>
      </c>
      <c r="I1383" s="82">
        <f>STOCK[[#This Row],[Precio Venta Ideal (x1.5)]]</f>
        <v>23.775</v>
      </c>
      <c r="J1383" s="80">
        <v>4</v>
      </c>
      <c r="K1383" s="80">
        <f>SUMIFS(VENTAS[Cantidad],VENTAS[Código del producto Vendido],STOCK[[#This Row],[Code]])</f>
        <v>8</v>
      </c>
      <c r="L1383" s="80">
        <f>STOCK[[#This Row],[Entradas]]-STOCK[[#This Row],[Salidas]]</f>
        <v>-4</v>
      </c>
      <c r="M1383" s="77">
        <f>STOCK[[#This Row],[Precio Final]]*10%</f>
        <v>2.5</v>
      </c>
      <c r="N1383" s="77">
        <v>0</v>
      </c>
      <c r="O1383" s="77">
        <v>0</v>
      </c>
      <c r="P1383" s="77">
        <v>11.7</v>
      </c>
      <c r="Q1383" s="80">
        <v>0</v>
      </c>
      <c r="R1383" s="77">
        <v>0</v>
      </c>
      <c r="S1383" s="77">
        <v>1.65</v>
      </c>
      <c r="T1383" s="77">
        <f>STOCK[[#This Row],[Costo Unitario (USD)]]+STOCK[[#This Row],[Costo Envío (USD)]]+STOCK[[#This Row],[Comisión 10%]]</f>
        <v>15.85</v>
      </c>
      <c r="U1383" s="53">
        <f>STOCK[[#This Row],[Costo total]]*1.5</f>
        <v>23.775</v>
      </c>
      <c r="V1383" s="77">
        <v>25</v>
      </c>
      <c r="W1383" s="77">
        <f>STOCK[[#This Row],[Precio Final]]-STOCK[[#This Row],[Costo total]]</f>
        <v>9.15</v>
      </c>
      <c r="X1383" s="77">
        <f>STOCK[[#This Row],[Ganancia Unitaria]]*STOCK[[#This Row],[Salidas]]</f>
        <v>73.2</v>
      </c>
      <c r="Y1383" s="77"/>
      <c r="Z1383" s="77"/>
      <c r="AA1383" s="54">
        <f>STOCK[[#This Row],[Costo total]]*STOCK[[#This Row],[Entradas]]</f>
        <v>63.4</v>
      </c>
      <c r="AB1383" s="54">
        <f>STOCK[[#This Row],[Stock Actual]]*STOCK[[#This Row],[Costo total]]</f>
        <v>-63.4</v>
      </c>
      <c r="AC1383" s="77"/>
    </row>
    <row r="1384" s="53" customFormat="1" ht="50" customHeight="1" spans="1:29">
      <c r="A1384" s="53" t="s">
        <v>2825</v>
      </c>
      <c r="B1384" s="78"/>
      <c r="C1384" s="77" t="s">
        <v>32</v>
      </c>
      <c r="D1384" s="77" t="s">
        <v>2111</v>
      </c>
      <c r="E1384" s="79" t="s">
        <v>2826</v>
      </c>
      <c r="F1384" s="77" t="s">
        <v>2822</v>
      </c>
      <c r="G1384" s="77"/>
      <c r="H1384" s="77">
        <f>STOCK[[#This Row],[Precio Final]]</f>
        <v>25</v>
      </c>
      <c r="I1384" s="82">
        <f>STOCK[[#This Row],[Precio Venta Ideal (x1.5)]]</f>
        <v>22.86</v>
      </c>
      <c r="J1384" s="80">
        <v>3</v>
      </c>
      <c r="K1384" s="80">
        <f>SUMIFS(VENTAS[Cantidad],VENTAS[Código del producto Vendido],STOCK[[#This Row],[Code]])</f>
        <v>6</v>
      </c>
      <c r="L1384" s="80">
        <f>STOCK[[#This Row],[Entradas]]-STOCK[[#This Row],[Salidas]]</f>
        <v>-3</v>
      </c>
      <c r="M1384" s="77">
        <f>STOCK[[#This Row],[Precio Final]]*10%</f>
        <v>2.5</v>
      </c>
      <c r="N1384" s="77">
        <v>0</v>
      </c>
      <c r="O1384" s="77">
        <v>0</v>
      </c>
      <c r="P1384" s="77">
        <v>11.09</v>
      </c>
      <c r="Q1384" s="80">
        <v>0</v>
      </c>
      <c r="R1384" s="77">
        <v>0</v>
      </c>
      <c r="S1384" s="77">
        <v>1.65</v>
      </c>
      <c r="T1384" s="77">
        <f>STOCK[[#This Row],[Costo Unitario (USD)]]+STOCK[[#This Row],[Costo Envío (USD)]]+STOCK[[#This Row],[Comisión 10%]]</f>
        <v>15.24</v>
      </c>
      <c r="U1384" s="53">
        <f>STOCK[[#This Row],[Costo total]]*1.5</f>
        <v>22.86</v>
      </c>
      <c r="V1384" s="77">
        <v>25</v>
      </c>
      <c r="W1384" s="77">
        <f>STOCK[[#This Row],[Precio Final]]-STOCK[[#This Row],[Costo total]]</f>
        <v>9.76</v>
      </c>
      <c r="X1384" s="77">
        <f>STOCK[[#This Row],[Ganancia Unitaria]]*STOCK[[#This Row],[Salidas]]</f>
        <v>58.56</v>
      </c>
      <c r="Y1384" s="77"/>
      <c r="Z1384" s="77"/>
      <c r="AA1384" s="54">
        <f>STOCK[[#This Row],[Costo total]]*STOCK[[#This Row],[Entradas]]</f>
        <v>45.72</v>
      </c>
      <c r="AB1384" s="54">
        <f>STOCK[[#This Row],[Stock Actual]]*STOCK[[#This Row],[Costo total]]</f>
        <v>-45.72</v>
      </c>
      <c r="AC1384" s="77"/>
    </row>
    <row r="1385" s="53" customFormat="1" ht="50" customHeight="1" spans="1:29">
      <c r="A1385" s="53" t="s">
        <v>2827</v>
      </c>
      <c r="B1385" s="78"/>
      <c r="C1385" s="77" t="s">
        <v>32</v>
      </c>
      <c r="D1385" s="77" t="s">
        <v>2111</v>
      </c>
      <c r="E1385" s="79" t="s">
        <v>2828</v>
      </c>
      <c r="F1385" s="77" t="s">
        <v>2822</v>
      </c>
      <c r="G1385" s="77"/>
      <c r="H1385" s="77">
        <f>STOCK[[#This Row],[Precio Final]]</f>
        <v>25</v>
      </c>
      <c r="I1385" s="82">
        <f>STOCK[[#This Row],[Precio Venta Ideal (x1.5)]]</f>
        <v>23.715</v>
      </c>
      <c r="J1385" s="80">
        <v>3</v>
      </c>
      <c r="K1385" s="80">
        <f>SUMIFS(VENTAS[Cantidad],VENTAS[Código del producto Vendido],STOCK[[#This Row],[Code]])</f>
        <v>6</v>
      </c>
      <c r="L1385" s="80">
        <f>STOCK[[#This Row],[Entradas]]-STOCK[[#This Row],[Salidas]]</f>
        <v>-3</v>
      </c>
      <c r="M1385" s="77">
        <f>STOCK[[#This Row],[Precio Final]]*10%</f>
        <v>2.5</v>
      </c>
      <c r="N1385" s="77">
        <v>0</v>
      </c>
      <c r="O1385" s="77">
        <v>0</v>
      </c>
      <c r="P1385" s="77">
        <v>11.66</v>
      </c>
      <c r="Q1385" s="80">
        <v>0</v>
      </c>
      <c r="R1385" s="77">
        <v>0</v>
      </c>
      <c r="S1385" s="77">
        <v>1.65</v>
      </c>
      <c r="T1385" s="77">
        <f>STOCK[[#This Row],[Costo Unitario (USD)]]+STOCK[[#This Row],[Costo Envío (USD)]]+STOCK[[#This Row],[Comisión 10%]]</f>
        <v>15.81</v>
      </c>
      <c r="U1385" s="53">
        <f>STOCK[[#This Row],[Costo total]]*1.5</f>
        <v>23.715</v>
      </c>
      <c r="V1385" s="77">
        <v>25</v>
      </c>
      <c r="W1385" s="77">
        <f>STOCK[[#This Row],[Precio Final]]-STOCK[[#This Row],[Costo total]]</f>
        <v>9.19</v>
      </c>
      <c r="X1385" s="77">
        <f>STOCK[[#This Row],[Ganancia Unitaria]]*STOCK[[#This Row],[Salidas]]</f>
        <v>55.14</v>
      </c>
      <c r="Y1385" s="77"/>
      <c r="Z1385" s="77"/>
      <c r="AA1385" s="54">
        <f>STOCK[[#This Row],[Costo total]]*STOCK[[#This Row],[Entradas]]</f>
        <v>47.43</v>
      </c>
      <c r="AB1385" s="54">
        <f>STOCK[[#This Row],[Stock Actual]]*STOCK[[#This Row],[Costo total]]</f>
        <v>-47.43</v>
      </c>
      <c r="AC1385" s="77"/>
    </row>
    <row r="1386" s="53" customFormat="1" ht="50" customHeight="1" spans="1:29">
      <c r="A1386" s="53" t="s">
        <v>2829</v>
      </c>
      <c r="B1386" s="78"/>
      <c r="C1386" s="77" t="s">
        <v>32</v>
      </c>
      <c r="D1386" s="77" t="s">
        <v>2111</v>
      </c>
      <c r="E1386" s="79" t="s">
        <v>2830</v>
      </c>
      <c r="F1386" s="77" t="s">
        <v>2822</v>
      </c>
      <c r="G1386" s="77"/>
      <c r="H1386" s="77">
        <f>STOCK[[#This Row],[Precio Final]]</f>
        <v>25</v>
      </c>
      <c r="I1386" s="82">
        <f>STOCK[[#This Row],[Precio Venta Ideal (x1.5)]]</f>
        <v>23.295</v>
      </c>
      <c r="J1386" s="80">
        <v>3</v>
      </c>
      <c r="K1386" s="80">
        <f>SUMIFS(VENTAS[Cantidad],VENTAS[Código del producto Vendido],STOCK[[#This Row],[Code]])</f>
        <v>5</v>
      </c>
      <c r="L1386" s="80">
        <f>STOCK[[#This Row],[Entradas]]-STOCK[[#This Row],[Salidas]]</f>
        <v>-2</v>
      </c>
      <c r="M1386" s="77">
        <f>STOCK[[#This Row],[Precio Final]]*10%</f>
        <v>2.5</v>
      </c>
      <c r="N1386" s="77">
        <v>0</v>
      </c>
      <c r="O1386" s="77">
        <v>0</v>
      </c>
      <c r="P1386" s="77">
        <v>11.38</v>
      </c>
      <c r="Q1386" s="80">
        <v>0</v>
      </c>
      <c r="R1386" s="77">
        <v>0</v>
      </c>
      <c r="S1386" s="77">
        <v>1.65</v>
      </c>
      <c r="T1386" s="77">
        <f>STOCK[[#This Row],[Costo Unitario (USD)]]+STOCK[[#This Row],[Costo Envío (USD)]]+STOCK[[#This Row],[Comisión 10%]]</f>
        <v>15.53</v>
      </c>
      <c r="U1386" s="53">
        <f>STOCK[[#This Row],[Costo total]]*1.5</f>
        <v>23.295</v>
      </c>
      <c r="V1386" s="77">
        <v>25</v>
      </c>
      <c r="W1386" s="77">
        <f>STOCK[[#This Row],[Precio Final]]-STOCK[[#This Row],[Costo total]]</f>
        <v>9.47</v>
      </c>
      <c r="X1386" s="77">
        <f>STOCK[[#This Row],[Ganancia Unitaria]]*STOCK[[#This Row],[Salidas]]</f>
        <v>47.35</v>
      </c>
      <c r="Y1386" s="77"/>
      <c r="Z1386" s="77"/>
      <c r="AA1386" s="54">
        <f>STOCK[[#This Row],[Costo total]]*STOCK[[#This Row],[Entradas]]</f>
        <v>46.59</v>
      </c>
      <c r="AB1386" s="54">
        <f>STOCK[[#This Row],[Stock Actual]]*STOCK[[#This Row],[Costo total]]</f>
        <v>-31.06</v>
      </c>
      <c r="AC1386" s="77"/>
    </row>
    <row r="1387" s="53" customFormat="1" ht="50" customHeight="1" spans="1:29">
      <c r="A1387" s="53" t="s">
        <v>2831</v>
      </c>
      <c r="B1387" s="78"/>
      <c r="C1387" s="77" t="s">
        <v>32</v>
      </c>
      <c r="D1387" s="77" t="s">
        <v>2127</v>
      </c>
      <c r="E1387" s="79" t="s">
        <v>2832</v>
      </c>
      <c r="F1387" s="77" t="s">
        <v>62</v>
      </c>
      <c r="G1387" s="77"/>
      <c r="H1387" s="77">
        <f>STOCK[[#This Row],[Precio Final]]</f>
        <v>25</v>
      </c>
      <c r="I1387" s="82">
        <f>STOCK[[#This Row],[Precio Venta Ideal (x1.5)]]</f>
        <v>21.66</v>
      </c>
      <c r="J1387" s="80">
        <v>4</v>
      </c>
      <c r="K1387" s="80">
        <f>SUMIFS(VENTAS[Cantidad],VENTAS[Código del producto Vendido],STOCK[[#This Row],[Code]])</f>
        <v>2</v>
      </c>
      <c r="L1387" s="80">
        <f>STOCK[[#This Row],[Entradas]]-STOCK[[#This Row],[Salidas]]</f>
        <v>2</v>
      </c>
      <c r="M1387" s="77">
        <f>STOCK[[#This Row],[Precio Final]]*10%</f>
        <v>2.5</v>
      </c>
      <c r="N1387" s="77">
        <v>0</v>
      </c>
      <c r="O1387" s="77">
        <v>0</v>
      </c>
      <c r="P1387" s="77">
        <v>10.29</v>
      </c>
      <c r="Q1387" s="80">
        <v>0</v>
      </c>
      <c r="R1387" s="77">
        <v>0</v>
      </c>
      <c r="S1387" s="77">
        <v>1.65</v>
      </c>
      <c r="T1387" s="77">
        <f>STOCK[[#This Row],[Costo Unitario (USD)]]+STOCK[[#This Row],[Costo Envío (USD)]]+STOCK[[#This Row],[Comisión 10%]]</f>
        <v>14.44</v>
      </c>
      <c r="U1387" s="53">
        <f>STOCK[[#This Row],[Costo total]]*1.5</f>
        <v>21.66</v>
      </c>
      <c r="V1387" s="77">
        <v>25</v>
      </c>
      <c r="W1387" s="77">
        <f>STOCK[[#This Row],[Precio Final]]-STOCK[[#This Row],[Costo total]]</f>
        <v>10.56</v>
      </c>
      <c r="X1387" s="77">
        <f>STOCK[[#This Row],[Ganancia Unitaria]]*STOCK[[#This Row],[Salidas]]</f>
        <v>21.12</v>
      </c>
      <c r="Y1387" s="77"/>
      <c r="Z1387" s="77"/>
      <c r="AA1387" s="54">
        <f>STOCK[[#This Row],[Costo total]]*STOCK[[#This Row],[Entradas]]</f>
        <v>57.76</v>
      </c>
      <c r="AB1387" s="54">
        <f>STOCK[[#This Row],[Stock Actual]]*STOCK[[#This Row],[Costo total]]</f>
        <v>28.88</v>
      </c>
      <c r="AC1387" s="77"/>
    </row>
    <row r="1388" s="53" customFormat="1" ht="50" customHeight="1" spans="1:29">
      <c r="A1388" s="53" t="s">
        <v>2833</v>
      </c>
      <c r="B1388" s="78"/>
      <c r="C1388" s="77" t="s">
        <v>32</v>
      </c>
      <c r="D1388" s="77" t="s">
        <v>2834</v>
      </c>
      <c r="E1388" s="79" t="s">
        <v>2835</v>
      </c>
      <c r="F1388" s="77" t="s">
        <v>40</v>
      </c>
      <c r="G1388" s="77"/>
      <c r="H1388" s="77">
        <f>STOCK[[#This Row],[Precio Final]]</f>
        <v>30</v>
      </c>
      <c r="I1388" s="82">
        <f>STOCK[[#This Row],[Precio Venta Ideal (x1.5)]]</f>
        <v>24.75</v>
      </c>
      <c r="J1388" s="80">
        <v>2</v>
      </c>
      <c r="K1388" s="80">
        <f>SUMIFS(VENTAS[Cantidad],VENTAS[Código del producto Vendido],STOCK[[#This Row],[Code]])</f>
        <v>3</v>
      </c>
      <c r="L1388" s="80">
        <f>STOCK[[#This Row],[Entradas]]-STOCK[[#This Row],[Salidas]]</f>
        <v>-1</v>
      </c>
      <c r="M1388" s="77">
        <f>STOCK[[#This Row],[Precio Final]]*10%</f>
        <v>3</v>
      </c>
      <c r="N1388" s="77">
        <v>0</v>
      </c>
      <c r="O1388" s="77">
        <v>0</v>
      </c>
      <c r="P1388" s="77">
        <v>11.85</v>
      </c>
      <c r="Q1388" s="80">
        <v>0</v>
      </c>
      <c r="R1388" s="77">
        <v>0</v>
      </c>
      <c r="S1388" s="77">
        <v>1.65</v>
      </c>
      <c r="T1388" s="77">
        <f>STOCK[[#This Row],[Costo Unitario (USD)]]+STOCK[[#This Row],[Costo Envío (USD)]]+STOCK[[#This Row],[Comisión 10%]]</f>
        <v>16.5</v>
      </c>
      <c r="U1388" s="53">
        <f>STOCK[[#This Row],[Costo total]]*1.5</f>
        <v>24.75</v>
      </c>
      <c r="V1388" s="77">
        <v>30</v>
      </c>
      <c r="W1388" s="77">
        <f>STOCK[[#This Row],[Precio Final]]-STOCK[[#This Row],[Costo total]]</f>
        <v>13.5</v>
      </c>
      <c r="X1388" s="77">
        <f>STOCK[[#This Row],[Ganancia Unitaria]]*STOCK[[#This Row],[Salidas]]</f>
        <v>40.5</v>
      </c>
      <c r="Y1388" s="77"/>
      <c r="Z1388" s="77"/>
      <c r="AA1388" s="54">
        <f>STOCK[[#This Row],[Costo total]]*STOCK[[#This Row],[Entradas]]</f>
        <v>33</v>
      </c>
      <c r="AB1388" s="54">
        <f>STOCK[[#This Row],[Stock Actual]]*STOCK[[#This Row],[Costo total]]</f>
        <v>-16.5</v>
      </c>
      <c r="AC1388" s="77"/>
    </row>
    <row r="1389" s="53" customFormat="1" ht="50" customHeight="1" spans="1:29">
      <c r="A1389" s="53" t="s">
        <v>2836</v>
      </c>
      <c r="B1389" s="78"/>
      <c r="C1389" s="77" t="s">
        <v>32</v>
      </c>
      <c r="D1389" s="77" t="s">
        <v>2834</v>
      </c>
      <c r="E1389" s="79" t="s">
        <v>2835</v>
      </c>
      <c r="F1389" s="77" t="s">
        <v>62</v>
      </c>
      <c r="G1389" s="77"/>
      <c r="H1389" s="77">
        <f>STOCK[[#This Row],[Precio Final]]</f>
        <v>30</v>
      </c>
      <c r="I1389" s="82">
        <f>STOCK[[#This Row],[Precio Venta Ideal (x1.5)]]</f>
        <v>24.75</v>
      </c>
      <c r="J1389" s="80">
        <v>2</v>
      </c>
      <c r="K1389" s="80">
        <f>SUMIFS(VENTAS[Cantidad],VENTAS[Código del producto Vendido],STOCK[[#This Row],[Code]])</f>
        <v>4</v>
      </c>
      <c r="L1389" s="80">
        <f>STOCK[[#This Row],[Entradas]]-STOCK[[#This Row],[Salidas]]</f>
        <v>-2</v>
      </c>
      <c r="M1389" s="77">
        <f>STOCK[[#This Row],[Precio Final]]*10%</f>
        <v>3</v>
      </c>
      <c r="N1389" s="77">
        <v>0</v>
      </c>
      <c r="O1389" s="77">
        <v>0</v>
      </c>
      <c r="P1389" s="77">
        <v>11.85</v>
      </c>
      <c r="Q1389" s="80">
        <v>0</v>
      </c>
      <c r="R1389" s="77">
        <v>0</v>
      </c>
      <c r="S1389" s="77">
        <v>1.65</v>
      </c>
      <c r="T1389" s="77">
        <f>STOCK[[#This Row],[Costo Unitario (USD)]]+STOCK[[#This Row],[Costo Envío (USD)]]+STOCK[[#This Row],[Comisión 10%]]</f>
        <v>16.5</v>
      </c>
      <c r="U1389" s="53">
        <f>STOCK[[#This Row],[Costo total]]*1.5</f>
        <v>24.75</v>
      </c>
      <c r="V1389" s="77">
        <v>30</v>
      </c>
      <c r="W1389" s="77">
        <f>STOCK[[#This Row],[Precio Final]]-STOCK[[#This Row],[Costo total]]</f>
        <v>13.5</v>
      </c>
      <c r="X1389" s="77">
        <f>STOCK[[#This Row],[Ganancia Unitaria]]*STOCK[[#This Row],[Salidas]]</f>
        <v>54</v>
      </c>
      <c r="Y1389" s="77"/>
      <c r="Z1389" s="77"/>
      <c r="AA1389" s="54">
        <f>STOCK[[#This Row],[Costo total]]*STOCK[[#This Row],[Entradas]]</f>
        <v>33</v>
      </c>
      <c r="AB1389" s="54">
        <f>STOCK[[#This Row],[Stock Actual]]*STOCK[[#This Row],[Costo total]]</f>
        <v>-33</v>
      </c>
      <c r="AC1389" s="77"/>
    </row>
    <row r="1390" s="53" customFormat="1" ht="50" customHeight="1" spans="1:29">
      <c r="A1390" s="53" t="s">
        <v>2837</v>
      </c>
      <c r="B1390" s="78"/>
      <c r="C1390" s="77" t="s">
        <v>32</v>
      </c>
      <c r="D1390" s="77" t="s">
        <v>2834</v>
      </c>
      <c r="E1390" s="79" t="s">
        <v>2835</v>
      </c>
      <c r="F1390" s="77" t="s">
        <v>49</v>
      </c>
      <c r="G1390" s="77"/>
      <c r="H1390" s="77">
        <f>STOCK[[#This Row],[Precio Final]]</f>
        <v>30</v>
      </c>
      <c r="I1390" s="82">
        <f>STOCK[[#This Row],[Precio Venta Ideal (x1.5)]]</f>
        <v>24.75</v>
      </c>
      <c r="J1390" s="80">
        <v>2</v>
      </c>
      <c r="K1390" s="80">
        <f>SUMIFS(VENTAS[Cantidad],VENTAS[Código del producto Vendido],STOCK[[#This Row],[Code]])</f>
        <v>3</v>
      </c>
      <c r="L1390" s="80">
        <f>STOCK[[#This Row],[Entradas]]-STOCK[[#This Row],[Salidas]]</f>
        <v>-1</v>
      </c>
      <c r="M1390" s="77">
        <f>STOCK[[#This Row],[Precio Final]]*10%</f>
        <v>3</v>
      </c>
      <c r="N1390" s="77">
        <v>0</v>
      </c>
      <c r="O1390" s="77">
        <v>0</v>
      </c>
      <c r="P1390" s="77">
        <v>11.85</v>
      </c>
      <c r="Q1390" s="80">
        <v>0</v>
      </c>
      <c r="R1390" s="77">
        <v>0</v>
      </c>
      <c r="S1390" s="77">
        <v>1.65</v>
      </c>
      <c r="T1390" s="77">
        <f>STOCK[[#This Row],[Costo Unitario (USD)]]+STOCK[[#This Row],[Costo Envío (USD)]]+STOCK[[#This Row],[Comisión 10%]]</f>
        <v>16.5</v>
      </c>
      <c r="U1390" s="53">
        <f>STOCK[[#This Row],[Costo total]]*1.5</f>
        <v>24.75</v>
      </c>
      <c r="V1390" s="77">
        <v>30</v>
      </c>
      <c r="W1390" s="77">
        <f>STOCK[[#This Row],[Precio Final]]-STOCK[[#This Row],[Costo total]]</f>
        <v>13.5</v>
      </c>
      <c r="X1390" s="77">
        <f>STOCK[[#This Row],[Ganancia Unitaria]]*STOCK[[#This Row],[Salidas]]</f>
        <v>40.5</v>
      </c>
      <c r="Y1390" s="77"/>
      <c r="Z1390" s="77"/>
      <c r="AA1390" s="54">
        <f>STOCK[[#This Row],[Costo total]]*STOCK[[#This Row],[Entradas]]</f>
        <v>33</v>
      </c>
      <c r="AB1390" s="54">
        <f>STOCK[[#This Row],[Stock Actual]]*STOCK[[#This Row],[Costo total]]</f>
        <v>-16.5</v>
      </c>
      <c r="AC1390" s="77"/>
    </row>
    <row r="1391" s="53" customFormat="1" ht="50" customHeight="1" spans="1:29">
      <c r="A1391" s="53" t="s">
        <v>2838</v>
      </c>
      <c r="B1391" s="78"/>
      <c r="C1391" s="77" t="s">
        <v>32</v>
      </c>
      <c r="D1391" s="77" t="s">
        <v>2834</v>
      </c>
      <c r="E1391" s="79" t="s">
        <v>2835</v>
      </c>
      <c r="F1391" s="77" t="s">
        <v>46</v>
      </c>
      <c r="G1391" s="77"/>
      <c r="H1391" s="77">
        <f>STOCK[[#This Row],[Precio Final]]</f>
        <v>30</v>
      </c>
      <c r="I1391" s="82">
        <f>STOCK[[#This Row],[Precio Venta Ideal (x1.5)]]</f>
        <v>24.75</v>
      </c>
      <c r="J1391" s="80">
        <v>2</v>
      </c>
      <c r="K1391" s="80">
        <f>SUMIFS(VENTAS[Cantidad],VENTAS[Código del producto Vendido],STOCK[[#This Row],[Code]])</f>
        <v>3</v>
      </c>
      <c r="L1391" s="80">
        <f>STOCK[[#This Row],[Entradas]]-STOCK[[#This Row],[Salidas]]</f>
        <v>-1</v>
      </c>
      <c r="M1391" s="77">
        <f>STOCK[[#This Row],[Precio Final]]*10%</f>
        <v>3</v>
      </c>
      <c r="N1391" s="77">
        <v>0</v>
      </c>
      <c r="O1391" s="77">
        <v>0</v>
      </c>
      <c r="P1391" s="77">
        <v>11.85</v>
      </c>
      <c r="Q1391" s="80">
        <v>0</v>
      </c>
      <c r="R1391" s="77">
        <v>0</v>
      </c>
      <c r="S1391" s="77">
        <v>1.65</v>
      </c>
      <c r="T1391" s="77">
        <f>STOCK[[#This Row],[Costo Unitario (USD)]]+STOCK[[#This Row],[Costo Envío (USD)]]+STOCK[[#This Row],[Comisión 10%]]</f>
        <v>16.5</v>
      </c>
      <c r="U1391" s="53">
        <f>STOCK[[#This Row],[Costo total]]*1.5</f>
        <v>24.75</v>
      </c>
      <c r="V1391" s="77">
        <v>30</v>
      </c>
      <c r="W1391" s="77">
        <f>STOCK[[#This Row],[Precio Final]]-STOCK[[#This Row],[Costo total]]</f>
        <v>13.5</v>
      </c>
      <c r="X1391" s="77">
        <f>STOCK[[#This Row],[Ganancia Unitaria]]*STOCK[[#This Row],[Salidas]]</f>
        <v>40.5</v>
      </c>
      <c r="Y1391" s="77"/>
      <c r="Z1391" s="77"/>
      <c r="AA1391" s="54">
        <f>STOCK[[#This Row],[Costo total]]*STOCK[[#This Row],[Entradas]]</f>
        <v>33</v>
      </c>
      <c r="AB1391" s="54">
        <f>STOCK[[#This Row],[Stock Actual]]*STOCK[[#This Row],[Costo total]]</f>
        <v>-16.5</v>
      </c>
      <c r="AC1391" s="77"/>
    </row>
    <row r="1392" s="53" customFormat="1" ht="50" customHeight="1" spans="1:29">
      <c r="A1392" s="53" t="s">
        <v>2839</v>
      </c>
      <c r="B1392" s="78"/>
      <c r="C1392" s="77" t="s">
        <v>32</v>
      </c>
      <c r="D1392" s="77" t="s">
        <v>1190</v>
      </c>
      <c r="E1392" s="79" t="s">
        <v>2840</v>
      </c>
      <c r="F1392" s="77" t="s">
        <v>40</v>
      </c>
      <c r="G1392" s="77"/>
      <c r="H1392" s="77">
        <f>STOCK[[#This Row],[Precio Final]]</f>
        <v>18</v>
      </c>
      <c r="I1392" s="82">
        <f>STOCK[[#This Row],[Precio Venta Ideal (x1.5)]]</f>
        <v>12.9</v>
      </c>
      <c r="J1392" s="80">
        <v>3</v>
      </c>
      <c r="K1392" s="80">
        <f>SUMIFS(VENTAS[Cantidad],VENTAS[Código del producto Vendido],STOCK[[#This Row],[Code]])</f>
        <v>0</v>
      </c>
      <c r="L1392" s="80">
        <f>STOCK[[#This Row],[Entradas]]-STOCK[[#This Row],[Salidas]]</f>
        <v>3</v>
      </c>
      <c r="M1392" s="77">
        <f>STOCK[[#This Row],[Precio Final]]*10%</f>
        <v>1.8</v>
      </c>
      <c r="N1392" s="77">
        <v>0</v>
      </c>
      <c r="O1392" s="77">
        <v>0</v>
      </c>
      <c r="P1392" s="77">
        <v>5.15</v>
      </c>
      <c r="Q1392" s="80">
        <v>0</v>
      </c>
      <c r="R1392" s="77">
        <v>0</v>
      </c>
      <c r="S1392" s="77">
        <v>1.65</v>
      </c>
      <c r="T1392" s="77">
        <f>STOCK[[#This Row],[Costo Unitario (USD)]]+STOCK[[#This Row],[Costo Envío (USD)]]+STOCK[[#This Row],[Comisión 10%]]</f>
        <v>8.6</v>
      </c>
      <c r="U1392" s="53">
        <f>STOCK[[#This Row],[Costo total]]*1.5</f>
        <v>12.9</v>
      </c>
      <c r="V1392" s="77">
        <v>18</v>
      </c>
      <c r="W1392" s="77">
        <f>STOCK[[#This Row],[Precio Final]]-STOCK[[#This Row],[Costo total]]</f>
        <v>9.4</v>
      </c>
      <c r="X1392" s="77">
        <f>STOCK[[#This Row],[Ganancia Unitaria]]*STOCK[[#This Row],[Salidas]]</f>
        <v>0</v>
      </c>
      <c r="Y1392" s="77"/>
      <c r="Z1392" s="77"/>
      <c r="AA1392" s="54">
        <f>STOCK[[#This Row],[Costo total]]*STOCK[[#This Row],[Entradas]]</f>
        <v>25.8</v>
      </c>
      <c r="AB1392" s="54">
        <f>STOCK[[#This Row],[Stock Actual]]*STOCK[[#This Row],[Costo total]]</f>
        <v>25.8</v>
      </c>
      <c r="AC1392" s="77"/>
    </row>
    <row r="1393" s="53" customFormat="1" ht="50" customHeight="1" spans="1:29">
      <c r="A1393" s="53" t="s">
        <v>2841</v>
      </c>
      <c r="B1393" s="78"/>
      <c r="C1393" s="77" t="s">
        <v>32</v>
      </c>
      <c r="D1393" s="77" t="s">
        <v>1190</v>
      </c>
      <c r="E1393" s="79" t="s">
        <v>2840</v>
      </c>
      <c r="F1393" s="77" t="s">
        <v>46</v>
      </c>
      <c r="G1393" s="77"/>
      <c r="H1393" s="77">
        <f>STOCK[[#This Row],[Precio Final]]</f>
        <v>18</v>
      </c>
      <c r="I1393" s="82">
        <f>STOCK[[#This Row],[Precio Venta Ideal (x1.5)]]</f>
        <v>12.9</v>
      </c>
      <c r="J1393" s="80">
        <v>3</v>
      </c>
      <c r="K1393" s="80">
        <f>SUMIFS(VENTAS[Cantidad],VENTAS[Código del producto Vendido],STOCK[[#This Row],[Code]])</f>
        <v>0</v>
      </c>
      <c r="L1393" s="80">
        <f>STOCK[[#This Row],[Entradas]]-STOCK[[#This Row],[Salidas]]</f>
        <v>3</v>
      </c>
      <c r="M1393" s="77">
        <f>STOCK[[#This Row],[Precio Final]]*10%</f>
        <v>1.8</v>
      </c>
      <c r="N1393" s="77">
        <v>0</v>
      </c>
      <c r="O1393" s="77">
        <v>0</v>
      </c>
      <c r="P1393" s="77">
        <v>5.15</v>
      </c>
      <c r="Q1393" s="80">
        <v>0</v>
      </c>
      <c r="R1393" s="77">
        <v>0</v>
      </c>
      <c r="S1393" s="77">
        <v>1.65</v>
      </c>
      <c r="T1393" s="77">
        <f>STOCK[[#This Row],[Costo Unitario (USD)]]+STOCK[[#This Row],[Costo Envío (USD)]]+STOCK[[#This Row],[Comisión 10%]]</f>
        <v>8.6</v>
      </c>
      <c r="U1393" s="53">
        <f>STOCK[[#This Row],[Costo total]]*1.5</f>
        <v>12.9</v>
      </c>
      <c r="V1393" s="77">
        <v>18</v>
      </c>
      <c r="W1393" s="77">
        <f>STOCK[[#This Row],[Precio Final]]-STOCK[[#This Row],[Costo total]]</f>
        <v>9.4</v>
      </c>
      <c r="X1393" s="77">
        <f>STOCK[[#This Row],[Ganancia Unitaria]]*STOCK[[#This Row],[Salidas]]</f>
        <v>0</v>
      </c>
      <c r="Y1393" s="77"/>
      <c r="Z1393" s="77"/>
      <c r="AA1393" s="54">
        <f>STOCK[[#This Row],[Costo total]]*STOCK[[#This Row],[Entradas]]</f>
        <v>25.8</v>
      </c>
      <c r="AB1393" s="54">
        <f>STOCK[[#This Row],[Stock Actual]]*STOCK[[#This Row],[Costo total]]</f>
        <v>25.8</v>
      </c>
      <c r="AC1393" s="77"/>
    </row>
    <row r="1394" s="53" customFormat="1" ht="50" customHeight="1" spans="1:29">
      <c r="A1394" s="53" t="s">
        <v>2842</v>
      </c>
      <c r="B1394" s="78"/>
      <c r="C1394" s="77" t="s">
        <v>32</v>
      </c>
      <c r="D1394" s="77" t="s">
        <v>2111</v>
      </c>
      <c r="E1394" s="79" t="s">
        <v>2843</v>
      </c>
      <c r="F1394" s="77" t="s">
        <v>2817</v>
      </c>
      <c r="G1394" s="77"/>
      <c r="H1394" s="77">
        <f>STOCK[[#This Row],[Precio Final]]</f>
        <v>30</v>
      </c>
      <c r="I1394" s="82">
        <f>STOCK[[#This Row],[Precio Venta Ideal (x1.5)]]</f>
        <v>27.885</v>
      </c>
      <c r="J1394" s="80">
        <v>2</v>
      </c>
      <c r="K1394" s="80">
        <f>SUMIFS(VENTAS[Cantidad],VENTAS[Código del producto Vendido],STOCK[[#This Row],[Code]])</f>
        <v>3</v>
      </c>
      <c r="L1394" s="80">
        <f>STOCK[[#This Row],[Entradas]]-STOCK[[#This Row],[Salidas]]</f>
        <v>-1</v>
      </c>
      <c r="M1394" s="77">
        <f>STOCK[[#This Row],[Precio Final]]*10%</f>
        <v>3</v>
      </c>
      <c r="N1394" s="77">
        <v>0</v>
      </c>
      <c r="O1394" s="77">
        <v>0</v>
      </c>
      <c r="P1394" s="77">
        <v>13.94</v>
      </c>
      <c r="Q1394" s="80">
        <v>0</v>
      </c>
      <c r="R1394" s="77">
        <v>0</v>
      </c>
      <c r="S1394" s="77">
        <v>1.65</v>
      </c>
      <c r="T1394" s="77">
        <f>STOCK[[#This Row],[Costo Unitario (USD)]]+STOCK[[#This Row],[Costo Envío (USD)]]+STOCK[[#This Row],[Comisión 10%]]</f>
        <v>18.59</v>
      </c>
      <c r="U1394" s="53">
        <f>STOCK[[#This Row],[Costo total]]*1.5</f>
        <v>27.885</v>
      </c>
      <c r="V1394" s="77">
        <v>30</v>
      </c>
      <c r="W1394" s="77">
        <f>STOCK[[#This Row],[Precio Final]]-STOCK[[#This Row],[Costo total]]</f>
        <v>11.41</v>
      </c>
      <c r="X1394" s="77">
        <f>STOCK[[#This Row],[Ganancia Unitaria]]*STOCK[[#This Row],[Salidas]]</f>
        <v>34.23</v>
      </c>
      <c r="Y1394" s="77"/>
      <c r="Z1394" s="77"/>
      <c r="AA1394" s="54">
        <f>STOCK[[#This Row],[Costo total]]*STOCK[[#This Row],[Entradas]]</f>
        <v>37.18</v>
      </c>
      <c r="AB1394" s="54">
        <f>STOCK[[#This Row],[Stock Actual]]*STOCK[[#This Row],[Costo total]]</f>
        <v>-18.59</v>
      </c>
      <c r="AC1394" s="77"/>
    </row>
    <row r="1395" s="53" customFormat="1" ht="50" customHeight="1" spans="1:29">
      <c r="A1395" s="53" t="s">
        <v>2844</v>
      </c>
      <c r="B1395" s="78"/>
      <c r="C1395" s="77" t="s">
        <v>32</v>
      </c>
      <c r="D1395" s="77" t="s">
        <v>2845</v>
      </c>
      <c r="E1395" s="79" t="s">
        <v>2846</v>
      </c>
      <c r="F1395" s="77" t="s">
        <v>40</v>
      </c>
      <c r="G1395" s="77"/>
      <c r="H1395" s="77">
        <f>STOCK[[#This Row],[Precio Final]]</f>
        <v>22</v>
      </c>
      <c r="I1395" s="82">
        <f>STOCK[[#This Row],[Precio Venta Ideal (x1.5)]]</f>
        <v>19.08</v>
      </c>
      <c r="J1395" s="80">
        <v>2</v>
      </c>
      <c r="K1395" s="80">
        <f>SUMIFS(VENTAS[Cantidad],VENTAS[Código del producto Vendido],STOCK[[#This Row],[Code]])</f>
        <v>4</v>
      </c>
      <c r="L1395" s="80">
        <f>STOCK[[#This Row],[Entradas]]-STOCK[[#This Row],[Salidas]]</f>
        <v>-2</v>
      </c>
      <c r="M1395" s="77">
        <f>STOCK[[#This Row],[Precio Final]]*10%</f>
        <v>2.2</v>
      </c>
      <c r="N1395" s="77">
        <v>0</v>
      </c>
      <c r="O1395" s="77">
        <v>0</v>
      </c>
      <c r="P1395" s="77">
        <v>8.87</v>
      </c>
      <c r="Q1395" s="80">
        <v>0</v>
      </c>
      <c r="R1395" s="77">
        <v>0</v>
      </c>
      <c r="S1395" s="77">
        <v>1.65</v>
      </c>
      <c r="T1395" s="77">
        <f>STOCK[[#This Row],[Costo Unitario (USD)]]+STOCK[[#This Row],[Costo Envío (USD)]]+STOCK[[#This Row],[Comisión 10%]]</f>
        <v>12.72</v>
      </c>
      <c r="U1395" s="53">
        <f>STOCK[[#This Row],[Costo total]]*1.5</f>
        <v>19.08</v>
      </c>
      <c r="V1395" s="77">
        <v>22</v>
      </c>
      <c r="W1395" s="77">
        <f>STOCK[[#This Row],[Precio Final]]-STOCK[[#This Row],[Costo total]]</f>
        <v>9.28</v>
      </c>
      <c r="X1395" s="77">
        <f>STOCK[[#This Row],[Ganancia Unitaria]]*STOCK[[#This Row],[Salidas]]</f>
        <v>37.12</v>
      </c>
      <c r="Y1395" s="77"/>
      <c r="Z1395" s="77"/>
      <c r="AA1395" s="54">
        <f>STOCK[[#This Row],[Costo total]]*STOCK[[#This Row],[Entradas]]</f>
        <v>25.44</v>
      </c>
      <c r="AB1395" s="54">
        <f>STOCK[[#This Row],[Stock Actual]]*STOCK[[#This Row],[Costo total]]</f>
        <v>-25.44</v>
      </c>
      <c r="AC1395" s="77"/>
    </row>
    <row r="1396" s="53" customFormat="1" ht="50" customHeight="1" spans="1:29">
      <c r="A1396" s="53" t="s">
        <v>2847</v>
      </c>
      <c r="B1396" s="78"/>
      <c r="C1396" s="77" t="s">
        <v>32</v>
      </c>
      <c r="D1396" s="77" t="s">
        <v>2845</v>
      </c>
      <c r="E1396" s="79" t="s">
        <v>2846</v>
      </c>
      <c r="F1396" s="77" t="s">
        <v>1047</v>
      </c>
      <c r="G1396" s="77"/>
      <c r="H1396" s="77">
        <f>STOCK[[#This Row],[Precio Final]]</f>
        <v>22</v>
      </c>
      <c r="I1396" s="82">
        <f>STOCK[[#This Row],[Precio Venta Ideal (x1.5)]]</f>
        <v>19.08</v>
      </c>
      <c r="J1396" s="80">
        <v>2</v>
      </c>
      <c r="K1396" s="80">
        <f>SUMIFS(VENTAS[Cantidad],VENTAS[Código del producto Vendido],STOCK[[#This Row],[Code]])</f>
        <v>0</v>
      </c>
      <c r="L1396" s="80">
        <f>STOCK[[#This Row],[Entradas]]-STOCK[[#This Row],[Salidas]]</f>
        <v>2</v>
      </c>
      <c r="M1396" s="77">
        <f>STOCK[[#This Row],[Precio Final]]*10%</f>
        <v>2.2</v>
      </c>
      <c r="N1396" s="77">
        <v>0</v>
      </c>
      <c r="O1396" s="77">
        <v>0</v>
      </c>
      <c r="P1396" s="77">
        <v>8.87</v>
      </c>
      <c r="Q1396" s="80">
        <v>0</v>
      </c>
      <c r="R1396" s="77">
        <v>0</v>
      </c>
      <c r="S1396" s="77">
        <v>1.65</v>
      </c>
      <c r="T1396" s="77">
        <f>STOCK[[#This Row],[Costo Unitario (USD)]]+STOCK[[#This Row],[Costo Envío (USD)]]+STOCK[[#This Row],[Comisión 10%]]</f>
        <v>12.72</v>
      </c>
      <c r="U1396" s="53">
        <f>STOCK[[#This Row],[Costo total]]*1.5</f>
        <v>19.08</v>
      </c>
      <c r="V1396" s="77">
        <v>22</v>
      </c>
      <c r="W1396" s="77">
        <f>STOCK[[#This Row],[Precio Final]]-STOCK[[#This Row],[Costo total]]</f>
        <v>9.28</v>
      </c>
      <c r="X1396" s="77">
        <f>STOCK[[#This Row],[Ganancia Unitaria]]*STOCK[[#This Row],[Salidas]]</f>
        <v>0</v>
      </c>
      <c r="Y1396" s="77"/>
      <c r="Z1396" s="77"/>
      <c r="AA1396" s="54">
        <f>STOCK[[#This Row],[Costo total]]*STOCK[[#This Row],[Entradas]]</f>
        <v>25.44</v>
      </c>
      <c r="AB1396" s="54">
        <f>STOCK[[#This Row],[Stock Actual]]*STOCK[[#This Row],[Costo total]]</f>
        <v>25.44</v>
      </c>
      <c r="AC1396" s="77"/>
    </row>
    <row r="1397" s="53" customFormat="1" ht="50" customHeight="1" spans="1:29">
      <c r="A1397" s="53" t="s">
        <v>2848</v>
      </c>
      <c r="B1397" s="78"/>
      <c r="C1397" s="77" t="s">
        <v>32</v>
      </c>
      <c r="D1397" s="77" t="s">
        <v>2845</v>
      </c>
      <c r="E1397" s="79" t="s">
        <v>2846</v>
      </c>
      <c r="F1397" s="77" t="s">
        <v>49</v>
      </c>
      <c r="G1397" s="77"/>
      <c r="H1397" s="77">
        <f>STOCK[[#This Row],[Precio Final]]</f>
        <v>22</v>
      </c>
      <c r="I1397" s="82">
        <f>STOCK[[#This Row],[Precio Venta Ideal (x1.5)]]</f>
        <v>19.08</v>
      </c>
      <c r="J1397" s="80">
        <v>3</v>
      </c>
      <c r="K1397" s="80">
        <f>SUMIFS(VENTAS[Cantidad],VENTAS[Código del producto Vendido],STOCK[[#This Row],[Code]])</f>
        <v>5</v>
      </c>
      <c r="L1397" s="80">
        <f>STOCK[[#This Row],[Entradas]]-STOCK[[#This Row],[Salidas]]</f>
        <v>-2</v>
      </c>
      <c r="M1397" s="77">
        <f>STOCK[[#This Row],[Precio Final]]*10%</f>
        <v>2.2</v>
      </c>
      <c r="N1397" s="77">
        <v>0</v>
      </c>
      <c r="O1397" s="77">
        <v>0</v>
      </c>
      <c r="P1397" s="77">
        <v>8.87</v>
      </c>
      <c r="Q1397" s="80">
        <v>0</v>
      </c>
      <c r="R1397" s="77">
        <v>0</v>
      </c>
      <c r="S1397" s="77">
        <v>1.65</v>
      </c>
      <c r="T1397" s="77">
        <f>STOCK[[#This Row],[Costo Unitario (USD)]]+STOCK[[#This Row],[Costo Envío (USD)]]+STOCK[[#This Row],[Comisión 10%]]</f>
        <v>12.72</v>
      </c>
      <c r="U1397" s="53">
        <f>STOCK[[#This Row],[Costo total]]*1.5</f>
        <v>19.08</v>
      </c>
      <c r="V1397" s="77">
        <v>22</v>
      </c>
      <c r="W1397" s="77">
        <f>STOCK[[#This Row],[Precio Final]]-STOCK[[#This Row],[Costo total]]</f>
        <v>9.28</v>
      </c>
      <c r="X1397" s="77">
        <f>STOCK[[#This Row],[Ganancia Unitaria]]*STOCK[[#This Row],[Salidas]]</f>
        <v>46.4</v>
      </c>
      <c r="Y1397" s="77"/>
      <c r="Z1397" s="77"/>
      <c r="AA1397" s="54">
        <f>STOCK[[#This Row],[Costo total]]*STOCK[[#This Row],[Entradas]]</f>
        <v>38.16</v>
      </c>
      <c r="AB1397" s="54">
        <f>STOCK[[#This Row],[Stock Actual]]*STOCK[[#This Row],[Costo total]]</f>
        <v>-25.44</v>
      </c>
      <c r="AC1397" s="77"/>
    </row>
    <row r="1398" s="53" customFormat="1" ht="50" customHeight="1" spans="1:29">
      <c r="A1398" s="53" t="s">
        <v>2849</v>
      </c>
      <c r="B1398" s="78"/>
      <c r="C1398" s="77" t="s">
        <v>32</v>
      </c>
      <c r="D1398" s="77" t="s">
        <v>2845</v>
      </c>
      <c r="E1398" s="79" t="s">
        <v>2846</v>
      </c>
      <c r="F1398" s="77" t="s">
        <v>46</v>
      </c>
      <c r="G1398" s="77"/>
      <c r="H1398" s="77">
        <f>STOCK[[#This Row],[Precio Final]]</f>
        <v>22</v>
      </c>
      <c r="I1398" s="82">
        <f>STOCK[[#This Row],[Precio Venta Ideal (x1.5)]]</f>
        <v>19.08</v>
      </c>
      <c r="J1398" s="80">
        <v>3</v>
      </c>
      <c r="K1398" s="80">
        <f>SUMIFS(VENTAS[Cantidad],VENTAS[Código del producto Vendido],STOCK[[#This Row],[Code]])</f>
        <v>4</v>
      </c>
      <c r="L1398" s="80">
        <f>STOCK[[#This Row],[Entradas]]-STOCK[[#This Row],[Salidas]]</f>
        <v>-1</v>
      </c>
      <c r="M1398" s="77">
        <f>STOCK[[#This Row],[Precio Final]]*10%</f>
        <v>2.2</v>
      </c>
      <c r="N1398" s="77">
        <v>0</v>
      </c>
      <c r="O1398" s="77">
        <v>0</v>
      </c>
      <c r="P1398" s="77">
        <v>8.87</v>
      </c>
      <c r="Q1398" s="80">
        <v>0</v>
      </c>
      <c r="R1398" s="77">
        <v>0</v>
      </c>
      <c r="S1398" s="77">
        <v>1.65</v>
      </c>
      <c r="T1398" s="77">
        <f>STOCK[[#This Row],[Costo Unitario (USD)]]+STOCK[[#This Row],[Costo Envío (USD)]]+STOCK[[#This Row],[Comisión 10%]]</f>
        <v>12.72</v>
      </c>
      <c r="U1398" s="53">
        <f>STOCK[[#This Row],[Costo total]]*1.5</f>
        <v>19.08</v>
      </c>
      <c r="V1398" s="77">
        <v>22</v>
      </c>
      <c r="W1398" s="77">
        <f>STOCK[[#This Row],[Precio Final]]-STOCK[[#This Row],[Costo total]]</f>
        <v>9.28</v>
      </c>
      <c r="X1398" s="77">
        <f>STOCK[[#This Row],[Ganancia Unitaria]]*STOCK[[#This Row],[Salidas]]</f>
        <v>37.12</v>
      </c>
      <c r="Y1398" s="77"/>
      <c r="Z1398" s="77"/>
      <c r="AA1398" s="54">
        <f>STOCK[[#This Row],[Costo total]]*STOCK[[#This Row],[Entradas]]</f>
        <v>38.16</v>
      </c>
      <c r="AB1398" s="54">
        <f>STOCK[[#This Row],[Stock Actual]]*STOCK[[#This Row],[Costo total]]</f>
        <v>-12.72</v>
      </c>
      <c r="AC1398" s="77"/>
    </row>
    <row r="1399" s="53" customFormat="1" ht="50" customHeight="1" spans="1:29">
      <c r="A1399" s="53" t="s">
        <v>2850</v>
      </c>
      <c r="B1399" s="78"/>
      <c r="C1399" s="77" t="s">
        <v>32</v>
      </c>
      <c r="D1399" s="77" t="s">
        <v>1190</v>
      </c>
      <c r="E1399" s="79" t="s">
        <v>2851</v>
      </c>
      <c r="F1399" s="77" t="s">
        <v>40</v>
      </c>
      <c r="G1399" s="77"/>
      <c r="H1399" s="77">
        <f>STOCK[[#This Row],[Precio Final]]</f>
        <v>18</v>
      </c>
      <c r="I1399" s="82">
        <f>STOCK[[#This Row],[Precio Venta Ideal (x1.5)]]</f>
        <v>15.78</v>
      </c>
      <c r="J1399" s="80">
        <v>2</v>
      </c>
      <c r="K1399" s="80">
        <f>SUMIFS(VENTAS[Cantidad],VENTAS[Código del producto Vendido],STOCK[[#This Row],[Code]])</f>
        <v>0</v>
      </c>
      <c r="L1399" s="80">
        <f>STOCK[[#This Row],[Entradas]]-STOCK[[#This Row],[Salidas]]</f>
        <v>2</v>
      </c>
      <c r="M1399" s="77">
        <f>STOCK[[#This Row],[Precio Final]]*10%</f>
        <v>1.8</v>
      </c>
      <c r="N1399" s="77">
        <v>0</v>
      </c>
      <c r="O1399" s="77">
        <v>0</v>
      </c>
      <c r="P1399" s="77">
        <v>7.07</v>
      </c>
      <c r="Q1399" s="80">
        <v>0</v>
      </c>
      <c r="R1399" s="77">
        <v>0</v>
      </c>
      <c r="S1399" s="77">
        <v>1.65</v>
      </c>
      <c r="T1399" s="77">
        <f>STOCK[[#This Row],[Costo Unitario (USD)]]+STOCK[[#This Row],[Costo Envío (USD)]]+STOCK[[#This Row],[Comisión 10%]]</f>
        <v>10.52</v>
      </c>
      <c r="U1399" s="53">
        <f>STOCK[[#This Row],[Costo total]]*1.5</f>
        <v>15.78</v>
      </c>
      <c r="V1399" s="77">
        <v>18</v>
      </c>
      <c r="W1399" s="77">
        <f>STOCK[[#This Row],[Precio Final]]-STOCK[[#This Row],[Costo total]]</f>
        <v>7.48</v>
      </c>
      <c r="X1399" s="77">
        <f>STOCK[[#This Row],[Ganancia Unitaria]]*STOCK[[#This Row],[Salidas]]</f>
        <v>0</v>
      </c>
      <c r="Y1399" s="77"/>
      <c r="Z1399" s="77"/>
      <c r="AA1399" s="54">
        <f>STOCK[[#This Row],[Costo total]]*STOCK[[#This Row],[Entradas]]</f>
        <v>21.04</v>
      </c>
      <c r="AB1399" s="54">
        <f>STOCK[[#This Row],[Stock Actual]]*STOCK[[#This Row],[Costo total]]</f>
        <v>21.04</v>
      </c>
      <c r="AC1399" s="77"/>
    </row>
    <row r="1400" s="53" customFormat="1" ht="50" customHeight="1" spans="1:29">
      <c r="A1400" s="53" t="s">
        <v>2852</v>
      </c>
      <c r="B1400" s="78"/>
      <c r="C1400" s="77" t="s">
        <v>32</v>
      </c>
      <c r="D1400" s="77" t="s">
        <v>1190</v>
      </c>
      <c r="E1400" s="79" t="s">
        <v>2851</v>
      </c>
      <c r="F1400" s="77" t="s">
        <v>62</v>
      </c>
      <c r="G1400" s="77"/>
      <c r="H1400" s="77">
        <f>STOCK[[#This Row],[Precio Final]]</f>
        <v>18</v>
      </c>
      <c r="I1400" s="82">
        <f>STOCK[[#This Row],[Precio Venta Ideal (x1.5)]]</f>
        <v>15.78</v>
      </c>
      <c r="J1400" s="80">
        <v>2</v>
      </c>
      <c r="K1400" s="80">
        <f>SUMIFS(VENTAS[Cantidad],VENTAS[Código del producto Vendido],STOCK[[#This Row],[Code]])</f>
        <v>0</v>
      </c>
      <c r="L1400" s="80">
        <f>STOCK[[#This Row],[Entradas]]-STOCK[[#This Row],[Salidas]]</f>
        <v>2</v>
      </c>
      <c r="M1400" s="77">
        <f>STOCK[[#This Row],[Precio Final]]*10%</f>
        <v>1.8</v>
      </c>
      <c r="N1400" s="77">
        <v>0</v>
      </c>
      <c r="O1400" s="77">
        <v>0</v>
      </c>
      <c r="P1400" s="77">
        <v>7.07</v>
      </c>
      <c r="Q1400" s="80">
        <v>0</v>
      </c>
      <c r="R1400" s="77">
        <v>0</v>
      </c>
      <c r="S1400" s="77">
        <v>1.65</v>
      </c>
      <c r="T1400" s="77">
        <f>STOCK[[#This Row],[Costo Unitario (USD)]]+STOCK[[#This Row],[Costo Envío (USD)]]+STOCK[[#This Row],[Comisión 10%]]</f>
        <v>10.52</v>
      </c>
      <c r="U1400" s="53">
        <f>STOCK[[#This Row],[Costo total]]*1.5</f>
        <v>15.78</v>
      </c>
      <c r="V1400" s="77">
        <v>18</v>
      </c>
      <c r="W1400" s="77">
        <f>STOCK[[#This Row],[Precio Final]]-STOCK[[#This Row],[Costo total]]</f>
        <v>7.48</v>
      </c>
      <c r="X1400" s="77">
        <f>STOCK[[#This Row],[Ganancia Unitaria]]*STOCK[[#This Row],[Salidas]]</f>
        <v>0</v>
      </c>
      <c r="Y1400" s="77"/>
      <c r="Z1400" s="77"/>
      <c r="AA1400" s="54">
        <f>STOCK[[#This Row],[Costo total]]*STOCK[[#This Row],[Entradas]]</f>
        <v>21.04</v>
      </c>
      <c r="AB1400" s="54">
        <f>STOCK[[#This Row],[Stock Actual]]*STOCK[[#This Row],[Costo total]]</f>
        <v>21.04</v>
      </c>
      <c r="AC1400" s="77"/>
    </row>
    <row r="1401" s="53" customFormat="1" ht="50" customHeight="1" spans="1:29">
      <c r="A1401" s="53" t="s">
        <v>2853</v>
      </c>
      <c r="B1401" s="78"/>
      <c r="C1401" s="77" t="s">
        <v>32</v>
      </c>
      <c r="D1401" s="77" t="s">
        <v>1190</v>
      </c>
      <c r="E1401" s="79" t="s">
        <v>2851</v>
      </c>
      <c r="F1401" s="77" t="s">
        <v>49</v>
      </c>
      <c r="G1401" s="77"/>
      <c r="H1401" s="77">
        <f>STOCK[[#This Row],[Precio Final]]</f>
        <v>18</v>
      </c>
      <c r="I1401" s="82">
        <f>STOCK[[#This Row],[Precio Venta Ideal (x1.5)]]</f>
        <v>15.78</v>
      </c>
      <c r="J1401" s="80">
        <v>2</v>
      </c>
      <c r="K1401" s="80">
        <f>SUMIFS(VENTAS[Cantidad],VENTAS[Código del producto Vendido],STOCK[[#This Row],[Code]])</f>
        <v>0</v>
      </c>
      <c r="L1401" s="80">
        <f>STOCK[[#This Row],[Entradas]]-STOCK[[#This Row],[Salidas]]</f>
        <v>2</v>
      </c>
      <c r="M1401" s="77">
        <f>STOCK[[#This Row],[Precio Final]]*10%</f>
        <v>1.8</v>
      </c>
      <c r="N1401" s="77">
        <v>0</v>
      </c>
      <c r="O1401" s="77">
        <v>0</v>
      </c>
      <c r="P1401" s="77">
        <v>7.07</v>
      </c>
      <c r="Q1401" s="80">
        <v>0</v>
      </c>
      <c r="R1401" s="77">
        <v>0</v>
      </c>
      <c r="S1401" s="77">
        <v>1.65</v>
      </c>
      <c r="T1401" s="77">
        <f>STOCK[[#This Row],[Costo Unitario (USD)]]+STOCK[[#This Row],[Costo Envío (USD)]]+STOCK[[#This Row],[Comisión 10%]]</f>
        <v>10.52</v>
      </c>
      <c r="U1401" s="53">
        <f>STOCK[[#This Row],[Costo total]]*1.5</f>
        <v>15.78</v>
      </c>
      <c r="V1401" s="77">
        <v>18</v>
      </c>
      <c r="W1401" s="77">
        <f>STOCK[[#This Row],[Precio Final]]-STOCK[[#This Row],[Costo total]]</f>
        <v>7.48</v>
      </c>
      <c r="X1401" s="77">
        <f>STOCK[[#This Row],[Ganancia Unitaria]]*STOCK[[#This Row],[Salidas]]</f>
        <v>0</v>
      </c>
      <c r="Y1401" s="77"/>
      <c r="Z1401" s="77"/>
      <c r="AA1401" s="54">
        <f>STOCK[[#This Row],[Costo total]]*STOCK[[#This Row],[Entradas]]</f>
        <v>21.04</v>
      </c>
      <c r="AB1401" s="54">
        <f>STOCK[[#This Row],[Stock Actual]]*STOCK[[#This Row],[Costo total]]</f>
        <v>21.04</v>
      </c>
      <c r="AC1401" s="77"/>
    </row>
    <row r="1402" s="53" customFormat="1" ht="50" customHeight="1" spans="1:29">
      <c r="A1402" s="53" t="s">
        <v>2854</v>
      </c>
      <c r="B1402" s="78"/>
      <c r="C1402" s="77" t="s">
        <v>32</v>
      </c>
      <c r="D1402" s="77" t="s">
        <v>1190</v>
      </c>
      <c r="E1402" s="79" t="s">
        <v>2855</v>
      </c>
      <c r="F1402" s="77" t="s">
        <v>40</v>
      </c>
      <c r="G1402" s="77"/>
      <c r="H1402" s="77">
        <f>STOCK[[#This Row],[Precio Final]]</f>
        <v>18</v>
      </c>
      <c r="I1402" s="82">
        <f>STOCK[[#This Row],[Precio Venta Ideal (x1.5)]]</f>
        <v>16.545</v>
      </c>
      <c r="J1402" s="80">
        <v>2</v>
      </c>
      <c r="K1402" s="80">
        <f>SUMIFS(VENTAS[Cantidad],VENTAS[Código del producto Vendido],STOCK[[#This Row],[Code]])</f>
        <v>0</v>
      </c>
      <c r="L1402" s="80">
        <f>STOCK[[#This Row],[Entradas]]-STOCK[[#This Row],[Salidas]]</f>
        <v>2</v>
      </c>
      <c r="M1402" s="77">
        <f>STOCK[[#This Row],[Precio Final]]*10%</f>
        <v>1.8</v>
      </c>
      <c r="N1402" s="77">
        <v>0</v>
      </c>
      <c r="O1402" s="77">
        <v>0</v>
      </c>
      <c r="P1402" s="77">
        <v>7.58</v>
      </c>
      <c r="Q1402" s="80">
        <v>0</v>
      </c>
      <c r="R1402" s="77">
        <v>0</v>
      </c>
      <c r="S1402" s="77">
        <v>1.65</v>
      </c>
      <c r="T1402" s="77">
        <f>STOCK[[#This Row],[Costo Unitario (USD)]]+STOCK[[#This Row],[Costo Envío (USD)]]+STOCK[[#This Row],[Comisión 10%]]</f>
        <v>11.03</v>
      </c>
      <c r="U1402" s="53">
        <f>STOCK[[#This Row],[Costo total]]*1.5</f>
        <v>16.545</v>
      </c>
      <c r="V1402" s="77">
        <v>18</v>
      </c>
      <c r="W1402" s="77">
        <f>STOCK[[#This Row],[Precio Final]]-STOCK[[#This Row],[Costo total]]</f>
        <v>6.97</v>
      </c>
      <c r="X1402" s="77">
        <f>STOCK[[#This Row],[Ganancia Unitaria]]*STOCK[[#This Row],[Salidas]]</f>
        <v>0</v>
      </c>
      <c r="Y1402" s="77"/>
      <c r="Z1402" s="77"/>
      <c r="AA1402" s="54">
        <f>STOCK[[#This Row],[Costo total]]*STOCK[[#This Row],[Entradas]]</f>
        <v>22.06</v>
      </c>
      <c r="AB1402" s="54">
        <f>STOCK[[#This Row],[Stock Actual]]*STOCK[[#This Row],[Costo total]]</f>
        <v>22.06</v>
      </c>
      <c r="AC1402" s="77"/>
    </row>
    <row r="1403" s="53" customFormat="1" ht="50" customHeight="1" spans="1:29">
      <c r="A1403" s="53" t="s">
        <v>2856</v>
      </c>
      <c r="B1403" s="78"/>
      <c r="C1403" s="77" t="s">
        <v>32</v>
      </c>
      <c r="D1403" s="77" t="s">
        <v>1190</v>
      </c>
      <c r="E1403" s="79" t="s">
        <v>2855</v>
      </c>
      <c r="F1403" s="77" t="s">
        <v>46</v>
      </c>
      <c r="G1403" s="77"/>
      <c r="H1403" s="77">
        <f>STOCK[[#This Row],[Precio Final]]</f>
        <v>18</v>
      </c>
      <c r="I1403" s="82">
        <f>STOCK[[#This Row],[Precio Venta Ideal (x1.5)]]</f>
        <v>16.545</v>
      </c>
      <c r="J1403" s="80">
        <v>1</v>
      </c>
      <c r="K1403" s="80">
        <f>SUMIFS(VENTAS[Cantidad],VENTAS[Código del producto Vendido],STOCK[[#This Row],[Code]])</f>
        <v>1</v>
      </c>
      <c r="L1403" s="80">
        <f>STOCK[[#This Row],[Entradas]]-STOCK[[#This Row],[Salidas]]</f>
        <v>0</v>
      </c>
      <c r="M1403" s="77">
        <f>STOCK[[#This Row],[Precio Final]]*10%</f>
        <v>1.8</v>
      </c>
      <c r="N1403" s="77">
        <v>0</v>
      </c>
      <c r="O1403" s="77">
        <v>0</v>
      </c>
      <c r="P1403" s="77">
        <v>7.58</v>
      </c>
      <c r="Q1403" s="80">
        <v>0</v>
      </c>
      <c r="R1403" s="77">
        <v>0</v>
      </c>
      <c r="S1403" s="77">
        <v>1.65</v>
      </c>
      <c r="T1403" s="77">
        <f>STOCK[[#This Row],[Costo Unitario (USD)]]+STOCK[[#This Row],[Costo Envío (USD)]]+STOCK[[#This Row],[Comisión 10%]]</f>
        <v>11.03</v>
      </c>
      <c r="U1403" s="53">
        <f>STOCK[[#This Row],[Costo total]]*1.5</f>
        <v>16.545</v>
      </c>
      <c r="V1403" s="77">
        <v>18</v>
      </c>
      <c r="W1403" s="77">
        <f>STOCK[[#This Row],[Precio Final]]-STOCK[[#This Row],[Costo total]]</f>
        <v>6.97</v>
      </c>
      <c r="X1403" s="77">
        <f>STOCK[[#This Row],[Ganancia Unitaria]]*STOCK[[#This Row],[Salidas]]</f>
        <v>6.97</v>
      </c>
      <c r="Y1403" s="77"/>
      <c r="Z1403" s="77"/>
      <c r="AA1403" s="54">
        <f>STOCK[[#This Row],[Costo total]]*STOCK[[#This Row],[Entradas]]</f>
        <v>11.03</v>
      </c>
      <c r="AB1403" s="54">
        <f>STOCK[[#This Row],[Stock Actual]]*STOCK[[#This Row],[Costo total]]</f>
        <v>0</v>
      </c>
      <c r="AC1403" s="77"/>
    </row>
    <row r="1404" s="53" customFormat="1" ht="50" customHeight="1" spans="1:29">
      <c r="A1404" s="53" t="s">
        <v>2857</v>
      </c>
      <c r="B1404" s="78"/>
      <c r="C1404" s="77" t="s">
        <v>32</v>
      </c>
      <c r="D1404" s="77" t="s">
        <v>2111</v>
      </c>
      <c r="E1404" s="79" t="s">
        <v>2858</v>
      </c>
      <c r="F1404" s="77" t="s">
        <v>2822</v>
      </c>
      <c r="G1404" s="77"/>
      <c r="H1404" s="77">
        <f>STOCK[[#This Row],[Precio Final]]</f>
        <v>25</v>
      </c>
      <c r="I1404" s="82">
        <f>STOCK[[#This Row],[Precio Venta Ideal (x1.5)]]</f>
        <v>26.025</v>
      </c>
      <c r="J1404" s="80">
        <v>7</v>
      </c>
      <c r="K1404" s="80">
        <f>SUMIFS(VENTAS[Cantidad],VENTAS[Código del producto Vendido],STOCK[[#This Row],[Code]])</f>
        <v>9</v>
      </c>
      <c r="L1404" s="80">
        <f>STOCK[[#This Row],[Entradas]]-STOCK[[#This Row],[Salidas]]</f>
        <v>-2</v>
      </c>
      <c r="M1404" s="77">
        <f>STOCK[[#This Row],[Precio Final]]*10%</f>
        <v>2.5</v>
      </c>
      <c r="N1404" s="77">
        <v>0</v>
      </c>
      <c r="O1404" s="77">
        <v>0</v>
      </c>
      <c r="P1404" s="77">
        <v>13.2</v>
      </c>
      <c r="Q1404" s="80">
        <v>0</v>
      </c>
      <c r="R1404" s="77">
        <v>0</v>
      </c>
      <c r="S1404" s="77">
        <v>1.65</v>
      </c>
      <c r="T1404" s="77">
        <f>STOCK[[#This Row],[Costo Unitario (USD)]]+STOCK[[#This Row],[Costo Envío (USD)]]+STOCK[[#This Row],[Comisión 10%]]</f>
        <v>17.35</v>
      </c>
      <c r="U1404" s="53">
        <f>STOCK[[#This Row],[Costo total]]*1.5</f>
        <v>26.025</v>
      </c>
      <c r="V1404" s="77">
        <v>25</v>
      </c>
      <c r="W1404" s="77">
        <f>STOCK[[#This Row],[Precio Final]]-STOCK[[#This Row],[Costo total]]</f>
        <v>7.65</v>
      </c>
      <c r="X1404" s="77">
        <f>STOCK[[#This Row],[Ganancia Unitaria]]*STOCK[[#This Row],[Salidas]]</f>
        <v>68.85</v>
      </c>
      <c r="Y1404" s="77"/>
      <c r="Z1404" s="77"/>
      <c r="AA1404" s="54">
        <f>STOCK[[#This Row],[Costo total]]*STOCK[[#This Row],[Entradas]]</f>
        <v>121.45</v>
      </c>
      <c r="AB1404" s="54">
        <f>STOCK[[#This Row],[Stock Actual]]*STOCK[[#This Row],[Costo total]]</f>
        <v>-34.7</v>
      </c>
      <c r="AC1404" s="77"/>
    </row>
    <row r="1405" s="53" customFormat="1" ht="50" customHeight="1" spans="1:29">
      <c r="A1405" s="53" t="s">
        <v>2859</v>
      </c>
      <c r="B1405" s="78"/>
      <c r="C1405" s="77" t="s">
        <v>32</v>
      </c>
      <c r="D1405" s="77" t="s">
        <v>2629</v>
      </c>
      <c r="E1405" s="79" t="s">
        <v>2860</v>
      </c>
      <c r="F1405" s="77" t="s">
        <v>62</v>
      </c>
      <c r="G1405" s="77"/>
      <c r="H1405" s="77">
        <f>STOCK[[#This Row],[Precio Final]]</f>
        <v>30</v>
      </c>
      <c r="I1405" s="82">
        <f>STOCK[[#This Row],[Precio Venta Ideal (x1.5)]]</f>
        <v>24.735</v>
      </c>
      <c r="J1405" s="80">
        <v>1</v>
      </c>
      <c r="K1405" s="80">
        <f>SUMIFS(VENTAS[Cantidad],VENTAS[Código del producto Vendido],STOCK[[#This Row],[Code]])</f>
        <v>0</v>
      </c>
      <c r="L1405" s="80">
        <f>STOCK[[#This Row],[Entradas]]-STOCK[[#This Row],[Salidas]]</f>
        <v>1</v>
      </c>
      <c r="M1405" s="77">
        <f>STOCK[[#This Row],[Precio Final]]*10%</f>
        <v>3</v>
      </c>
      <c r="N1405" s="77">
        <v>0</v>
      </c>
      <c r="O1405" s="77">
        <v>0</v>
      </c>
      <c r="P1405" s="77">
        <v>11.84</v>
      </c>
      <c r="Q1405" s="80">
        <v>0</v>
      </c>
      <c r="R1405" s="77">
        <v>0</v>
      </c>
      <c r="S1405" s="77">
        <v>1.65</v>
      </c>
      <c r="T1405" s="77">
        <f>STOCK[[#This Row],[Costo Unitario (USD)]]+STOCK[[#This Row],[Costo Envío (USD)]]+STOCK[[#This Row],[Comisión 10%]]</f>
        <v>16.49</v>
      </c>
      <c r="U1405" s="53">
        <f>STOCK[[#This Row],[Costo total]]*1.5</f>
        <v>24.735</v>
      </c>
      <c r="V1405" s="77">
        <v>30</v>
      </c>
      <c r="W1405" s="77">
        <f>STOCK[[#This Row],[Precio Final]]-STOCK[[#This Row],[Costo total]]</f>
        <v>13.51</v>
      </c>
      <c r="X1405" s="77">
        <f>STOCK[[#This Row],[Ganancia Unitaria]]*STOCK[[#This Row],[Salidas]]</f>
        <v>0</v>
      </c>
      <c r="Y1405" s="77"/>
      <c r="Z1405" s="77"/>
      <c r="AA1405" s="54">
        <f>STOCK[[#This Row],[Costo total]]*STOCK[[#This Row],[Entradas]]</f>
        <v>16.49</v>
      </c>
      <c r="AB1405" s="54">
        <f>STOCK[[#This Row],[Stock Actual]]*STOCK[[#This Row],[Costo total]]</f>
        <v>16.49</v>
      </c>
      <c r="AC1405" s="77"/>
    </row>
    <row r="1406" s="53" customFormat="1" ht="50" customHeight="1" spans="1:29">
      <c r="A1406" s="53" t="s">
        <v>2861</v>
      </c>
      <c r="B1406" s="78"/>
      <c r="C1406" s="77" t="s">
        <v>32</v>
      </c>
      <c r="D1406" s="77" t="s">
        <v>2629</v>
      </c>
      <c r="E1406" s="79" t="s">
        <v>2860</v>
      </c>
      <c r="F1406" s="77" t="s">
        <v>49</v>
      </c>
      <c r="G1406" s="77"/>
      <c r="H1406" s="77">
        <f>STOCK[[#This Row],[Precio Final]]</f>
        <v>30</v>
      </c>
      <c r="I1406" s="82">
        <f>STOCK[[#This Row],[Precio Venta Ideal (x1.5)]]</f>
        <v>24.735</v>
      </c>
      <c r="J1406" s="80">
        <v>1</v>
      </c>
      <c r="K1406" s="80">
        <f>SUMIFS(VENTAS[Cantidad],VENTAS[Código del producto Vendido],STOCK[[#This Row],[Code]])</f>
        <v>1</v>
      </c>
      <c r="L1406" s="80">
        <f>STOCK[[#This Row],[Entradas]]-STOCK[[#This Row],[Salidas]]</f>
        <v>0</v>
      </c>
      <c r="M1406" s="77">
        <f>STOCK[[#This Row],[Precio Final]]*10%</f>
        <v>3</v>
      </c>
      <c r="N1406" s="77">
        <v>0</v>
      </c>
      <c r="O1406" s="77">
        <v>0</v>
      </c>
      <c r="P1406" s="77">
        <v>11.84</v>
      </c>
      <c r="Q1406" s="80">
        <v>0</v>
      </c>
      <c r="R1406" s="77">
        <v>0</v>
      </c>
      <c r="S1406" s="77">
        <v>1.65</v>
      </c>
      <c r="T1406" s="77">
        <f>STOCK[[#This Row],[Costo Unitario (USD)]]+STOCK[[#This Row],[Costo Envío (USD)]]+STOCK[[#This Row],[Comisión 10%]]</f>
        <v>16.49</v>
      </c>
      <c r="U1406" s="53">
        <f>STOCK[[#This Row],[Costo total]]*1.5</f>
        <v>24.735</v>
      </c>
      <c r="V1406" s="77">
        <v>30</v>
      </c>
      <c r="W1406" s="77">
        <f>STOCK[[#This Row],[Precio Final]]-STOCK[[#This Row],[Costo total]]</f>
        <v>13.51</v>
      </c>
      <c r="X1406" s="77">
        <f>STOCK[[#This Row],[Ganancia Unitaria]]*STOCK[[#This Row],[Salidas]]</f>
        <v>13.51</v>
      </c>
      <c r="Y1406" s="77"/>
      <c r="Z1406" s="77"/>
      <c r="AA1406" s="54">
        <f>STOCK[[#This Row],[Costo total]]*STOCK[[#This Row],[Entradas]]</f>
        <v>16.49</v>
      </c>
      <c r="AB1406" s="54">
        <f>STOCK[[#This Row],[Stock Actual]]*STOCK[[#This Row],[Costo total]]</f>
        <v>0</v>
      </c>
      <c r="AC1406" s="77"/>
    </row>
    <row r="1407" s="53" customFormat="1" ht="50" customHeight="1" spans="1:29">
      <c r="A1407" s="53" t="s">
        <v>2862</v>
      </c>
      <c r="B1407" s="78"/>
      <c r="C1407" s="77" t="s">
        <v>32</v>
      </c>
      <c r="D1407" s="77" t="s">
        <v>2629</v>
      </c>
      <c r="E1407" s="79" t="s">
        <v>2860</v>
      </c>
      <c r="F1407" s="77" t="s">
        <v>46</v>
      </c>
      <c r="G1407" s="77"/>
      <c r="H1407" s="77">
        <f>STOCK[[#This Row],[Precio Final]]</f>
        <v>30</v>
      </c>
      <c r="I1407" s="82">
        <f>STOCK[[#This Row],[Precio Venta Ideal (x1.5)]]</f>
        <v>24.735</v>
      </c>
      <c r="J1407" s="80">
        <v>1</v>
      </c>
      <c r="K1407" s="80">
        <f>SUMIFS(VENTAS[Cantidad],VENTAS[Código del producto Vendido],STOCK[[#This Row],[Code]])</f>
        <v>1</v>
      </c>
      <c r="L1407" s="80">
        <f>STOCK[[#This Row],[Entradas]]-STOCK[[#This Row],[Salidas]]</f>
        <v>0</v>
      </c>
      <c r="M1407" s="77">
        <f>STOCK[[#This Row],[Precio Final]]*10%</f>
        <v>3</v>
      </c>
      <c r="N1407" s="77">
        <v>0</v>
      </c>
      <c r="O1407" s="77">
        <v>0</v>
      </c>
      <c r="P1407" s="77">
        <v>11.84</v>
      </c>
      <c r="Q1407" s="80">
        <v>0</v>
      </c>
      <c r="R1407" s="77">
        <v>0</v>
      </c>
      <c r="S1407" s="77">
        <v>1.65</v>
      </c>
      <c r="T1407" s="77">
        <f>STOCK[[#This Row],[Costo Unitario (USD)]]+STOCK[[#This Row],[Costo Envío (USD)]]+STOCK[[#This Row],[Comisión 10%]]</f>
        <v>16.49</v>
      </c>
      <c r="U1407" s="53">
        <f>STOCK[[#This Row],[Costo total]]*1.5</f>
        <v>24.735</v>
      </c>
      <c r="V1407" s="77">
        <v>30</v>
      </c>
      <c r="W1407" s="77">
        <f>STOCK[[#This Row],[Precio Final]]-STOCK[[#This Row],[Costo total]]</f>
        <v>13.51</v>
      </c>
      <c r="X1407" s="77">
        <f>STOCK[[#This Row],[Ganancia Unitaria]]*STOCK[[#This Row],[Salidas]]</f>
        <v>13.51</v>
      </c>
      <c r="Y1407" s="77"/>
      <c r="Z1407" s="77"/>
      <c r="AA1407" s="54">
        <f>STOCK[[#This Row],[Costo total]]*STOCK[[#This Row],[Entradas]]</f>
        <v>16.49</v>
      </c>
      <c r="AB1407" s="54">
        <f>STOCK[[#This Row],[Stock Actual]]*STOCK[[#This Row],[Costo total]]</f>
        <v>0</v>
      </c>
      <c r="AC1407" s="77"/>
    </row>
    <row r="1408" s="53" customFormat="1" ht="50" customHeight="1" spans="1:29">
      <c r="A1408" s="53" t="s">
        <v>2863</v>
      </c>
      <c r="B1408" s="78"/>
      <c r="C1408" s="77" t="s">
        <v>32</v>
      </c>
      <c r="D1408" s="77" t="s">
        <v>2629</v>
      </c>
      <c r="E1408" s="79" t="s">
        <v>2864</v>
      </c>
      <c r="F1408" s="77" t="s">
        <v>40</v>
      </c>
      <c r="G1408" s="77"/>
      <c r="H1408" s="77">
        <f>STOCK[[#This Row],[Precio Final]]</f>
        <v>25</v>
      </c>
      <c r="I1408" s="82">
        <f>STOCK[[#This Row],[Precio Venta Ideal (x1.5)]]</f>
        <v>21.72</v>
      </c>
      <c r="J1408" s="80">
        <v>2</v>
      </c>
      <c r="K1408" s="80">
        <f>SUMIFS(VENTAS[Cantidad],VENTAS[Código del producto Vendido],STOCK[[#This Row],[Code]])</f>
        <v>4</v>
      </c>
      <c r="L1408" s="80">
        <f>STOCK[[#This Row],[Entradas]]-STOCK[[#This Row],[Salidas]]</f>
        <v>-2</v>
      </c>
      <c r="M1408" s="77">
        <f>STOCK[[#This Row],[Precio Final]]*10%</f>
        <v>2.5</v>
      </c>
      <c r="N1408" s="77">
        <v>0</v>
      </c>
      <c r="O1408" s="77">
        <v>0</v>
      </c>
      <c r="P1408" s="77">
        <v>10.33</v>
      </c>
      <c r="Q1408" s="80">
        <v>0</v>
      </c>
      <c r="R1408" s="77">
        <v>0</v>
      </c>
      <c r="S1408" s="77">
        <v>1.65</v>
      </c>
      <c r="T1408" s="77">
        <f>STOCK[[#This Row],[Costo Unitario (USD)]]+STOCK[[#This Row],[Costo Envío (USD)]]+STOCK[[#This Row],[Comisión 10%]]</f>
        <v>14.48</v>
      </c>
      <c r="U1408" s="53">
        <f>STOCK[[#This Row],[Costo total]]*1.5</f>
        <v>21.72</v>
      </c>
      <c r="V1408" s="77">
        <v>25</v>
      </c>
      <c r="W1408" s="77">
        <f>STOCK[[#This Row],[Precio Final]]-STOCK[[#This Row],[Costo total]]</f>
        <v>10.52</v>
      </c>
      <c r="X1408" s="77">
        <f>STOCK[[#This Row],[Ganancia Unitaria]]*STOCK[[#This Row],[Salidas]]</f>
        <v>42.08</v>
      </c>
      <c r="Y1408" s="77"/>
      <c r="Z1408" s="77"/>
      <c r="AA1408" s="54">
        <f>STOCK[[#This Row],[Costo total]]*STOCK[[#This Row],[Entradas]]</f>
        <v>28.96</v>
      </c>
      <c r="AB1408" s="54">
        <f>STOCK[[#This Row],[Stock Actual]]*STOCK[[#This Row],[Costo total]]</f>
        <v>-28.96</v>
      </c>
      <c r="AC1408" s="77"/>
    </row>
    <row r="1409" s="53" customFormat="1" ht="50" customHeight="1" spans="1:29">
      <c r="A1409" s="53" t="s">
        <v>2865</v>
      </c>
      <c r="B1409" s="78"/>
      <c r="C1409" s="77" t="s">
        <v>32</v>
      </c>
      <c r="D1409" s="77" t="s">
        <v>2629</v>
      </c>
      <c r="E1409" s="79" t="s">
        <v>2864</v>
      </c>
      <c r="F1409" s="77" t="s">
        <v>62</v>
      </c>
      <c r="G1409" s="77"/>
      <c r="H1409" s="77">
        <f>STOCK[[#This Row],[Precio Final]]</f>
        <v>25</v>
      </c>
      <c r="I1409" s="82">
        <f>STOCK[[#This Row],[Precio Venta Ideal (x1.5)]]</f>
        <v>21.72</v>
      </c>
      <c r="J1409" s="80">
        <v>2</v>
      </c>
      <c r="K1409" s="80">
        <f>SUMIFS(VENTAS[Cantidad],VENTAS[Código del producto Vendido],STOCK[[#This Row],[Code]])</f>
        <v>3</v>
      </c>
      <c r="L1409" s="80">
        <f>STOCK[[#This Row],[Entradas]]-STOCK[[#This Row],[Salidas]]</f>
        <v>-1</v>
      </c>
      <c r="M1409" s="77">
        <f>STOCK[[#This Row],[Precio Final]]*10%</f>
        <v>2.5</v>
      </c>
      <c r="N1409" s="77">
        <v>0</v>
      </c>
      <c r="O1409" s="77">
        <v>0</v>
      </c>
      <c r="P1409" s="77">
        <v>10.33</v>
      </c>
      <c r="Q1409" s="80">
        <v>0</v>
      </c>
      <c r="R1409" s="77">
        <v>0</v>
      </c>
      <c r="S1409" s="77">
        <v>1.65</v>
      </c>
      <c r="T1409" s="77">
        <f>STOCK[[#This Row],[Costo Unitario (USD)]]+STOCK[[#This Row],[Costo Envío (USD)]]+STOCK[[#This Row],[Comisión 10%]]</f>
        <v>14.48</v>
      </c>
      <c r="U1409" s="53">
        <f>STOCK[[#This Row],[Costo total]]*1.5</f>
        <v>21.72</v>
      </c>
      <c r="V1409" s="77">
        <v>25</v>
      </c>
      <c r="W1409" s="77">
        <f>STOCK[[#This Row],[Precio Final]]-STOCK[[#This Row],[Costo total]]</f>
        <v>10.52</v>
      </c>
      <c r="X1409" s="77">
        <f>STOCK[[#This Row],[Ganancia Unitaria]]*STOCK[[#This Row],[Salidas]]</f>
        <v>31.56</v>
      </c>
      <c r="Y1409" s="77"/>
      <c r="Z1409" s="77"/>
      <c r="AA1409" s="54">
        <f>STOCK[[#This Row],[Costo total]]*STOCK[[#This Row],[Entradas]]</f>
        <v>28.96</v>
      </c>
      <c r="AB1409" s="54">
        <f>STOCK[[#This Row],[Stock Actual]]*STOCK[[#This Row],[Costo total]]</f>
        <v>-14.48</v>
      </c>
      <c r="AC1409" s="77"/>
    </row>
    <row r="1410" s="53" customFormat="1" ht="50" customHeight="1" spans="1:29">
      <c r="A1410" s="53" t="s">
        <v>2866</v>
      </c>
      <c r="B1410" s="78"/>
      <c r="C1410" s="77" t="s">
        <v>32</v>
      </c>
      <c r="D1410" s="77" t="s">
        <v>2629</v>
      </c>
      <c r="E1410" s="79" t="s">
        <v>2864</v>
      </c>
      <c r="F1410" s="77" t="s">
        <v>49</v>
      </c>
      <c r="G1410" s="77"/>
      <c r="H1410" s="77">
        <f>STOCK[[#This Row],[Precio Final]]</f>
        <v>25</v>
      </c>
      <c r="I1410" s="82">
        <f>STOCK[[#This Row],[Precio Venta Ideal (x1.5)]]</f>
        <v>21.72</v>
      </c>
      <c r="J1410" s="80">
        <v>2</v>
      </c>
      <c r="K1410" s="80">
        <f>SUMIFS(VENTAS[Cantidad],VENTAS[Código del producto Vendido],STOCK[[#This Row],[Code]])</f>
        <v>1</v>
      </c>
      <c r="L1410" s="80">
        <f>STOCK[[#This Row],[Entradas]]-STOCK[[#This Row],[Salidas]]</f>
        <v>1</v>
      </c>
      <c r="M1410" s="77">
        <f>STOCK[[#This Row],[Precio Final]]*10%</f>
        <v>2.5</v>
      </c>
      <c r="N1410" s="77">
        <v>0</v>
      </c>
      <c r="O1410" s="77">
        <v>0</v>
      </c>
      <c r="P1410" s="77">
        <v>10.33</v>
      </c>
      <c r="Q1410" s="80">
        <v>0</v>
      </c>
      <c r="R1410" s="77">
        <v>0</v>
      </c>
      <c r="S1410" s="77">
        <v>1.65</v>
      </c>
      <c r="T1410" s="77">
        <f>STOCK[[#This Row],[Costo Unitario (USD)]]+STOCK[[#This Row],[Costo Envío (USD)]]+STOCK[[#This Row],[Comisión 10%]]</f>
        <v>14.48</v>
      </c>
      <c r="U1410" s="53">
        <f>STOCK[[#This Row],[Costo total]]*1.5</f>
        <v>21.72</v>
      </c>
      <c r="V1410" s="77">
        <v>25</v>
      </c>
      <c r="W1410" s="77">
        <f>STOCK[[#This Row],[Precio Final]]-STOCK[[#This Row],[Costo total]]</f>
        <v>10.52</v>
      </c>
      <c r="X1410" s="77">
        <f>STOCK[[#This Row],[Ganancia Unitaria]]*STOCK[[#This Row],[Salidas]]</f>
        <v>10.52</v>
      </c>
      <c r="Y1410" s="77"/>
      <c r="Z1410" s="77"/>
      <c r="AA1410" s="54">
        <f>STOCK[[#This Row],[Costo total]]*STOCK[[#This Row],[Entradas]]</f>
        <v>28.96</v>
      </c>
      <c r="AB1410" s="54">
        <f>STOCK[[#This Row],[Stock Actual]]*STOCK[[#This Row],[Costo total]]</f>
        <v>14.48</v>
      </c>
      <c r="AC1410" s="77"/>
    </row>
    <row r="1411" s="53" customFormat="1" ht="50" customHeight="1" spans="1:29">
      <c r="A1411" s="53" t="s">
        <v>2867</v>
      </c>
      <c r="B1411" s="78"/>
      <c r="C1411" s="77" t="s">
        <v>32</v>
      </c>
      <c r="D1411" s="77" t="s">
        <v>1190</v>
      </c>
      <c r="E1411" s="79" t="s">
        <v>2868</v>
      </c>
      <c r="F1411" s="77" t="s">
        <v>40</v>
      </c>
      <c r="G1411" s="77"/>
      <c r="H1411" s="77">
        <f>STOCK[[#This Row],[Precio Final]]</f>
        <v>18</v>
      </c>
      <c r="I1411" s="82">
        <f>STOCK[[#This Row],[Precio Venta Ideal (x1.5)]]</f>
        <v>17.97</v>
      </c>
      <c r="J1411" s="80">
        <v>3</v>
      </c>
      <c r="K1411" s="80">
        <f>SUMIFS(VENTAS[Cantidad],VENTAS[Código del producto Vendido],STOCK[[#This Row],[Code]])</f>
        <v>2</v>
      </c>
      <c r="L1411" s="80">
        <f>STOCK[[#This Row],[Entradas]]-STOCK[[#This Row],[Salidas]]</f>
        <v>1</v>
      </c>
      <c r="M1411" s="77">
        <f>STOCK[[#This Row],[Precio Final]]*10%</f>
        <v>1.8</v>
      </c>
      <c r="N1411" s="77">
        <v>0</v>
      </c>
      <c r="O1411" s="77">
        <v>0</v>
      </c>
      <c r="P1411" s="77">
        <v>8.53</v>
      </c>
      <c r="Q1411" s="80">
        <v>0</v>
      </c>
      <c r="R1411" s="77">
        <v>0</v>
      </c>
      <c r="S1411" s="77">
        <v>1.65</v>
      </c>
      <c r="T1411" s="77">
        <f>STOCK[[#This Row],[Costo Unitario (USD)]]+STOCK[[#This Row],[Costo Envío (USD)]]+STOCK[[#This Row],[Comisión 10%]]</f>
        <v>11.98</v>
      </c>
      <c r="U1411" s="53">
        <f>STOCK[[#This Row],[Costo total]]*1.5</f>
        <v>17.97</v>
      </c>
      <c r="V1411" s="77">
        <v>18</v>
      </c>
      <c r="W1411" s="77">
        <f>STOCK[[#This Row],[Precio Final]]-STOCK[[#This Row],[Costo total]]</f>
        <v>6.02</v>
      </c>
      <c r="X1411" s="77">
        <f>STOCK[[#This Row],[Ganancia Unitaria]]*STOCK[[#This Row],[Salidas]]</f>
        <v>12.04</v>
      </c>
      <c r="Y1411" s="77"/>
      <c r="Z1411" s="77"/>
      <c r="AA1411" s="54">
        <f>STOCK[[#This Row],[Costo total]]*STOCK[[#This Row],[Entradas]]</f>
        <v>35.94</v>
      </c>
      <c r="AB1411" s="54">
        <f>STOCK[[#This Row],[Stock Actual]]*STOCK[[#This Row],[Costo total]]</f>
        <v>11.98</v>
      </c>
      <c r="AC1411" s="77"/>
    </row>
    <row r="1412" s="53" customFormat="1" ht="50" customHeight="1" spans="1:29">
      <c r="A1412" s="53" t="s">
        <v>2869</v>
      </c>
      <c r="B1412" s="78"/>
      <c r="C1412" s="77" t="s">
        <v>32</v>
      </c>
      <c r="D1412" s="77" t="s">
        <v>1190</v>
      </c>
      <c r="E1412" s="79" t="s">
        <v>2868</v>
      </c>
      <c r="F1412" s="77" t="s">
        <v>46</v>
      </c>
      <c r="G1412" s="77"/>
      <c r="H1412" s="77">
        <f>STOCK[[#This Row],[Precio Final]]</f>
        <v>18</v>
      </c>
      <c r="I1412" s="82">
        <f>STOCK[[#This Row],[Precio Venta Ideal (x1.5)]]</f>
        <v>17.955</v>
      </c>
      <c r="J1412" s="80">
        <v>2</v>
      </c>
      <c r="K1412" s="80">
        <f>SUMIFS(VENTAS[Cantidad],VENTAS[Código del producto Vendido],STOCK[[#This Row],[Code]])</f>
        <v>1</v>
      </c>
      <c r="L1412" s="80">
        <f>STOCK[[#This Row],[Entradas]]-STOCK[[#This Row],[Salidas]]</f>
        <v>1</v>
      </c>
      <c r="M1412" s="77">
        <f>STOCK[[#This Row],[Precio Final]]*10%</f>
        <v>1.8</v>
      </c>
      <c r="N1412" s="77">
        <v>0</v>
      </c>
      <c r="O1412" s="77">
        <v>0</v>
      </c>
      <c r="P1412" s="77">
        <v>8.52</v>
      </c>
      <c r="Q1412" s="80">
        <v>0</v>
      </c>
      <c r="R1412" s="77">
        <v>0</v>
      </c>
      <c r="S1412" s="77">
        <v>1.65</v>
      </c>
      <c r="T1412" s="77">
        <f>STOCK[[#This Row],[Costo Unitario (USD)]]+STOCK[[#This Row],[Costo Envío (USD)]]+STOCK[[#This Row],[Comisión 10%]]</f>
        <v>11.97</v>
      </c>
      <c r="U1412" s="53">
        <f>STOCK[[#This Row],[Costo total]]*1.5</f>
        <v>17.955</v>
      </c>
      <c r="V1412" s="77">
        <v>18</v>
      </c>
      <c r="W1412" s="77">
        <f>STOCK[[#This Row],[Precio Final]]-STOCK[[#This Row],[Costo total]]</f>
        <v>6.03</v>
      </c>
      <c r="X1412" s="77">
        <f>STOCK[[#This Row],[Ganancia Unitaria]]*STOCK[[#This Row],[Salidas]]</f>
        <v>6.03</v>
      </c>
      <c r="Y1412" s="77"/>
      <c r="Z1412" s="77"/>
      <c r="AA1412" s="54">
        <f>STOCK[[#This Row],[Costo total]]*STOCK[[#This Row],[Entradas]]</f>
        <v>23.94</v>
      </c>
      <c r="AB1412" s="54">
        <f>STOCK[[#This Row],[Stock Actual]]*STOCK[[#This Row],[Costo total]]</f>
        <v>11.97</v>
      </c>
      <c r="AC1412" s="77"/>
    </row>
    <row r="1413" s="53" customFormat="1" ht="50" customHeight="1" spans="1:29">
      <c r="A1413" s="53" t="s">
        <v>2870</v>
      </c>
      <c r="B1413" s="78"/>
      <c r="C1413" s="77" t="s">
        <v>32</v>
      </c>
      <c r="D1413" s="77" t="s">
        <v>2629</v>
      </c>
      <c r="E1413" s="79" t="s">
        <v>2871</v>
      </c>
      <c r="F1413" s="77" t="s">
        <v>40</v>
      </c>
      <c r="G1413" s="77"/>
      <c r="H1413" s="77">
        <f>STOCK[[#This Row],[Precio Final]]</f>
        <v>30</v>
      </c>
      <c r="I1413" s="82">
        <f>STOCK[[#This Row],[Precio Venta Ideal (x1.5)]]</f>
        <v>28.005</v>
      </c>
      <c r="J1413" s="80">
        <v>2</v>
      </c>
      <c r="K1413" s="80">
        <f>SUMIFS(VENTAS[Cantidad],VENTAS[Código del producto Vendido],STOCK[[#This Row],[Code]])</f>
        <v>1</v>
      </c>
      <c r="L1413" s="80">
        <f>STOCK[[#This Row],[Entradas]]-STOCK[[#This Row],[Salidas]]</f>
        <v>1</v>
      </c>
      <c r="M1413" s="77">
        <f>STOCK[[#This Row],[Precio Final]]*10%</f>
        <v>3</v>
      </c>
      <c r="N1413" s="77">
        <v>0</v>
      </c>
      <c r="O1413" s="77">
        <v>0</v>
      </c>
      <c r="P1413" s="77">
        <v>14.02</v>
      </c>
      <c r="Q1413" s="80">
        <v>0</v>
      </c>
      <c r="R1413" s="77">
        <v>0</v>
      </c>
      <c r="S1413" s="77">
        <v>1.65</v>
      </c>
      <c r="T1413" s="77">
        <f>STOCK[[#This Row],[Costo Unitario (USD)]]+STOCK[[#This Row],[Costo Envío (USD)]]+STOCK[[#This Row],[Comisión 10%]]</f>
        <v>18.67</v>
      </c>
      <c r="U1413" s="53">
        <f>STOCK[[#This Row],[Costo total]]*1.5</f>
        <v>28.005</v>
      </c>
      <c r="V1413" s="77">
        <v>30</v>
      </c>
      <c r="W1413" s="77">
        <f>STOCK[[#This Row],[Precio Final]]-STOCK[[#This Row],[Costo total]]</f>
        <v>11.33</v>
      </c>
      <c r="X1413" s="77">
        <f>STOCK[[#This Row],[Ganancia Unitaria]]*STOCK[[#This Row],[Salidas]]</f>
        <v>11.33</v>
      </c>
      <c r="Y1413" s="77"/>
      <c r="Z1413" s="77"/>
      <c r="AA1413" s="54">
        <f>STOCK[[#This Row],[Costo total]]*STOCK[[#This Row],[Entradas]]</f>
        <v>37.34</v>
      </c>
      <c r="AB1413" s="54">
        <f>STOCK[[#This Row],[Stock Actual]]*STOCK[[#This Row],[Costo total]]</f>
        <v>18.67</v>
      </c>
      <c r="AC1413" s="77"/>
    </row>
    <row r="1414" s="53" customFormat="1" ht="50" customHeight="1" spans="1:29">
      <c r="A1414" s="53" t="s">
        <v>2872</v>
      </c>
      <c r="B1414" s="78"/>
      <c r="C1414" s="77" t="s">
        <v>32</v>
      </c>
      <c r="D1414" s="77" t="s">
        <v>2127</v>
      </c>
      <c r="E1414" s="79" t="s">
        <v>2873</v>
      </c>
      <c r="F1414" s="77" t="s">
        <v>62</v>
      </c>
      <c r="G1414" s="77"/>
      <c r="H1414" s="77">
        <f>STOCK[[#This Row],[Precio Final]]</f>
        <v>18</v>
      </c>
      <c r="I1414" s="82">
        <f>STOCK[[#This Row],[Precio Venta Ideal (x1.5)]]</f>
        <v>10.095</v>
      </c>
      <c r="J1414" s="80">
        <v>3</v>
      </c>
      <c r="K1414" s="80">
        <f>SUMIFS(VENTAS[Cantidad],VENTAS[Código del producto Vendido],STOCK[[#This Row],[Code]])</f>
        <v>1</v>
      </c>
      <c r="L1414" s="80">
        <f>STOCK[[#This Row],[Entradas]]-STOCK[[#This Row],[Salidas]]</f>
        <v>2</v>
      </c>
      <c r="M1414" s="77">
        <f>STOCK[[#This Row],[Precio Final]]*10%</f>
        <v>1.8</v>
      </c>
      <c r="N1414" s="77">
        <v>0</v>
      </c>
      <c r="O1414" s="77">
        <v>0</v>
      </c>
      <c r="P1414" s="77">
        <v>3.28</v>
      </c>
      <c r="Q1414" s="80">
        <v>0</v>
      </c>
      <c r="R1414" s="77">
        <v>0</v>
      </c>
      <c r="S1414" s="77">
        <v>1.65</v>
      </c>
      <c r="T1414" s="77">
        <f>STOCK[[#This Row],[Costo Unitario (USD)]]+STOCK[[#This Row],[Costo Envío (USD)]]+STOCK[[#This Row],[Comisión 10%]]</f>
        <v>6.73</v>
      </c>
      <c r="U1414" s="53">
        <f>STOCK[[#This Row],[Costo total]]*1.5</f>
        <v>10.095</v>
      </c>
      <c r="V1414" s="77">
        <v>18</v>
      </c>
      <c r="W1414" s="77">
        <f>STOCK[[#This Row],[Precio Final]]-STOCK[[#This Row],[Costo total]]</f>
        <v>11.27</v>
      </c>
      <c r="X1414" s="77">
        <f>STOCK[[#This Row],[Ganancia Unitaria]]*STOCK[[#This Row],[Salidas]]</f>
        <v>11.27</v>
      </c>
      <c r="Y1414" s="77"/>
      <c r="Z1414" s="77"/>
      <c r="AA1414" s="54">
        <f>STOCK[[#This Row],[Costo total]]*STOCK[[#This Row],[Entradas]]</f>
        <v>20.19</v>
      </c>
      <c r="AB1414" s="54">
        <f>STOCK[[#This Row],[Stock Actual]]*STOCK[[#This Row],[Costo total]]</f>
        <v>13.46</v>
      </c>
      <c r="AC1414" s="77"/>
    </row>
    <row r="1415" s="53" customFormat="1" ht="50" customHeight="1" spans="1:29">
      <c r="A1415" s="53" t="s">
        <v>2874</v>
      </c>
      <c r="B1415" s="78"/>
      <c r="C1415" s="77" t="s">
        <v>32</v>
      </c>
      <c r="D1415" s="77" t="s">
        <v>2127</v>
      </c>
      <c r="E1415" s="79" t="s">
        <v>2875</v>
      </c>
      <c r="F1415" s="77" t="s">
        <v>62</v>
      </c>
      <c r="G1415" s="77"/>
      <c r="H1415" s="77">
        <f>STOCK[[#This Row],[Precio Final]]</f>
        <v>25</v>
      </c>
      <c r="I1415" s="82">
        <f>STOCK[[#This Row],[Precio Venta Ideal (x1.5)]]</f>
        <v>22.47</v>
      </c>
      <c r="J1415" s="80">
        <v>2</v>
      </c>
      <c r="K1415" s="80">
        <f>SUMIFS(VENTAS[Cantidad],VENTAS[Código del producto Vendido],STOCK[[#This Row],[Code]])</f>
        <v>0</v>
      </c>
      <c r="L1415" s="80">
        <f>STOCK[[#This Row],[Entradas]]-STOCK[[#This Row],[Salidas]]</f>
        <v>2</v>
      </c>
      <c r="M1415" s="77">
        <f>STOCK[[#This Row],[Precio Final]]*10%</f>
        <v>2.5</v>
      </c>
      <c r="N1415" s="77">
        <v>0</v>
      </c>
      <c r="O1415" s="77">
        <v>0</v>
      </c>
      <c r="P1415" s="77">
        <v>10.83</v>
      </c>
      <c r="Q1415" s="80">
        <v>0</v>
      </c>
      <c r="R1415" s="77">
        <v>0</v>
      </c>
      <c r="S1415" s="77">
        <v>1.65</v>
      </c>
      <c r="T1415" s="77">
        <f>STOCK[[#This Row],[Costo Unitario (USD)]]+STOCK[[#This Row],[Costo Envío (USD)]]+STOCK[[#This Row],[Comisión 10%]]</f>
        <v>14.98</v>
      </c>
      <c r="U1415" s="53">
        <f>STOCK[[#This Row],[Costo total]]*1.5</f>
        <v>22.47</v>
      </c>
      <c r="V1415" s="77">
        <v>25</v>
      </c>
      <c r="W1415" s="77">
        <f>STOCK[[#This Row],[Precio Final]]-STOCK[[#This Row],[Costo total]]</f>
        <v>10.02</v>
      </c>
      <c r="X1415" s="77">
        <f>STOCK[[#This Row],[Ganancia Unitaria]]*STOCK[[#This Row],[Salidas]]</f>
        <v>0</v>
      </c>
      <c r="Y1415" s="77"/>
      <c r="Z1415" s="77"/>
      <c r="AA1415" s="54">
        <f>STOCK[[#This Row],[Costo total]]*STOCK[[#This Row],[Entradas]]</f>
        <v>29.96</v>
      </c>
      <c r="AB1415" s="54">
        <f>STOCK[[#This Row],[Stock Actual]]*STOCK[[#This Row],[Costo total]]</f>
        <v>29.96</v>
      </c>
      <c r="AC1415" s="77"/>
    </row>
    <row r="1416" s="53" customFormat="1" ht="50" customHeight="1" spans="1:29">
      <c r="A1416" s="53" t="s">
        <v>2876</v>
      </c>
      <c r="B1416" s="78"/>
      <c r="C1416" s="77" t="s">
        <v>32</v>
      </c>
      <c r="D1416" s="77" t="s">
        <v>2127</v>
      </c>
      <c r="E1416" s="79" t="s">
        <v>2875</v>
      </c>
      <c r="F1416" s="77" t="s">
        <v>49</v>
      </c>
      <c r="G1416" s="77"/>
      <c r="H1416" s="77">
        <f>STOCK[[#This Row],[Precio Final]]</f>
        <v>25</v>
      </c>
      <c r="I1416" s="82">
        <f>STOCK[[#This Row],[Precio Venta Ideal (x1.5)]]</f>
        <v>22.47</v>
      </c>
      <c r="J1416" s="80">
        <v>2</v>
      </c>
      <c r="K1416" s="80">
        <f>SUMIFS(VENTAS[Cantidad],VENTAS[Código del producto Vendido],STOCK[[#This Row],[Code]])</f>
        <v>0</v>
      </c>
      <c r="L1416" s="80">
        <f>STOCK[[#This Row],[Entradas]]-STOCK[[#This Row],[Salidas]]</f>
        <v>2</v>
      </c>
      <c r="M1416" s="77">
        <f>STOCK[[#This Row],[Precio Final]]*10%</f>
        <v>2.5</v>
      </c>
      <c r="N1416" s="77">
        <v>0</v>
      </c>
      <c r="O1416" s="77">
        <v>0</v>
      </c>
      <c r="P1416" s="77">
        <v>10.83</v>
      </c>
      <c r="Q1416" s="80">
        <v>0</v>
      </c>
      <c r="R1416" s="77">
        <v>0</v>
      </c>
      <c r="S1416" s="77">
        <v>1.65</v>
      </c>
      <c r="T1416" s="77">
        <f>STOCK[[#This Row],[Costo Unitario (USD)]]+STOCK[[#This Row],[Costo Envío (USD)]]+STOCK[[#This Row],[Comisión 10%]]</f>
        <v>14.98</v>
      </c>
      <c r="U1416" s="53">
        <f>STOCK[[#This Row],[Costo total]]*1.5</f>
        <v>22.47</v>
      </c>
      <c r="V1416" s="77">
        <v>25</v>
      </c>
      <c r="W1416" s="77">
        <f>STOCK[[#This Row],[Precio Final]]-STOCK[[#This Row],[Costo total]]</f>
        <v>10.02</v>
      </c>
      <c r="X1416" s="77">
        <f>STOCK[[#This Row],[Ganancia Unitaria]]*STOCK[[#This Row],[Salidas]]</f>
        <v>0</v>
      </c>
      <c r="Y1416" s="77"/>
      <c r="Z1416" s="77"/>
      <c r="AA1416" s="54">
        <f>STOCK[[#This Row],[Costo total]]*STOCK[[#This Row],[Entradas]]</f>
        <v>29.96</v>
      </c>
      <c r="AB1416" s="54">
        <f>STOCK[[#This Row],[Stock Actual]]*STOCK[[#This Row],[Costo total]]</f>
        <v>29.96</v>
      </c>
      <c r="AC1416" s="77"/>
    </row>
    <row r="1417" s="53" customFormat="1" ht="50" customHeight="1" spans="1:29">
      <c r="A1417" s="53" t="s">
        <v>2877</v>
      </c>
      <c r="B1417" s="78"/>
      <c r="C1417" s="77" t="s">
        <v>32</v>
      </c>
      <c r="D1417" s="77" t="s">
        <v>2127</v>
      </c>
      <c r="E1417" s="79" t="s">
        <v>2875</v>
      </c>
      <c r="F1417" s="77" t="s">
        <v>46</v>
      </c>
      <c r="G1417" s="77"/>
      <c r="H1417" s="77">
        <f>STOCK[[#This Row],[Precio Final]]</f>
        <v>25</v>
      </c>
      <c r="I1417" s="82">
        <f>STOCK[[#This Row],[Precio Venta Ideal (x1.5)]]</f>
        <v>22.485</v>
      </c>
      <c r="J1417" s="80">
        <v>2</v>
      </c>
      <c r="K1417" s="80">
        <f>SUMIFS(VENTAS[Cantidad],VENTAS[Código del producto Vendido],STOCK[[#This Row],[Code]])</f>
        <v>0</v>
      </c>
      <c r="L1417" s="80">
        <f>STOCK[[#This Row],[Entradas]]-STOCK[[#This Row],[Salidas]]</f>
        <v>2</v>
      </c>
      <c r="M1417" s="77">
        <f>STOCK[[#This Row],[Precio Final]]*10%</f>
        <v>2.5</v>
      </c>
      <c r="N1417" s="77">
        <v>0</v>
      </c>
      <c r="O1417" s="77">
        <v>0</v>
      </c>
      <c r="P1417" s="77">
        <v>10.84</v>
      </c>
      <c r="Q1417" s="80">
        <v>0</v>
      </c>
      <c r="R1417" s="77">
        <v>0</v>
      </c>
      <c r="S1417" s="77">
        <v>1.65</v>
      </c>
      <c r="T1417" s="77">
        <f>STOCK[[#This Row],[Costo Unitario (USD)]]+STOCK[[#This Row],[Costo Envío (USD)]]+STOCK[[#This Row],[Comisión 10%]]</f>
        <v>14.99</v>
      </c>
      <c r="U1417" s="53">
        <f>STOCK[[#This Row],[Costo total]]*1.5</f>
        <v>22.485</v>
      </c>
      <c r="V1417" s="77">
        <v>25</v>
      </c>
      <c r="W1417" s="77">
        <f>STOCK[[#This Row],[Precio Final]]-STOCK[[#This Row],[Costo total]]</f>
        <v>10.01</v>
      </c>
      <c r="X1417" s="77">
        <f>STOCK[[#This Row],[Ganancia Unitaria]]*STOCK[[#This Row],[Salidas]]</f>
        <v>0</v>
      </c>
      <c r="Y1417" s="77"/>
      <c r="Z1417" s="77"/>
      <c r="AA1417" s="54">
        <f>STOCK[[#This Row],[Costo total]]*STOCK[[#This Row],[Entradas]]</f>
        <v>29.98</v>
      </c>
      <c r="AB1417" s="54">
        <f>STOCK[[#This Row],[Stock Actual]]*STOCK[[#This Row],[Costo total]]</f>
        <v>29.98</v>
      </c>
      <c r="AC1417" s="77"/>
    </row>
    <row r="1418" s="53" customFormat="1" ht="50" customHeight="1" spans="1:29">
      <c r="A1418" s="53" t="s">
        <v>2878</v>
      </c>
      <c r="B1418" s="78"/>
      <c r="C1418" s="77" t="s">
        <v>32</v>
      </c>
      <c r="D1418" s="77" t="s">
        <v>2879</v>
      </c>
      <c r="E1418" s="79" t="s">
        <v>2880</v>
      </c>
      <c r="F1418" s="77" t="s">
        <v>62</v>
      </c>
      <c r="G1418" s="77"/>
      <c r="H1418" s="77">
        <f>STOCK[[#This Row],[Precio Final]]</f>
        <v>35</v>
      </c>
      <c r="I1418" s="82">
        <f>STOCK[[#This Row],[Precio Venta Ideal (x1.5)]]</f>
        <v>22.605</v>
      </c>
      <c r="J1418" s="80">
        <v>2</v>
      </c>
      <c r="K1418" s="80">
        <f>SUMIFS(VENTAS[Cantidad],VENTAS[Código del producto Vendido],STOCK[[#This Row],[Code]])</f>
        <v>2</v>
      </c>
      <c r="L1418" s="80">
        <f>STOCK[[#This Row],[Entradas]]-STOCK[[#This Row],[Salidas]]</f>
        <v>0</v>
      </c>
      <c r="M1418" s="77">
        <f>STOCK[[#This Row],[Precio Final]]*10%</f>
        <v>3.5</v>
      </c>
      <c r="N1418" s="77">
        <v>0</v>
      </c>
      <c r="O1418" s="77">
        <v>0</v>
      </c>
      <c r="P1418" s="77">
        <v>9.92</v>
      </c>
      <c r="Q1418" s="80">
        <v>0</v>
      </c>
      <c r="R1418" s="77">
        <v>0</v>
      </c>
      <c r="S1418" s="77">
        <v>1.65</v>
      </c>
      <c r="T1418" s="77">
        <f>STOCK[[#This Row],[Costo Unitario (USD)]]+STOCK[[#This Row],[Costo Envío (USD)]]+STOCK[[#This Row],[Comisión 10%]]</f>
        <v>15.07</v>
      </c>
      <c r="U1418" s="53">
        <f>STOCK[[#This Row],[Costo total]]*1.5</f>
        <v>22.605</v>
      </c>
      <c r="V1418" s="77">
        <v>35</v>
      </c>
      <c r="W1418" s="77">
        <f>STOCK[[#This Row],[Precio Final]]-STOCK[[#This Row],[Costo total]]</f>
        <v>19.93</v>
      </c>
      <c r="X1418" s="77">
        <f>STOCK[[#This Row],[Ganancia Unitaria]]*STOCK[[#This Row],[Salidas]]</f>
        <v>39.86</v>
      </c>
      <c r="Y1418" s="77"/>
      <c r="Z1418" s="77"/>
      <c r="AA1418" s="54">
        <f>STOCK[[#This Row],[Costo total]]*STOCK[[#This Row],[Entradas]]</f>
        <v>30.14</v>
      </c>
      <c r="AB1418" s="54">
        <f>STOCK[[#This Row],[Stock Actual]]*STOCK[[#This Row],[Costo total]]</f>
        <v>0</v>
      </c>
      <c r="AC1418" s="77"/>
    </row>
    <row r="1419" s="53" customFormat="1" ht="50" customHeight="1" spans="1:29">
      <c r="A1419" s="53" t="s">
        <v>2881</v>
      </c>
      <c r="B1419" s="78"/>
      <c r="C1419" s="77" t="s">
        <v>32</v>
      </c>
      <c r="D1419" s="77" t="s">
        <v>2879</v>
      </c>
      <c r="E1419" s="79" t="s">
        <v>2880</v>
      </c>
      <c r="F1419" s="77" t="s">
        <v>49</v>
      </c>
      <c r="G1419" s="77"/>
      <c r="H1419" s="77">
        <f>STOCK[[#This Row],[Precio Final]]</f>
        <v>35</v>
      </c>
      <c r="I1419" s="82">
        <f>STOCK[[#This Row],[Precio Venta Ideal (x1.5)]]</f>
        <v>22.605</v>
      </c>
      <c r="J1419" s="80">
        <v>2</v>
      </c>
      <c r="K1419" s="80">
        <f>SUMIFS(VENTAS[Cantidad],VENTAS[Código del producto Vendido],STOCK[[#This Row],[Code]])</f>
        <v>0</v>
      </c>
      <c r="L1419" s="80">
        <f>STOCK[[#This Row],[Entradas]]-STOCK[[#This Row],[Salidas]]</f>
        <v>2</v>
      </c>
      <c r="M1419" s="77">
        <f>STOCK[[#This Row],[Precio Final]]*10%</f>
        <v>3.5</v>
      </c>
      <c r="N1419" s="77">
        <v>0</v>
      </c>
      <c r="O1419" s="77">
        <v>0</v>
      </c>
      <c r="P1419" s="77">
        <v>9.92</v>
      </c>
      <c r="Q1419" s="80">
        <v>0</v>
      </c>
      <c r="R1419" s="77">
        <v>0</v>
      </c>
      <c r="S1419" s="77">
        <v>1.65</v>
      </c>
      <c r="T1419" s="77">
        <f>STOCK[[#This Row],[Costo Unitario (USD)]]+STOCK[[#This Row],[Costo Envío (USD)]]+STOCK[[#This Row],[Comisión 10%]]</f>
        <v>15.07</v>
      </c>
      <c r="U1419" s="53">
        <f>STOCK[[#This Row],[Costo total]]*1.5</f>
        <v>22.605</v>
      </c>
      <c r="V1419" s="77">
        <v>35</v>
      </c>
      <c r="W1419" s="77">
        <f>STOCK[[#This Row],[Precio Final]]-STOCK[[#This Row],[Costo total]]</f>
        <v>19.93</v>
      </c>
      <c r="X1419" s="77">
        <f>STOCK[[#This Row],[Ganancia Unitaria]]*STOCK[[#This Row],[Salidas]]</f>
        <v>0</v>
      </c>
      <c r="Y1419" s="77"/>
      <c r="Z1419" s="77"/>
      <c r="AA1419" s="54">
        <f>STOCK[[#This Row],[Costo total]]*STOCK[[#This Row],[Entradas]]</f>
        <v>30.14</v>
      </c>
      <c r="AB1419" s="54">
        <f>STOCK[[#This Row],[Stock Actual]]*STOCK[[#This Row],[Costo total]]</f>
        <v>30.14</v>
      </c>
      <c r="AC1419" s="77"/>
    </row>
    <row r="1420" s="53" customFormat="1" ht="50" customHeight="1" spans="1:29">
      <c r="A1420" s="53" t="s">
        <v>2882</v>
      </c>
      <c r="B1420" s="78"/>
      <c r="C1420" s="77" t="s">
        <v>32</v>
      </c>
      <c r="D1420" s="77" t="s">
        <v>2879</v>
      </c>
      <c r="E1420" s="79" t="s">
        <v>2880</v>
      </c>
      <c r="F1420" s="77" t="s">
        <v>46</v>
      </c>
      <c r="G1420" s="77"/>
      <c r="H1420" s="77">
        <f>STOCK[[#This Row],[Precio Final]]</f>
        <v>35</v>
      </c>
      <c r="I1420" s="82">
        <f>STOCK[[#This Row],[Precio Venta Ideal (x1.5)]]</f>
        <v>22.605</v>
      </c>
      <c r="J1420" s="80">
        <v>2</v>
      </c>
      <c r="K1420" s="80">
        <f>SUMIFS(VENTAS[Cantidad],VENTAS[Código del producto Vendido],STOCK[[#This Row],[Code]])</f>
        <v>1</v>
      </c>
      <c r="L1420" s="80">
        <f>STOCK[[#This Row],[Entradas]]-STOCK[[#This Row],[Salidas]]</f>
        <v>1</v>
      </c>
      <c r="M1420" s="77">
        <f>STOCK[[#This Row],[Precio Final]]*10%</f>
        <v>3.5</v>
      </c>
      <c r="N1420" s="77">
        <v>0</v>
      </c>
      <c r="O1420" s="77">
        <v>0</v>
      </c>
      <c r="P1420" s="77">
        <v>9.92</v>
      </c>
      <c r="Q1420" s="80">
        <v>0</v>
      </c>
      <c r="R1420" s="77">
        <v>0</v>
      </c>
      <c r="S1420" s="77">
        <v>1.65</v>
      </c>
      <c r="T1420" s="77">
        <f>STOCK[[#This Row],[Costo Unitario (USD)]]+STOCK[[#This Row],[Costo Envío (USD)]]+STOCK[[#This Row],[Comisión 10%]]</f>
        <v>15.07</v>
      </c>
      <c r="U1420" s="53">
        <f>STOCK[[#This Row],[Costo total]]*1.5</f>
        <v>22.605</v>
      </c>
      <c r="V1420" s="77">
        <v>35</v>
      </c>
      <c r="W1420" s="77">
        <f>STOCK[[#This Row],[Precio Final]]-STOCK[[#This Row],[Costo total]]</f>
        <v>19.93</v>
      </c>
      <c r="X1420" s="77">
        <f>STOCK[[#This Row],[Ganancia Unitaria]]*STOCK[[#This Row],[Salidas]]</f>
        <v>19.93</v>
      </c>
      <c r="Y1420" s="77"/>
      <c r="Z1420" s="77"/>
      <c r="AA1420" s="54">
        <f>STOCK[[#This Row],[Costo total]]*STOCK[[#This Row],[Entradas]]</f>
        <v>30.14</v>
      </c>
      <c r="AB1420" s="54">
        <f>STOCK[[#This Row],[Stock Actual]]*STOCK[[#This Row],[Costo total]]</f>
        <v>15.07</v>
      </c>
      <c r="AC1420" s="77"/>
    </row>
    <row r="1421" s="53" customFormat="1" ht="50" customHeight="1" spans="1:29">
      <c r="A1421" s="53" t="s">
        <v>2883</v>
      </c>
      <c r="B1421" s="78"/>
      <c r="C1421" s="77" t="s">
        <v>32</v>
      </c>
      <c r="D1421" s="77" t="s">
        <v>2879</v>
      </c>
      <c r="E1421" s="79" t="s">
        <v>2880</v>
      </c>
      <c r="F1421" s="77" t="s">
        <v>42</v>
      </c>
      <c r="G1421" s="77"/>
      <c r="H1421" s="77">
        <f>STOCK[[#This Row],[Precio Final]]</f>
        <v>35</v>
      </c>
      <c r="I1421" s="82">
        <f>STOCK[[#This Row],[Precio Venta Ideal (x1.5)]]</f>
        <v>22.605</v>
      </c>
      <c r="J1421" s="80">
        <v>2</v>
      </c>
      <c r="K1421" s="80">
        <f>SUMIFS(VENTAS[Cantidad],VENTAS[Código del producto Vendido],STOCK[[#This Row],[Code]])</f>
        <v>0</v>
      </c>
      <c r="L1421" s="80">
        <f>STOCK[[#This Row],[Entradas]]-STOCK[[#This Row],[Salidas]]</f>
        <v>2</v>
      </c>
      <c r="M1421" s="77">
        <f>STOCK[[#This Row],[Precio Final]]*10%</f>
        <v>3.5</v>
      </c>
      <c r="N1421" s="77">
        <v>0</v>
      </c>
      <c r="O1421" s="77">
        <v>0</v>
      </c>
      <c r="P1421" s="77">
        <v>9.92</v>
      </c>
      <c r="Q1421" s="80">
        <v>0</v>
      </c>
      <c r="R1421" s="77">
        <v>0</v>
      </c>
      <c r="S1421" s="77">
        <v>1.65</v>
      </c>
      <c r="T1421" s="77">
        <f>STOCK[[#This Row],[Costo Unitario (USD)]]+STOCK[[#This Row],[Costo Envío (USD)]]+STOCK[[#This Row],[Comisión 10%]]</f>
        <v>15.07</v>
      </c>
      <c r="U1421" s="53">
        <f>STOCK[[#This Row],[Costo total]]*1.5</f>
        <v>22.605</v>
      </c>
      <c r="V1421" s="77">
        <v>35</v>
      </c>
      <c r="W1421" s="77">
        <f>STOCK[[#This Row],[Precio Final]]-STOCK[[#This Row],[Costo total]]</f>
        <v>19.93</v>
      </c>
      <c r="X1421" s="77">
        <f>STOCK[[#This Row],[Ganancia Unitaria]]*STOCK[[#This Row],[Salidas]]</f>
        <v>0</v>
      </c>
      <c r="Y1421" s="77"/>
      <c r="Z1421" s="77"/>
      <c r="AA1421" s="54">
        <f>STOCK[[#This Row],[Costo total]]*STOCK[[#This Row],[Entradas]]</f>
        <v>30.14</v>
      </c>
      <c r="AB1421" s="54">
        <f>STOCK[[#This Row],[Stock Actual]]*STOCK[[#This Row],[Costo total]]</f>
        <v>30.14</v>
      </c>
      <c r="AC1421" s="77"/>
    </row>
    <row r="1422" s="53" customFormat="1" ht="50" customHeight="1" spans="1:29">
      <c r="A1422" s="53" t="s">
        <v>2884</v>
      </c>
      <c r="B1422" s="78"/>
      <c r="C1422" s="77" t="s">
        <v>32</v>
      </c>
      <c r="D1422" s="77" t="s">
        <v>2629</v>
      </c>
      <c r="E1422" s="79" t="s">
        <v>2885</v>
      </c>
      <c r="F1422" s="77" t="s">
        <v>62</v>
      </c>
      <c r="G1422" s="77"/>
      <c r="H1422" s="77">
        <f>STOCK[[#This Row],[Precio Final]]</f>
        <v>35</v>
      </c>
      <c r="I1422" s="82">
        <f>STOCK[[#This Row],[Precio Venta Ideal (x1.5)]]</f>
        <v>25.695</v>
      </c>
      <c r="J1422" s="80">
        <v>1</v>
      </c>
      <c r="K1422" s="80">
        <f>SUMIFS(VENTAS[Cantidad],VENTAS[Código del producto Vendido],STOCK[[#This Row],[Code]])</f>
        <v>0</v>
      </c>
      <c r="L1422" s="80">
        <f>STOCK[[#This Row],[Entradas]]-STOCK[[#This Row],[Salidas]]</f>
        <v>1</v>
      </c>
      <c r="M1422" s="77">
        <f>STOCK[[#This Row],[Precio Final]]*10%</f>
        <v>3.5</v>
      </c>
      <c r="N1422" s="77">
        <v>0</v>
      </c>
      <c r="O1422" s="77">
        <v>0</v>
      </c>
      <c r="P1422" s="77">
        <v>11.98</v>
      </c>
      <c r="Q1422" s="80">
        <v>0</v>
      </c>
      <c r="R1422" s="77">
        <v>0</v>
      </c>
      <c r="S1422" s="77">
        <v>1.65</v>
      </c>
      <c r="T1422" s="77">
        <f>STOCK[[#This Row],[Costo Unitario (USD)]]+STOCK[[#This Row],[Costo Envío (USD)]]+STOCK[[#This Row],[Comisión 10%]]</f>
        <v>17.13</v>
      </c>
      <c r="U1422" s="53">
        <f>STOCK[[#This Row],[Costo total]]*1.5</f>
        <v>25.695</v>
      </c>
      <c r="V1422" s="77">
        <v>35</v>
      </c>
      <c r="W1422" s="77">
        <f>STOCK[[#This Row],[Precio Final]]-STOCK[[#This Row],[Costo total]]</f>
        <v>17.87</v>
      </c>
      <c r="X1422" s="77">
        <f>STOCK[[#This Row],[Ganancia Unitaria]]*STOCK[[#This Row],[Salidas]]</f>
        <v>0</v>
      </c>
      <c r="Y1422" s="77"/>
      <c r="Z1422" s="77"/>
      <c r="AA1422" s="54">
        <f>STOCK[[#This Row],[Costo total]]*STOCK[[#This Row],[Entradas]]</f>
        <v>17.13</v>
      </c>
      <c r="AB1422" s="54">
        <f>STOCK[[#This Row],[Stock Actual]]*STOCK[[#This Row],[Costo total]]</f>
        <v>17.13</v>
      </c>
      <c r="AC1422" s="77"/>
    </row>
    <row r="1423" s="53" customFormat="1" ht="50" customHeight="1" spans="1:29">
      <c r="A1423" s="53" t="s">
        <v>2886</v>
      </c>
      <c r="B1423" s="78"/>
      <c r="C1423" s="77" t="s">
        <v>32</v>
      </c>
      <c r="D1423" s="77" t="s">
        <v>2629</v>
      </c>
      <c r="E1423" s="79" t="s">
        <v>2885</v>
      </c>
      <c r="F1423" s="77" t="s">
        <v>49</v>
      </c>
      <c r="G1423" s="77"/>
      <c r="H1423" s="77">
        <f>STOCK[[#This Row],[Precio Final]]</f>
        <v>35</v>
      </c>
      <c r="I1423" s="82">
        <f>STOCK[[#This Row],[Precio Venta Ideal (x1.5)]]</f>
        <v>25.695</v>
      </c>
      <c r="J1423" s="80">
        <v>1</v>
      </c>
      <c r="K1423" s="80">
        <f>SUMIFS(VENTAS[Cantidad],VENTAS[Código del producto Vendido],STOCK[[#This Row],[Code]])</f>
        <v>0</v>
      </c>
      <c r="L1423" s="80">
        <f>STOCK[[#This Row],[Entradas]]-STOCK[[#This Row],[Salidas]]</f>
        <v>1</v>
      </c>
      <c r="M1423" s="77">
        <f>STOCK[[#This Row],[Precio Final]]*10%</f>
        <v>3.5</v>
      </c>
      <c r="N1423" s="77">
        <v>0</v>
      </c>
      <c r="O1423" s="77">
        <v>0</v>
      </c>
      <c r="P1423" s="77">
        <v>11.98</v>
      </c>
      <c r="Q1423" s="80">
        <v>0</v>
      </c>
      <c r="R1423" s="77">
        <v>0</v>
      </c>
      <c r="S1423" s="77">
        <v>1.65</v>
      </c>
      <c r="T1423" s="77">
        <f>STOCK[[#This Row],[Costo Unitario (USD)]]+STOCK[[#This Row],[Costo Envío (USD)]]+STOCK[[#This Row],[Comisión 10%]]</f>
        <v>17.13</v>
      </c>
      <c r="U1423" s="53">
        <f>STOCK[[#This Row],[Costo total]]*1.5</f>
        <v>25.695</v>
      </c>
      <c r="V1423" s="77">
        <v>35</v>
      </c>
      <c r="W1423" s="77">
        <f>STOCK[[#This Row],[Precio Final]]-STOCK[[#This Row],[Costo total]]</f>
        <v>17.87</v>
      </c>
      <c r="X1423" s="77">
        <f>STOCK[[#This Row],[Ganancia Unitaria]]*STOCK[[#This Row],[Salidas]]</f>
        <v>0</v>
      </c>
      <c r="Y1423" s="77"/>
      <c r="Z1423" s="77"/>
      <c r="AA1423" s="54">
        <f>STOCK[[#This Row],[Costo total]]*STOCK[[#This Row],[Entradas]]</f>
        <v>17.13</v>
      </c>
      <c r="AB1423" s="54">
        <f>STOCK[[#This Row],[Stock Actual]]*STOCK[[#This Row],[Costo total]]</f>
        <v>17.13</v>
      </c>
      <c r="AC1423" s="77"/>
    </row>
    <row r="1424" s="53" customFormat="1" ht="50" customHeight="1" spans="1:29">
      <c r="A1424" s="53" t="s">
        <v>2887</v>
      </c>
      <c r="B1424" s="78"/>
      <c r="C1424" s="77" t="s">
        <v>32</v>
      </c>
      <c r="D1424" s="77" t="s">
        <v>2629</v>
      </c>
      <c r="E1424" s="79" t="s">
        <v>2885</v>
      </c>
      <c r="F1424" s="77" t="s">
        <v>42</v>
      </c>
      <c r="G1424" s="77"/>
      <c r="H1424" s="77">
        <f>STOCK[[#This Row],[Precio Final]]</f>
        <v>35</v>
      </c>
      <c r="I1424" s="82">
        <f>STOCK[[#This Row],[Precio Venta Ideal (x1.5)]]</f>
        <v>25.695</v>
      </c>
      <c r="J1424" s="80">
        <v>1</v>
      </c>
      <c r="K1424" s="80">
        <f>SUMIFS(VENTAS[Cantidad],VENTAS[Código del producto Vendido],STOCK[[#This Row],[Code]])</f>
        <v>0</v>
      </c>
      <c r="L1424" s="80">
        <f>STOCK[[#This Row],[Entradas]]-STOCK[[#This Row],[Salidas]]</f>
        <v>1</v>
      </c>
      <c r="M1424" s="77">
        <f>STOCK[[#This Row],[Precio Final]]*10%</f>
        <v>3.5</v>
      </c>
      <c r="N1424" s="77">
        <v>0</v>
      </c>
      <c r="O1424" s="77">
        <v>0</v>
      </c>
      <c r="P1424" s="77">
        <v>11.98</v>
      </c>
      <c r="Q1424" s="80">
        <v>0</v>
      </c>
      <c r="R1424" s="77">
        <v>0</v>
      </c>
      <c r="S1424" s="77">
        <v>1.65</v>
      </c>
      <c r="T1424" s="77">
        <f>STOCK[[#This Row],[Costo Unitario (USD)]]+STOCK[[#This Row],[Costo Envío (USD)]]+STOCK[[#This Row],[Comisión 10%]]</f>
        <v>17.13</v>
      </c>
      <c r="U1424" s="53">
        <f>STOCK[[#This Row],[Costo total]]*1.5</f>
        <v>25.695</v>
      </c>
      <c r="V1424" s="77">
        <v>35</v>
      </c>
      <c r="W1424" s="77">
        <f>STOCK[[#This Row],[Precio Final]]-STOCK[[#This Row],[Costo total]]</f>
        <v>17.87</v>
      </c>
      <c r="X1424" s="77">
        <f>STOCK[[#This Row],[Ganancia Unitaria]]*STOCK[[#This Row],[Salidas]]</f>
        <v>0</v>
      </c>
      <c r="Y1424" s="77"/>
      <c r="Z1424" s="77"/>
      <c r="AA1424" s="54">
        <f>STOCK[[#This Row],[Costo total]]*STOCK[[#This Row],[Entradas]]</f>
        <v>17.13</v>
      </c>
      <c r="AB1424" s="54">
        <f>STOCK[[#This Row],[Stock Actual]]*STOCK[[#This Row],[Costo total]]</f>
        <v>17.13</v>
      </c>
      <c r="AC1424" s="77"/>
    </row>
    <row r="1425" s="53" customFormat="1" ht="50" customHeight="1" spans="1:29">
      <c r="A1425" s="53" t="s">
        <v>2888</v>
      </c>
      <c r="B1425" s="78"/>
      <c r="C1425" s="77" t="s">
        <v>32</v>
      </c>
      <c r="D1425" s="77" t="s">
        <v>2629</v>
      </c>
      <c r="E1425" s="79" t="s">
        <v>2889</v>
      </c>
      <c r="F1425" s="77" t="s">
        <v>62</v>
      </c>
      <c r="G1425" s="77"/>
      <c r="H1425" s="77">
        <f>STOCK[[#This Row],[Precio Final]]</f>
        <v>20</v>
      </c>
      <c r="I1425" s="82">
        <f>STOCK[[#This Row],[Precio Venta Ideal (x1.5)]]</f>
        <v>19.215</v>
      </c>
      <c r="J1425" s="80">
        <v>1</v>
      </c>
      <c r="K1425" s="80">
        <f>SUMIFS(VENTAS[Cantidad],VENTAS[Código del producto Vendido],STOCK[[#This Row],[Code]])</f>
        <v>0</v>
      </c>
      <c r="L1425" s="80">
        <f>STOCK[[#This Row],[Entradas]]-STOCK[[#This Row],[Salidas]]</f>
        <v>1</v>
      </c>
      <c r="M1425" s="77">
        <f>STOCK[[#This Row],[Precio Final]]*10%</f>
        <v>2</v>
      </c>
      <c r="N1425" s="77">
        <v>0</v>
      </c>
      <c r="O1425" s="77">
        <v>0</v>
      </c>
      <c r="P1425" s="77">
        <v>9.16</v>
      </c>
      <c r="Q1425" s="80">
        <v>0</v>
      </c>
      <c r="R1425" s="77">
        <v>0</v>
      </c>
      <c r="S1425" s="77">
        <v>1.65</v>
      </c>
      <c r="T1425" s="77">
        <f>STOCK[[#This Row],[Costo Unitario (USD)]]+STOCK[[#This Row],[Costo Envío (USD)]]+STOCK[[#This Row],[Comisión 10%]]</f>
        <v>12.81</v>
      </c>
      <c r="U1425" s="53">
        <f>STOCK[[#This Row],[Costo total]]*1.5</f>
        <v>19.215</v>
      </c>
      <c r="V1425" s="77">
        <v>20</v>
      </c>
      <c r="W1425" s="77">
        <f>STOCK[[#This Row],[Precio Final]]-STOCK[[#This Row],[Costo total]]</f>
        <v>7.19</v>
      </c>
      <c r="X1425" s="77">
        <f>STOCK[[#This Row],[Ganancia Unitaria]]*STOCK[[#This Row],[Salidas]]</f>
        <v>0</v>
      </c>
      <c r="Y1425" s="77"/>
      <c r="Z1425" s="77"/>
      <c r="AA1425" s="54">
        <f>STOCK[[#This Row],[Costo total]]*STOCK[[#This Row],[Entradas]]</f>
        <v>12.81</v>
      </c>
      <c r="AB1425" s="54">
        <f>STOCK[[#This Row],[Stock Actual]]*STOCK[[#This Row],[Costo total]]</f>
        <v>12.81</v>
      </c>
      <c r="AC1425" s="77"/>
    </row>
    <row r="1426" s="53" customFormat="1" ht="50" customHeight="1" spans="1:29">
      <c r="A1426" s="53" t="s">
        <v>2890</v>
      </c>
      <c r="B1426" s="78"/>
      <c r="C1426" s="77" t="s">
        <v>32</v>
      </c>
      <c r="D1426" s="77" t="s">
        <v>2629</v>
      </c>
      <c r="E1426" s="79" t="s">
        <v>2889</v>
      </c>
      <c r="F1426" s="77" t="s">
        <v>49</v>
      </c>
      <c r="G1426" s="77"/>
      <c r="H1426" s="77">
        <f>STOCK[[#This Row],[Precio Final]]</f>
        <v>20</v>
      </c>
      <c r="I1426" s="82">
        <f>STOCK[[#This Row],[Precio Venta Ideal (x1.5)]]</f>
        <v>19.215</v>
      </c>
      <c r="J1426" s="80">
        <v>1</v>
      </c>
      <c r="K1426" s="80">
        <f>SUMIFS(VENTAS[Cantidad],VENTAS[Código del producto Vendido],STOCK[[#This Row],[Code]])</f>
        <v>0</v>
      </c>
      <c r="L1426" s="80">
        <f>STOCK[[#This Row],[Entradas]]-STOCK[[#This Row],[Salidas]]</f>
        <v>1</v>
      </c>
      <c r="M1426" s="77">
        <f>STOCK[[#This Row],[Precio Final]]*10%</f>
        <v>2</v>
      </c>
      <c r="N1426" s="77">
        <v>0</v>
      </c>
      <c r="O1426" s="77">
        <v>0</v>
      </c>
      <c r="P1426" s="77">
        <v>9.16</v>
      </c>
      <c r="Q1426" s="80">
        <v>0</v>
      </c>
      <c r="R1426" s="77">
        <v>0</v>
      </c>
      <c r="S1426" s="77">
        <v>1.65</v>
      </c>
      <c r="T1426" s="77">
        <f>STOCK[[#This Row],[Costo Unitario (USD)]]+STOCK[[#This Row],[Costo Envío (USD)]]+STOCK[[#This Row],[Comisión 10%]]</f>
        <v>12.81</v>
      </c>
      <c r="U1426" s="53">
        <f>STOCK[[#This Row],[Costo total]]*1.5</f>
        <v>19.215</v>
      </c>
      <c r="V1426" s="77">
        <v>20</v>
      </c>
      <c r="W1426" s="77">
        <f>STOCK[[#This Row],[Precio Final]]-STOCK[[#This Row],[Costo total]]</f>
        <v>7.19</v>
      </c>
      <c r="X1426" s="77">
        <f>STOCK[[#This Row],[Ganancia Unitaria]]*STOCK[[#This Row],[Salidas]]</f>
        <v>0</v>
      </c>
      <c r="Y1426" s="77"/>
      <c r="Z1426" s="77"/>
      <c r="AA1426" s="54">
        <f>STOCK[[#This Row],[Costo total]]*STOCK[[#This Row],[Entradas]]</f>
        <v>12.81</v>
      </c>
      <c r="AB1426" s="54">
        <f>STOCK[[#This Row],[Stock Actual]]*STOCK[[#This Row],[Costo total]]</f>
        <v>12.81</v>
      </c>
      <c r="AC1426" s="77"/>
    </row>
    <row r="1427" s="53" customFormat="1" ht="50" customHeight="1" spans="1:29">
      <c r="A1427" s="53" t="s">
        <v>2891</v>
      </c>
      <c r="B1427" s="78"/>
      <c r="C1427" s="77" t="s">
        <v>32</v>
      </c>
      <c r="D1427" s="77" t="s">
        <v>2629</v>
      </c>
      <c r="E1427" s="79" t="s">
        <v>2892</v>
      </c>
      <c r="F1427" s="77" t="s">
        <v>40</v>
      </c>
      <c r="G1427" s="77"/>
      <c r="H1427" s="77">
        <f>STOCK[[#This Row],[Precio Final]]</f>
        <v>20</v>
      </c>
      <c r="I1427" s="82">
        <f>STOCK[[#This Row],[Precio Venta Ideal (x1.5)]]</f>
        <v>16.905</v>
      </c>
      <c r="J1427" s="80">
        <v>1</v>
      </c>
      <c r="K1427" s="80">
        <f>SUMIFS(VENTAS[Cantidad],VENTAS[Código del producto Vendido],STOCK[[#This Row],[Code]])</f>
        <v>0</v>
      </c>
      <c r="L1427" s="80">
        <f>STOCK[[#This Row],[Entradas]]-STOCK[[#This Row],[Salidas]]</f>
        <v>1</v>
      </c>
      <c r="M1427" s="77">
        <f>STOCK[[#This Row],[Precio Final]]*10%</f>
        <v>2</v>
      </c>
      <c r="N1427" s="77">
        <v>0</v>
      </c>
      <c r="O1427" s="77">
        <v>0</v>
      </c>
      <c r="P1427" s="77">
        <v>7.62</v>
      </c>
      <c r="Q1427" s="80">
        <v>0</v>
      </c>
      <c r="R1427" s="77">
        <v>0</v>
      </c>
      <c r="S1427" s="77">
        <v>1.65</v>
      </c>
      <c r="T1427" s="77">
        <f>STOCK[[#This Row],[Costo Unitario (USD)]]+STOCK[[#This Row],[Costo Envío (USD)]]+STOCK[[#This Row],[Comisión 10%]]</f>
        <v>11.27</v>
      </c>
      <c r="U1427" s="53">
        <f>STOCK[[#This Row],[Costo total]]*1.5</f>
        <v>16.905</v>
      </c>
      <c r="V1427" s="77">
        <v>20</v>
      </c>
      <c r="W1427" s="77">
        <f>STOCK[[#This Row],[Precio Final]]-STOCK[[#This Row],[Costo total]]</f>
        <v>8.73</v>
      </c>
      <c r="X1427" s="77">
        <f>STOCK[[#This Row],[Ganancia Unitaria]]*STOCK[[#This Row],[Salidas]]</f>
        <v>0</v>
      </c>
      <c r="Y1427" s="77"/>
      <c r="Z1427" s="77"/>
      <c r="AA1427" s="54">
        <f>STOCK[[#This Row],[Costo total]]*STOCK[[#This Row],[Entradas]]</f>
        <v>11.27</v>
      </c>
      <c r="AB1427" s="54">
        <f>STOCK[[#This Row],[Stock Actual]]*STOCK[[#This Row],[Costo total]]</f>
        <v>11.27</v>
      </c>
      <c r="AC1427" s="77"/>
    </row>
    <row r="1428" s="53" customFormat="1" ht="50" customHeight="1" spans="1:29">
      <c r="A1428" s="53" t="s">
        <v>2893</v>
      </c>
      <c r="B1428" s="78"/>
      <c r="C1428" s="77" t="s">
        <v>32</v>
      </c>
      <c r="D1428" s="77" t="s">
        <v>2629</v>
      </c>
      <c r="E1428" s="79" t="s">
        <v>2892</v>
      </c>
      <c r="F1428" s="77" t="s">
        <v>62</v>
      </c>
      <c r="G1428" s="77"/>
      <c r="H1428" s="77">
        <f>STOCK[[#This Row],[Precio Final]]</f>
        <v>20</v>
      </c>
      <c r="I1428" s="82">
        <f>STOCK[[#This Row],[Precio Venta Ideal (x1.5)]]</f>
        <v>16.905</v>
      </c>
      <c r="J1428" s="80">
        <v>1</v>
      </c>
      <c r="K1428" s="80">
        <f>SUMIFS(VENTAS[Cantidad],VENTAS[Código del producto Vendido],STOCK[[#This Row],[Code]])</f>
        <v>0</v>
      </c>
      <c r="L1428" s="80">
        <f>STOCK[[#This Row],[Entradas]]-STOCK[[#This Row],[Salidas]]</f>
        <v>1</v>
      </c>
      <c r="M1428" s="77">
        <f>STOCK[[#This Row],[Precio Final]]*10%</f>
        <v>2</v>
      </c>
      <c r="N1428" s="77">
        <v>0</v>
      </c>
      <c r="O1428" s="77">
        <v>0</v>
      </c>
      <c r="P1428" s="77">
        <v>7.62</v>
      </c>
      <c r="Q1428" s="80">
        <v>0</v>
      </c>
      <c r="R1428" s="77">
        <v>0</v>
      </c>
      <c r="S1428" s="77">
        <v>1.65</v>
      </c>
      <c r="T1428" s="77">
        <f>STOCK[[#This Row],[Costo Unitario (USD)]]+STOCK[[#This Row],[Costo Envío (USD)]]+STOCK[[#This Row],[Comisión 10%]]</f>
        <v>11.27</v>
      </c>
      <c r="U1428" s="53">
        <f>STOCK[[#This Row],[Costo total]]*1.5</f>
        <v>16.905</v>
      </c>
      <c r="V1428" s="77">
        <v>20</v>
      </c>
      <c r="W1428" s="77">
        <f>STOCK[[#This Row],[Precio Final]]-STOCK[[#This Row],[Costo total]]</f>
        <v>8.73</v>
      </c>
      <c r="X1428" s="77">
        <f>STOCK[[#This Row],[Ganancia Unitaria]]*STOCK[[#This Row],[Salidas]]</f>
        <v>0</v>
      </c>
      <c r="Y1428" s="77"/>
      <c r="Z1428" s="77"/>
      <c r="AA1428" s="54">
        <f>STOCK[[#This Row],[Costo total]]*STOCK[[#This Row],[Entradas]]</f>
        <v>11.27</v>
      </c>
      <c r="AB1428" s="54">
        <f>STOCK[[#This Row],[Stock Actual]]*STOCK[[#This Row],[Costo total]]</f>
        <v>11.27</v>
      </c>
      <c r="AC1428" s="77"/>
    </row>
    <row r="1429" s="53" customFormat="1" ht="50" customHeight="1" spans="1:29">
      <c r="A1429" s="53" t="s">
        <v>2894</v>
      </c>
      <c r="B1429" s="78"/>
      <c r="C1429" s="77" t="s">
        <v>32</v>
      </c>
      <c r="D1429" s="77" t="s">
        <v>2629</v>
      </c>
      <c r="E1429" s="79" t="s">
        <v>2892</v>
      </c>
      <c r="F1429" s="77" t="s">
        <v>49</v>
      </c>
      <c r="G1429" s="77"/>
      <c r="H1429" s="77">
        <f>STOCK[[#This Row],[Precio Final]]</f>
        <v>20</v>
      </c>
      <c r="I1429" s="82">
        <f>STOCK[[#This Row],[Precio Venta Ideal (x1.5)]]</f>
        <v>16.905</v>
      </c>
      <c r="J1429" s="80">
        <v>1</v>
      </c>
      <c r="K1429" s="80">
        <f>SUMIFS(VENTAS[Cantidad],VENTAS[Código del producto Vendido],STOCK[[#This Row],[Code]])</f>
        <v>0</v>
      </c>
      <c r="L1429" s="80">
        <f>STOCK[[#This Row],[Entradas]]-STOCK[[#This Row],[Salidas]]</f>
        <v>1</v>
      </c>
      <c r="M1429" s="77">
        <f>STOCK[[#This Row],[Precio Final]]*10%</f>
        <v>2</v>
      </c>
      <c r="N1429" s="77">
        <v>0</v>
      </c>
      <c r="O1429" s="77">
        <v>0</v>
      </c>
      <c r="P1429" s="77">
        <v>7.62</v>
      </c>
      <c r="Q1429" s="80">
        <v>0</v>
      </c>
      <c r="R1429" s="77">
        <v>0</v>
      </c>
      <c r="S1429" s="77">
        <v>1.65</v>
      </c>
      <c r="T1429" s="77">
        <f>STOCK[[#This Row],[Costo Unitario (USD)]]+STOCK[[#This Row],[Costo Envío (USD)]]+STOCK[[#This Row],[Comisión 10%]]</f>
        <v>11.27</v>
      </c>
      <c r="U1429" s="53">
        <f>STOCK[[#This Row],[Costo total]]*1.5</f>
        <v>16.905</v>
      </c>
      <c r="V1429" s="77">
        <v>20</v>
      </c>
      <c r="W1429" s="77">
        <f>STOCK[[#This Row],[Precio Final]]-STOCK[[#This Row],[Costo total]]</f>
        <v>8.73</v>
      </c>
      <c r="X1429" s="77">
        <f>STOCK[[#This Row],[Ganancia Unitaria]]*STOCK[[#This Row],[Salidas]]</f>
        <v>0</v>
      </c>
      <c r="Y1429" s="77"/>
      <c r="Z1429" s="77"/>
      <c r="AA1429" s="54">
        <f>STOCK[[#This Row],[Costo total]]*STOCK[[#This Row],[Entradas]]</f>
        <v>11.27</v>
      </c>
      <c r="AB1429" s="54">
        <f>STOCK[[#This Row],[Stock Actual]]*STOCK[[#This Row],[Costo total]]</f>
        <v>11.27</v>
      </c>
      <c r="AC1429" s="77"/>
    </row>
    <row r="1430" s="53" customFormat="1" ht="50" customHeight="1" spans="1:29">
      <c r="A1430" s="53" t="s">
        <v>2895</v>
      </c>
      <c r="B1430" s="78"/>
      <c r="C1430" s="77" t="s">
        <v>32</v>
      </c>
      <c r="D1430" s="77" t="s">
        <v>2629</v>
      </c>
      <c r="E1430" s="79" t="s">
        <v>2892</v>
      </c>
      <c r="F1430" s="77" t="s">
        <v>46</v>
      </c>
      <c r="G1430" s="77"/>
      <c r="H1430" s="77">
        <f>STOCK[[#This Row],[Precio Final]]</f>
        <v>20</v>
      </c>
      <c r="I1430" s="82">
        <f>STOCK[[#This Row],[Precio Venta Ideal (x1.5)]]</f>
        <v>16.905</v>
      </c>
      <c r="J1430" s="80">
        <v>1</v>
      </c>
      <c r="K1430" s="80">
        <f>SUMIFS(VENTAS[Cantidad],VENTAS[Código del producto Vendido],STOCK[[#This Row],[Code]])</f>
        <v>0</v>
      </c>
      <c r="L1430" s="80">
        <f>STOCK[[#This Row],[Entradas]]-STOCK[[#This Row],[Salidas]]</f>
        <v>1</v>
      </c>
      <c r="M1430" s="77">
        <f>STOCK[[#This Row],[Precio Final]]*10%</f>
        <v>2</v>
      </c>
      <c r="N1430" s="77">
        <v>0</v>
      </c>
      <c r="O1430" s="77">
        <v>0</v>
      </c>
      <c r="P1430" s="77">
        <v>7.62</v>
      </c>
      <c r="Q1430" s="80">
        <v>0</v>
      </c>
      <c r="R1430" s="77">
        <v>0</v>
      </c>
      <c r="S1430" s="77">
        <v>1.65</v>
      </c>
      <c r="T1430" s="77">
        <f>STOCK[[#This Row],[Costo Unitario (USD)]]+STOCK[[#This Row],[Costo Envío (USD)]]+STOCK[[#This Row],[Comisión 10%]]</f>
        <v>11.27</v>
      </c>
      <c r="U1430" s="53">
        <f>STOCK[[#This Row],[Costo total]]*1.5</f>
        <v>16.905</v>
      </c>
      <c r="V1430" s="77">
        <v>20</v>
      </c>
      <c r="W1430" s="77">
        <f>STOCK[[#This Row],[Precio Final]]-STOCK[[#This Row],[Costo total]]</f>
        <v>8.73</v>
      </c>
      <c r="X1430" s="77">
        <f>STOCK[[#This Row],[Ganancia Unitaria]]*STOCK[[#This Row],[Salidas]]</f>
        <v>0</v>
      </c>
      <c r="Y1430" s="77"/>
      <c r="Z1430" s="77"/>
      <c r="AA1430" s="54">
        <f>STOCK[[#This Row],[Costo total]]*STOCK[[#This Row],[Entradas]]</f>
        <v>11.27</v>
      </c>
      <c r="AB1430" s="54">
        <f>STOCK[[#This Row],[Stock Actual]]*STOCK[[#This Row],[Costo total]]</f>
        <v>11.27</v>
      </c>
      <c r="AC1430" s="77"/>
    </row>
    <row r="1431" s="53" customFormat="1" ht="50" customHeight="1" spans="1:29">
      <c r="A1431" s="53" t="s">
        <v>2896</v>
      </c>
      <c r="B1431" s="78"/>
      <c r="C1431" s="77" t="s">
        <v>32</v>
      </c>
      <c r="D1431" s="77" t="s">
        <v>2897</v>
      </c>
      <c r="E1431" s="79" t="s">
        <v>2898</v>
      </c>
      <c r="F1431" s="77" t="s">
        <v>40</v>
      </c>
      <c r="G1431" s="77"/>
      <c r="H1431" s="77">
        <f>STOCK[[#This Row],[Precio Final]]</f>
        <v>15</v>
      </c>
      <c r="I1431" s="82">
        <f>STOCK[[#This Row],[Precio Venta Ideal (x1.5)]]</f>
        <v>11.82</v>
      </c>
      <c r="J1431" s="80">
        <v>2</v>
      </c>
      <c r="K1431" s="80">
        <f>SUMIFS(VENTAS[Cantidad],VENTAS[Código del producto Vendido],STOCK[[#This Row],[Code]])</f>
        <v>2</v>
      </c>
      <c r="L1431" s="80">
        <f>STOCK[[#This Row],[Entradas]]-STOCK[[#This Row],[Salidas]]</f>
        <v>0</v>
      </c>
      <c r="M1431" s="77">
        <f>STOCK[[#This Row],[Precio Final]]*10%</f>
        <v>1.5</v>
      </c>
      <c r="N1431" s="77">
        <v>0</v>
      </c>
      <c r="O1431" s="77">
        <v>0</v>
      </c>
      <c r="P1431" s="77">
        <v>4.73</v>
      </c>
      <c r="Q1431" s="80">
        <v>0</v>
      </c>
      <c r="R1431" s="77">
        <v>0</v>
      </c>
      <c r="S1431" s="77">
        <v>1.65</v>
      </c>
      <c r="T1431" s="77">
        <f>STOCK[[#This Row],[Costo Unitario (USD)]]+STOCK[[#This Row],[Costo Envío (USD)]]+STOCK[[#This Row],[Comisión 10%]]</f>
        <v>7.88</v>
      </c>
      <c r="U1431" s="53">
        <f>STOCK[[#This Row],[Costo total]]*1.5</f>
        <v>11.82</v>
      </c>
      <c r="V1431" s="77">
        <v>15</v>
      </c>
      <c r="W1431" s="77">
        <f>STOCK[[#This Row],[Precio Final]]-STOCK[[#This Row],[Costo total]]</f>
        <v>7.12</v>
      </c>
      <c r="X1431" s="77">
        <f>STOCK[[#This Row],[Ganancia Unitaria]]*STOCK[[#This Row],[Salidas]]</f>
        <v>14.24</v>
      </c>
      <c r="Y1431" s="77"/>
      <c r="Z1431" s="77"/>
      <c r="AA1431" s="54">
        <f>STOCK[[#This Row],[Costo total]]*STOCK[[#This Row],[Entradas]]</f>
        <v>15.76</v>
      </c>
      <c r="AB1431" s="54">
        <f>STOCK[[#This Row],[Stock Actual]]*STOCK[[#This Row],[Costo total]]</f>
        <v>0</v>
      </c>
      <c r="AC1431" s="77"/>
    </row>
    <row r="1432" s="53" customFormat="1" ht="50" customHeight="1" spans="1:29">
      <c r="A1432" s="53" t="s">
        <v>2899</v>
      </c>
      <c r="B1432" s="78"/>
      <c r="C1432" s="77" t="s">
        <v>32</v>
      </c>
      <c r="D1432" s="77" t="s">
        <v>2897</v>
      </c>
      <c r="E1432" s="79" t="s">
        <v>2898</v>
      </c>
      <c r="F1432" s="77" t="s">
        <v>62</v>
      </c>
      <c r="G1432" s="77"/>
      <c r="H1432" s="77">
        <f>STOCK[[#This Row],[Precio Final]]</f>
        <v>15</v>
      </c>
      <c r="I1432" s="82">
        <f>STOCK[[#This Row],[Precio Venta Ideal (x1.5)]]</f>
        <v>11.82</v>
      </c>
      <c r="J1432" s="80">
        <v>3</v>
      </c>
      <c r="K1432" s="80">
        <f>SUMIFS(VENTAS[Cantidad],VENTAS[Código del producto Vendido],STOCK[[#This Row],[Code]])</f>
        <v>1</v>
      </c>
      <c r="L1432" s="80">
        <f>STOCK[[#This Row],[Entradas]]-STOCK[[#This Row],[Salidas]]</f>
        <v>2</v>
      </c>
      <c r="M1432" s="77">
        <f>STOCK[[#This Row],[Precio Final]]*10%</f>
        <v>1.5</v>
      </c>
      <c r="N1432" s="77">
        <v>0</v>
      </c>
      <c r="O1432" s="77">
        <v>0</v>
      </c>
      <c r="P1432" s="77">
        <v>4.73</v>
      </c>
      <c r="Q1432" s="80">
        <v>0</v>
      </c>
      <c r="R1432" s="77">
        <v>0</v>
      </c>
      <c r="S1432" s="77">
        <v>1.65</v>
      </c>
      <c r="T1432" s="77">
        <f>STOCK[[#This Row],[Costo Unitario (USD)]]+STOCK[[#This Row],[Costo Envío (USD)]]+STOCK[[#This Row],[Comisión 10%]]</f>
        <v>7.88</v>
      </c>
      <c r="U1432" s="53">
        <f>STOCK[[#This Row],[Costo total]]*1.5</f>
        <v>11.82</v>
      </c>
      <c r="V1432" s="77">
        <v>15</v>
      </c>
      <c r="W1432" s="77">
        <f>STOCK[[#This Row],[Precio Final]]-STOCK[[#This Row],[Costo total]]</f>
        <v>7.12</v>
      </c>
      <c r="X1432" s="77">
        <f>STOCK[[#This Row],[Ganancia Unitaria]]*STOCK[[#This Row],[Salidas]]</f>
        <v>7.12</v>
      </c>
      <c r="Y1432" s="77"/>
      <c r="Z1432" s="77"/>
      <c r="AA1432" s="54">
        <f>STOCK[[#This Row],[Costo total]]*STOCK[[#This Row],[Entradas]]</f>
        <v>23.64</v>
      </c>
      <c r="AB1432" s="54">
        <f>STOCK[[#This Row],[Stock Actual]]*STOCK[[#This Row],[Costo total]]</f>
        <v>15.76</v>
      </c>
      <c r="AC1432" s="77"/>
    </row>
    <row r="1433" s="53" customFormat="1" ht="50" customHeight="1" spans="1:29">
      <c r="A1433" s="53" t="s">
        <v>2900</v>
      </c>
      <c r="B1433" s="78"/>
      <c r="C1433" s="77" t="s">
        <v>32</v>
      </c>
      <c r="D1433" s="77" t="s">
        <v>2897</v>
      </c>
      <c r="E1433" s="79" t="s">
        <v>2898</v>
      </c>
      <c r="F1433" s="77" t="s">
        <v>49</v>
      </c>
      <c r="G1433" s="77"/>
      <c r="H1433" s="77">
        <f>STOCK[[#This Row],[Precio Final]]</f>
        <v>15</v>
      </c>
      <c r="I1433" s="82">
        <f>STOCK[[#This Row],[Precio Venta Ideal (x1.5)]]</f>
        <v>11.82</v>
      </c>
      <c r="J1433" s="80">
        <v>2</v>
      </c>
      <c r="K1433" s="80">
        <f>SUMIFS(VENTAS[Cantidad],VENTAS[Código del producto Vendido],STOCK[[#This Row],[Code]])</f>
        <v>1</v>
      </c>
      <c r="L1433" s="80">
        <f>STOCK[[#This Row],[Entradas]]-STOCK[[#This Row],[Salidas]]</f>
        <v>1</v>
      </c>
      <c r="M1433" s="77">
        <f>STOCK[[#This Row],[Precio Final]]*10%</f>
        <v>1.5</v>
      </c>
      <c r="N1433" s="77">
        <v>0</v>
      </c>
      <c r="O1433" s="77">
        <v>0</v>
      </c>
      <c r="P1433" s="77">
        <v>4.73</v>
      </c>
      <c r="Q1433" s="80">
        <v>0</v>
      </c>
      <c r="R1433" s="77">
        <v>0</v>
      </c>
      <c r="S1433" s="77">
        <v>1.65</v>
      </c>
      <c r="T1433" s="77">
        <f>STOCK[[#This Row],[Costo Unitario (USD)]]+STOCK[[#This Row],[Costo Envío (USD)]]+STOCK[[#This Row],[Comisión 10%]]</f>
        <v>7.88</v>
      </c>
      <c r="U1433" s="53">
        <f>STOCK[[#This Row],[Costo total]]*1.5</f>
        <v>11.82</v>
      </c>
      <c r="V1433" s="77">
        <v>15</v>
      </c>
      <c r="W1433" s="77">
        <f>STOCK[[#This Row],[Precio Final]]-STOCK[[#This Row],[Costo total]]</f>
        <v>7.12</v>
      </c>
      <c r="X1433" s="77">
        <f>STOCK[[#This Row],[Ganancia Unitaria]]*STOCK[[#This Row],[Salidas]]</f>
        <v>7.12</v>
      </c>
      <c r="Y1433" s="77"/>
      <c r="Z1433" s="77"/>
      <c r="AA1433" s="54">
        <f>STOCK[[#This Row],[Costo total]]*STOCK[[#This Row],[Entradas]]</f>
        <v>15.76</v>
      </c>
      <c r="AB1433" s="54">
        <f>STOCK[[#This Row],[Stock Actual]]*STOCK[[#This Row],[Costo total]]</f>
        <v>7.88</v>
      </c>
      <c r="AC1433" s="77"/>
    </row>
    <row r="1434" s="53" customFormat="1" ht="50" customHeight="1" spans="1:29">
      <c r="A1434" s="53" t="s">
        <v>2901</v>
      </c>
      <c r="B1434" s="78"/>
      <c r="C1434" s="77" t="s">
        <v>32</v>
      </c>
      <c r="D1434" s="77" t="s">
        <v>2897</v>
      </c>
      <c r="E1434" s="79" t="s">
        <v>2898</v>
      </c>
      <c r="F1434" s="77" t="s">
        <v>46</v>
      </c>
      <c r="G1434" s="77"/>
      <c r="H1434" s="77">
        <f>STOCK[[#This Row],[Precio Final]]</f>
        <v>15</v>
      </c>
      <c r="I1434" s="82">
        <f>STOCK[[#This Row],[Precio Venta Ideal (x1.5)]]</f>
        <v>11.82</v>
      </c>
      <c r="J1434" s="80">
        <v>2</v>
      </c>
      <c r="K1434" s="80">
        <f>SUMIFS(VENTAS[Cantidad],VENTAS[Código del producto Vendido],STOCK[[#This Row],[Code]])</f>
        <v>1</v>
      </c>
      <c r="L1434" s="80">
        <f>STOCK[[#This Row],[Entradas]]-STOCK[[#This Row],[Salidas]]</f>
        <v>1</v>
      </c>
      <c r="M1434" s="77">
        <f>STOCK[[#This Row],[Precio Final]]*10%</f>
        <v>1.5</v>
      </c>
      <c r="N1434" s="77">
        <v>0</v>
      </c>
      <c r="O1434" s="77">
        <v>0</v>
      </c>
      <c r="P1434" s="77">
        <v>4.73</v>
      </c>
      <c r="Q1434" s="80">
        <v>0</v>
      </c>
      <c r="R1434" s="77">
        <v>0</v>
      </c>
      <c r="S1434" s="77">
        <v>1.65</v>
      </c>
      <c r="T1434" s="77">
        <f>STOCK[[#This Row],[Costo Unitario (USD)]]+STOCK[[#This Row],[Costo Envío (USD)]]+STOCK[[#This Row],[Comisión 10%]]</f>
        <v>7.88</v>
      </c>
      <c r="U1434" s="53">
        <f>STOCK[[#This Row],[Costo total]]*1.5</f>
        <v>11.82</v>
      </c>
      <c r="V1434" s="77">
        <v>15</v>
      </c>
      <c r="W1434" s="77">
        <f>STOCK[[#This Row],[Precio Final]]-STOCK[[#This Row],[Costo total]]</f>
        <v>7.12</v>
      </c>
      <c r="X1434" s="77">
        <f>STOCK[[#This Row],[Ganancia Unitaria]]*STOCK[[#This Row],[Salidas]]</f>
        <v>7.12</v>
      </c>
      <c r="Y1434" s="77"/>
      <c r="Z1434" s="77"/>
      <c r="AA1434" s="54">
        <f>STOCK[[#This Row],[Costo total]]*STOCK[[#This Row],[Entradas]]</f>
        <v>15.76</v>
      </c>
      <c r="AB1434" s="54">
        <f>STOCK[[#This Row],[Stock Actual]]*STOCK[[#This Row],[Costo total]]</f>
        <v>7.88</v>
      </c>
      <c r="AC1434" s="77"/>
    </row>
    <row r="1435" s="53" customFormat="1" ht="50" customHeight="1" spans="1:29">
      <c r="A1435" s="53" t="s">
        <v>2902</v>
      </c>
      <c r="B1435" s="78"/>
      <c r="C1435" s="77" t="s">
        <v>32</v>
      </c>
      <c r="D1435" s="77" t="s">
        <v>2897</v>
      </c>
      <c r="E1435" s="79" t="s">
        <v>2903</v>
      </c>
      <c r="F1435" s="77" t="s">
        <v>40</v>
      </c>
      <c r="G1435" s="77"/>
      <c r="H1435" s="77">
        <f>STOCK[[#This Row],[Precio Final]]</f>
        <v>15</v>
      </c>
      <c r="I1435" s="82">
        <f>STOCK[[#This Row],[Precio Venta Ideal (x1.5)]]</f>
        <v>14.46</v>
      </c>
      <c r="J1435" s="80">
        <v>2</v>
      </c>
      <c r="K1435" s="80">
        <f>SUMIFS(VENTAS[Cantidad],VENTAS[Código del producto Vendido],STOCK[[#This Row],[Code]])</f>
        <v>1</v>
      </c>
      <c r="L1435" s="80">
        <f>STOCK[[#This Row],[Entradas]]-STOCK[[#This Row],[Salidas]]</f>
        <v>1</v>
      </c>
      <c r="M1435" s="77">
        <f>STOCK[[#This Row],[Precio Final]]*10%</f>
        <v>1.5</v>
      </c>
      <c r="N1435" s="77">
        <v>0</v>
      </c>
      <c r="O1435" s="77">
        <v>0</v>
      </c>
      <c r="P1435" s="77">
        <v>6.49</v>
      </c>
      <c r="Q1435" s="80">
        <v>0</v>
      </c>
      <c r="R1435" s="77">
        <v>0</v>
      </c>
      <c r="S1435" s="77">
        <v>1.65</v>
      </c>
      <c r="T1435" s="77">
        <f>STOCK[[#This Row],[Costo Unitario (USD)]]+STOCK[[#This Row],[Costo Envío (USD)]]+STOCK[[#This Row],[Comisión 10%]]</f>
        <v>9.64</v>
      </c>
      <c r="U1435" s="53">
        <f>STOCK[[#This Row],[Costo total]]*1.5</f>
        <v>14.46</v>
      </c>
      <c r="V1435" s="83">
        <v>15</v>
      </c>
      <c r="W1435" s="77">
        <f>STOCK[[#This Row],[Precio Final]]-STOCK[[#This Row],[Costo total]]</f>
        <v>5.36</v>
      </c>
      <c r="X1435" s="77">
        <f>STOCK[[#This Row],[Ganancia Unitaria]]*STOCK[[#This Row],[Salidas]]</f>
        <v>5.36</v>
      </c>
      <c r="Y1435" s="77"/>
      <c r="Z1435" s="77"/>
      <c r="AA1435" s="54">
        <f>STOCK[[#This Row],[Costo total]]*STOCK[[#This Row],[Entradas]]</f>
        <v>19.28</v>
      </c>
      <c r="AB1435" s="54">
        <f>STOCK[[#This Row],[Stock Actual]]*STOCK[[#This Row],[Costo total]]</f>
        <v>9.64</v>
      </c>
      <c r="AC1435" s="77"/>
    </row>
    <row r="1436" s="53" customFormat="1" ht="50" customHeight="1" spans="1:29">
      <c r="A1436" s="53" t="s">
        <v>2904</v>
      </c>
      <c r="B1436" s="78"/>
      <c r="C1436" s="77" t="s">
        <v>32</v>
      </c>
      <c r="D1436" s="77" t="s">
        <v>2897</v>
      </c>
      <c r="E1436" s="79" t="s">
        <v>2903</v>
      </c>
      <c r="F1436" s="77" t="s">
        <v>62</v>
      </c>
      <c r="G1436" s="77"/>
      <c r="H1436" s="77">
        <f>STOCK[[#This Row],[Precio Final]]</f>
        <v>15</v>
      </c>
      <c r="I1436" s="82">
        <f>STOCK[[#This Row],[Precio Venta Ideal (x1.5)]]</f>
        <v>14.475</v>
      </c>
      <c r="J1436" s="80">
        <v>2</v>
      </c>
      <c r="K1436" s="80">
        <f>SUMIFS(VENTAS[Cantidad],VENTAS[Código del producto Vendido],STOCK[[#This Row],[Code]])</f>
        <v>1</v>
      </c>
      <c r="L1436" s="80">
        <f>STOCK[[#This Row],[Entradas]]-STOCK[[#This Row],[Salidas]]</f>
        <v>1</v>
      </c>
      <c r="M1436" s="77">
        <f>STOCK[[#This Row],[Precio Final]]*10%</f>
        <v>1.5</v>
      </c>
      <c r="N1436" s="77">
        <v>0</v>
      </c>
      <c r="O1436" s="77">
        <v>0</v>
      </c>
      <c r="P1436" s="77">
        <v>6.5</v>
      </c>
      <c r="Q1436" s="80">
        <v>0</v>
      </c>
      <c r="R1436" s="77">
        <v>0</v>
      </c>
      <c r="S1436" s="77">
        <v>1.65</v>
      </c>
      <c r="T1436" s="77">
        <f>STOCK[[#This Row],[Costo Unitario (USD)]]+STOCK[[#This Row],[Costo Envío (USD)]]+STOCK[[#This Row],[Comisión 10%]]</f>
        <v>9.65</v>
      </c>
      <c r="U1436" s="53">
        <f>STOCK[[#This Row],[Costo total]]*1.5</f>
        <v>14.475</v>
      </c>
      <c r="V1436" s="77">
        <v>15</v>
      </c>
      <c r="W1436" s="77">
        <f>STOCK[[#This Row],[Precio Final]]-STOCK[[#This Row],[Costo total]]</f>
        <v>5.35</v>
      </c>
      <c r="X1436" s="77">
        <f>STOCK[[#This Row],[Ganancia Unitaria]]*STOCK[[#This Row],[Salidas]]</f>
        <v>5.35</v>
      </c>
      <c r="Y1436" s="77"/>
      <c r="Z1436" s="77"/>
      <c r="AA1436" s="54">
        <f>STOCK[[#This Row],[Costo total]]*STOCK[[#This Row],[Entradas]]</f>
        <v>19.3</v>
      </c>
      <c r="AB1436" s="54">
        <f>STOCK[[#This Row],[Stock Actual]]*STOCK[[#This Row],[Costo total]]</f>
        <v>9.65</v>
      </c>
      <c r="AC1436" s="77"/>
    </row>
    <row r="1437" s="53" customFormat="1" ht="50" customHeight="1" spans="1:29">
      <c r="A1437" s="53" t="s">
        <v>2905</v>
      </c>
      <c r="B1437" s="78"/>
      <c r="C1437" s="77" t="s">
        <v>32</v>
      </c>
      <c r="D1437" s="77" t="s">
        <v>2897</v>
      </c>
      <c r="E1437" s="79" t="s">
        <v>2903</v>
      </c>
      <c r="F1437" s="77" t="s">
        <v>49</v>
      </c>
      <c r="G1437" s="77"/>
      <c r="H1437" s="77">
        <f>STOCK[[#This Row],[Precio Final]]</f>
        <v>15</v>
      </c>
      <c r="I1437" s="82">
        <f>STOCK[[#This Row],[Precio Venta Ideal (x1.5)]]</f>
        <v>14.46</v>
      </c>
      <c r="J1437" s="80">
        <v>2</v>
      </c>
      <c r="K1437" s="80">
        <f>SUMIFS(VENTAS[Cantidad],VENTAS[Código del producto Vendido],STOCK[[#This Row],[Code]])</f>
        <v>2</v>
      </c>
      <c r="L1437" s="80">
        <f>STOCK[[#This Row],[Entradas]]-STOCK[[#This Row],[Salidas]]</f>
        <v>0</v>
      </c>
      <c r="M1437" s="77">
        <f>STOCK[[#This Row],[Precio Final]]*10%</f>
        <v>1.5</v>
      </c>
      <c r="N1437" s="77">
        <v>0</v>
      </c>
      <c r="O1437" s="77">
        <v>0</v>
      </c>
      <c r="P1437" s="77">
        <v>6.49</v>
      </c>
      <c r="Q1437" s="80">
        <v>0</v>
      </c>
      <c r="R1437" s="77">
        <v>0</v>
      </c>
      <c r="S1437" s="77">
        <v>1.65</v>
      </c>
      <c r="T1437" s="77">
        <f>STOCK[[#This Row],[Costo Unitario (USD)]]+STOCK[[#This Row],[Costo Envío (USD)]]+STOCK[[#This Row],[Comisión 10%]]</f>
        <v>9.64</v>
      </c>
      <c r="U1437" s="53">
        <f>STOCK[[#This Row],[Costo total]]*1.5</f>
        <v>14.46</v>
      </c>
      <c r="V1437" s="77">
        <v>15</v>
      </c>
      <c r="W1437" s="77">
        <f>STOCK[[#This Row],[Precio Final]]-STOCK[[#This Row],[Costo total]]</f>
        <v>5.36</v>
      </c>
      <c r="X1437" s="77">
        <f>STOCK[[#This Row],[Ganancia Unitaria]]*STOCK[[#This Row],[Salidas]]</f>
        <v>10.72</v>
      </c>
      <c r="Y1437" s="77"/>
      <c r="Z1437" s="77"/>
      <c r="AA1437" s="54">
        <f>STOCK[[#This Row],[Costo total]]*STOCK[[#This Row],[Entradas]]</f>
        <v>19.28</v>
      </c>
      <c r="AB1437" s="54">
        <f>STOCK[[#This Row],[Stock Actual]]*STOCK[[#This Row],[Costo total]]</f>
        <v>0</v>
      </c>
      <c r="AC1437" s="77"/>
    </row>
    <row r="1438" s="53" customFormat="1" ht="50" customHeight="1" spans="1:29">
      <c r="A1438" s="53" t="s">
        <v>2906</v>
      </c>
      <c r="B1438" s="78"/>
      <c r="C1438" s="77" t="s">
        <v>32</v>
      </c>
      <c r="D1438" s="77" t="s">
        <v>2897</v>
      </c>
      <c r="E1438" s="79" t="s">
        <v>2903</v>
      </c>
      <c r="F1438" s="77" t="s">
        <v>46</v>
      </c>
      <c r="G1438" s="77"/>
      <c r="H1438" s="77">
        <f>STOCK[[#This Row],[Precio Final]]</f>
        <v>15</v>
      </c>
      <c r="I1438" s="82">
        <f>STOCK[[#This Row],[Precio Venta Ideal (x1.5)]]</f>
        <v>14.475</v>
      </c>
      <c r="J1438" s="80">
        <v>2</v>
      </c>
      <c r="K1438" s="80">
        <f>SUMIFS(VENTAS[Cantidad],VENTAS[Código del producto Vendido],STOCK[[#This Row],[Code]])</f>
        <v>2</v>
      </c>
      <c r="L1438" s="80">
        <f>STOCK[[#This Row],[Entradas]]-STOCK[[#This Row],[Salidas]]</f>
        <v>0</v>
      </c>
      <c r="M1438" s="77">
        <f>STOCK[[#This Row],[Precio Final]]*10%</f>
        <v>1.5</v>
      </c>
      <c r="N1438" s="77">
        <v>0</v>
      </c>
      <c r="O1438" s="77">
        <v>0</v>
      </c>
      <c r="P1438" s="77">
        <v>6.5</v>
      </c>
      <c r="Q1438" s="80">
        <v>0</v>
      </c>
      <c r="R1438" s="77">
        <v>0</v>
      </c>
      <c r="S1438" s="77">
        <v>1.65</v>
      </c>
      <c r="T1438" s="77">
        <f>STOCK[[#This Row],[Costo Unitario (USD)]]+STOCK[[#This Row],[Costo Envío (USD)]]+STOCK[[#This Row],[Comisión 10%]]</f>
        <v>9.65</v>
      </c>
      <c r="U1438" s="53">
        <f>STOCK[[#This Row],[Costo total]]*1.5</f>
        <v>14.475</v>
      </c>
      <c r="V1438" s="77">
        <v>15</v>
      </c>
      <c r="W1438" s="77">
        <f>STOCK[[#This Row],[Precio Final]]-STOCK[[#This Row],[Costo total]]</f>
        <v>5.35</v>
      </c>
      <c r="X1438" s="77">
        <f>STOCK[[#This Row],[Ganancia Unitaria]]*STOCK[[#This Row],[Salidas]]</f>
        <v>10.7</v>
      </c>
      <c r="Y1438" s="77"/>
      <c r="Z1438" s="77"/>
      <c r="AA1438" s="54">
        <f>STOCK[[#This Row],[Costo total]]*STOCK[[#This Row],[Entradas]]</f>
        <v>19.3</v>
      </c>
      <c r="AB1438" s="54">
        <f>STOCK[[#This Row],[Stock Actual]]*STOCK[[#This Row],[Costo total]]</f>
        <v>0</v>
      </c>
      <c r="AC1438" s="77"/>
    </row>
    <row r="1439" s="53" customFormat="1" ht="50" customHeight="1" spans="1:29">
      <c r="A1439" s="53" t="s">
        <v>2907</v>
      </c>
      <c r="B1439" s="78"/>
      <c r="C1439" s="77" t="s">
        <v>32</v>
      </c>
      <c r="D1439" s="77" t="s">
        <v>2897</v>
      </c>
      <c r="E1439" s="79" t="s">
        <v>2908</v>
      </c>
      <c r="F1439" s="77" t="s">
        <v>42</v>
      </c>
      <c r="G1439" s="77"/>
      <c r="H1439" s="77">
        <f>STOCK[[#This Row],[Precio Final]]</f>
        <v>15</v>
      </c>
      <c r="I1439" s="82">
        <f>STOCK[[#This Row],[Precio Venta Ideal (x1.5)]]</f>
        <v>11.31</v>
      </c>
      <c r="J1439" s="80">
        <v>2</v>
      </c>
      <c r="K1439" s="80">
        <f>SUMIFS(VENTAS[Cantidad],VENTAS[Código del producto Vendido],STOCK[[#This Row],[Code]])</f>
        <v>1</v>
      </c>
      <c r="L1439" s="80">
        <f>STOCK[[#This Row],[Entradas]]-STOCK[[#This Row],[Salidas]]</f>
        <v>1</v>
      </c>
      <c r="M1439" s="77">
        <f>STOCK[[#This Row],[Precio Final]]*10%</f>
        <v>1.5</v>
      </c>
      <c r="N1439" s="77">
        <v>0</v>
      </c>
      <c r="O1439" s="77">
        <v>0</v>
      </c>
      <c r="P1439" s="77">
        <v>4.39</v>
      </c>
      <c r="Q1439" s="80">
        <v>0</v>
      </c>
      <c r="R1439" s="77">
        <v>0</v>
      </c>
      <c r="S1439" s="77">
        <v>1.65</v>
      </c>
      <c r="T1439" s="77">
        <f>STOCK[[#This Row],[Costo Unitario (USD)]]+STOCK[[#This Row],[Costo Envío (USD)]]+STOCK[[#This Row],[Comisión 10%]]</f>
        <v>7.54</v>
      </c>
      <c r="U1439" s="53">
        <f>STOCK[[#This Row],[Costo total]]*1.5</f>
        <v>11.31</v>
      </c>
      <c r="V1439" s="77">
        <v>15</v>
      </c>
      <c r="W1439" s="77">
        <f>STOCK[[#This Row],[Precio Final]]-STOCK[[#This Row],[Costo total]]</f>
        <v>7.46</v>
      </c>
      <c r="X1439" s="77">
        <f>STOCK[[#This Row],[Ganancia Unitaria]]*STOCK[[#This Row],[Salidas]]</f>
        <v>7.46</v>
      </c>
      <c r="Y1439" s="77"/>
      <c r="Z1439" s="77"/>
      <c r="AA1439" s="54">
        <f>STOCK[[#This Row],[Costo total]]*STOCK[[#This Row],[Entradas]]</f>
        <v>15.08</v>
      </c>
      <c r="AB1439" s="54">
        <f>STOCK[[#This Row],[Stock Actual]]*STOCK[[#This Row],[Costo total]]</f>
        <v>7.54</v>
      </c>
      <c r="AC1439" s="77"/>
    </row>
    <row r="1440" s="53" customFormat="1" ht="50" customHeight="1" spans="1:29">
      <c r="A1440" s="53" t="s">
        <v>2909</v>
      </c>
      <c r="B1440" s="78"/>
      <c r="C1440" s="77" t="s">
        <v>32</v>
      </c>
      <c r="D1440" s="77" t="s">
        <v>2897</v>
      </c>
      <c r="E1440" s="79" t="s">
        <v>2910</v>
      </c>
      <c r="F1440" s="77" t="s">
        <v>42</v>
      </c>
      <c r="G1440" s="77"/>
      <c r="H1440" s="77">
        <f>STOCK[[#This Row],[Precio Final]]</f>
        <v>15</v>
      </c>
      <c r="I1440" s="82">
        <f>STOCK[[#This Row],[Precio Venta Ideal (x1.5)]]</f>
        <v>12.135</v>
      </c>
      <c r="J1440" s="80">
        <v>2</v>
      </c>
      <c r="K1440" s="80">
        <f>SUMIFS(VENTAS[Cantidad],VENTAS[Código del producto Vendido],STOCK[[#This Row],[Code]])</f>
        <v>0</v>
      </c>
      <c r="L1440" s="80">
        <f>STOCK[[#This Row],[Entradas]]-STOCK[[#This Row],[Salidas]]</f>
        <v>2</v>
      </c>
      <c r="M1440" s="77">
        <f>STOCK[[#This Row],[Precio Final]]*10%</f>
        <v>1.5</v>
      </c>
      <c r="N1440" s="77">
        <v>0</v>
      </c>
      <c r="O1440" s="77">
        <v>0</v>
      </c>
      <c r="P1440" s="77">
        <v>4.94</v>
      </c>
      <c r="Q1440" s="80">
        <v>0</v>
      </c>
      <c r="R1440" s="77">
        <v>0</v>
      </c>
      <c r="S1440" s="77">
        <v>1.65</v>
      </c>
      <c r="T1440" s="77">
        <f>STOCK[[#This Row],[Costo Unitario (USD)]]+STOCK[[#This Row],[Costo Envío (USD)]]+STOCK[[#This Row],[Comisión 10%]]</f>
        <v>8.09</v>
      </c>
      <c r="U1440" s="53">
        <f>STOCK[[#This Row],[Costo total]]*1.5</f>
        <v>12.135</v>
      </c>
      <c r="V1440" s="77">
        <v>15</v>
      </c>
      <c r="W1440" s="77">
        <f>STOCK[[#This Row],[Precio Final]]-STOCK[[#This Row],[Costo total]]</f>
        <v>6.91</v>
      </c>
      <c r="X1440" s="77">
        <f>STOCK[[#This Row],[Ganancia Unitaria]]*STOCK[[#This Row],[Salidas]]</f>
        <v>0</v>
      </c>
      <c r="Y1440" s="77"/>
      <c r="Z1440" s="77"/>
      <c r="AA1440" s="54">
        <f>STOCK[[#This Row],[Costo total]]*STOCK[[#This Row],[Entradas]]</f>
        <v>16.18</v>
      </c>
      <c r="AB1440" s="54">
        <f>STOCK[[#This Row],[Stock Actual]]*STOCK[[#This Row],[Costo total]]</f>
        <v>16.18</v>
      </c>
      <c r="AC1440" s="77"/>
    </row>
    <row r="1441" s="53" customFormat="1" ht="50" customHeight="1" spans="1:29">
      <c r="A1441" s="53" t="s">
        <v>2911</v>
      </c>
      <c r="B1441" s="78"/>
      <c r="C1441" s="77" t="s">
        <v>32</v>
      </c>
      <c r="D1441" s="77" t="s">
        <v>2897</v>
      </c>
      <c r="E1441" s="79" t="s">
        <v>2912</v>
      </c>
      <c r="F1441" s="77" t="s">
        <v>42</v>
      </c>
      <c r="G1441" s="77"/>
      <c r="H1441" s="77">
        <f>STOCK[[#This Row],[Precio Final]]</f>
        <v>15</v>
      </c>
      <c r="I1441" s="82">
        <f>STOCK[[#This Row],[Precio Venta Ideal (x1.5)]]</f>
        <v>11.16</v>
      </c>
      <c r="J1441" s="80">
        <v>2</v>
      </c>
      <c r="K1441" s="80">
        <f>SUMIFS(VENTAS[Cantidad],VENTAS[Código del producto Vendido],STOCK[[#This Row],[Code]])</f>
        <v>1</v>
      </c>
      <c r="L1441" s="80">
        <f>STOCK[[#This Row],[Entradas]]-STOCK[[#This Row],[Salidas]]</f>
        <v>1</v>
      </c>
      <c r="M1441" s="77">
        <f>STOCK[[#This Row],[Precio Final]]*10%</f>
        <v>1.5</v>
      </c>
      <c r="N1441" s="77">
        <v>0</v>
      </c>
      <c r="O1441" s="77">
        <v>0</v>
      </c>
      <c r="P1441" s="77">
        <v>4.29</v>
      </c>
      <c r="Q1441" s="80">
        <v>0</v>
      </c>
      <c r="R1441" s="77">
        <v>0</v>
      </c>
      <c r="S1441" s="77">
        <v>1.65</v>
      </c>
      <c r="T1441" s="77">
        <f>STOCK[[#This Row],[Costo Unitario (USD)]]+STOCK[[#This Row],[Costo Envío (USD)]]+STOCK[[#This Row],[Comisión 10%]]</f>
        <v>7.44</v>
      </c>
      <c r="U1441" s="53">
        <f>STOCK[[#This Row],[Costo total]]*1.5</f>
        <v>11.16</v>
      </c>
      <c r="V1441" s="77">
        <v>15</v>
      </c>
      <c r="W1441" s="77">
        <f>STOCK[[#This Row],[Precio Final]]-STOCK[[#This Row],[Costo total]]</f>
        <v>7.56</v>
      </c>
      <c r="X1441" s="77">
        <f>STOCK[[#This Row],[Ganancia Unitaria]]*STOCK[[#This Row],[Salidas]]</f>
        <v>7.56</v>
      </c>
      <c r="Y1441" s="77"/>
      <c r="Z1441" s="77"/>
      <c r="AA1441" s="54">
        <f>STOCK[[#This Row],[Costo total]]*STOCK[[#This Row],[Entradas]]</f>
        <v>14.88</v>
      </c>
      <c r="AB1441" s="54">
        <f>STOCK[[#This Row],[Stock Actual]]*STOCK[[#This Row],[Costo total]]</f>
        <v>7.44</v>
      </c>
      <c r="AC1441" s="77"/>
    </row>
    <row r="1442" s="53" customFormat="1" ht="50" customHeight="1" spans="1:29">
      <c r="A1442" s="53" t="s">
        <v>2913</v>
      </c>
      <c r="B1442" s="78"/>
      <c r="C1442" s="77" t="s">
        <v>32</v>
      </c>
      <c r="D1442" s="77" t="s">
        <v>1190</v>
      </c>
      <c r="E1442" s="79" t="s">
        <v>2914</v>
      </c>
      <c r="F1442" s="77" t="s">
        <v>40</v>
      </c>
      <c r="G1442" s="77"/>
      <c r="H1442" s="77">
        <f>STOCK[[#This Row],[Precio Final]]</f>
        <v>25</v>
      </c>
      <c r="I1442" s="82">
        <f>STOCK[[#This Row],[Precio Venta Ideal (x1.5)]]</f>
        <v>21.675</v>
      </c>
      <c r="J1442" s="80">
        <v>2</v>
      </c>
      <c r="K1442" s="80">
        <f>SUMIFS(VENTAS[Cantidad],VENTAS[Código del producto Vendido],STOCK[[#This Row],[Code]])</f>
        <v>0</v>
      </c>
      <c r="L1442" s="80">
        <f>STOCK[[#This Row],[Entradas]]-STOCK[[#This Row],[Salidas]]</f>
        <v>2</v>
      </c>
      <c r="M1442" s="77">
        <f>STOCK[[#This Row],[Precio Final]]*10%</f>
        <v>2.5</v>
      </c>
      <c r="N1442" s="77">
        <v>0</v>
      </c>
      <c r="O1442" s="77">
        <v>0</v>
      </c>
      <c r="P1442" s="77">
        <v>10.3</v>
      </c>
      <c r="Q1442" s="80">
        <v>0</v>
      </c>
      <c r="R1442" s="77">
        <v>0</v>
      </c>
      <c r="S1442" s="77">
        <v>1.65</v>
      </c>
      <c r="T1442" s="77">
        <f>STOCK[[#This Row],[Costo Unitario (USD)]]+STOCK[[#This Row],[Costo Envío (USD)]]+STOCK[[#This Row],[Comisión 10%]]</f>
        <v>14.45</v>
      </c>
      <c r="U1442" s="53">
        <f>STOCK[[#This Row],[Costo total]]*1.5</f>
        <v>21.675</v>
      </c>
      <c r="V1442" s="77">
        <v>25</v>
      </c>
      <c r="W1442" s="77">
        <f>STOCK[[#This Row],[Precio Final]]-STOCK[[#This Row],[Costo total]]</f>
        <v>10.55</v>
      </c>
      <c r="X1442" s="77">
        <f>STOCK[[#This Row],[Ganancia Unitaria]]*STOCK[[#This Row],[Salidas]]</f>
        <v>0</v>
      </c>
      <c r="Y1442" s="77"/>
      <c r="Z1442" s="77"/>
      <c r="AA1442" s="54">
        <f>STOCK[[#This Row],[Costo total]]*STOCK[[#This Row],[Entradas]]</f>
        <v>28.9</v>
      </c>
      <c r="AB1442" s="54">
        <f>STOCK[[#This Row],[Stock Actual]]*STOCK[[#This Row],[Costo total]]</f>
        <v>28.9</v>
      </c>
      <c r="AC1442" s="77"/>
    </row>
    <row r="1443" s="53" customFormat="1" ht="50" customHeight="1" spans="1:29">
      <c r="A1443" s="53" t="s">
        <v>2915</v>
      </c>
      <c r="B1443" s="78"/>
      <c r="C1443" s="77" t="s">
        <v>32</v>
      </c>
      <c r="D1443" s="77" t="s">
        <v>1190</v>
      </c>
      <c r="E1443" s="79" t="s">
        <v>2914</v>
      </c>
      <c r="F1443" s="77" t="s">
        <v>62</v>
      </c>
      <c r="G1443" s="77"/>
      <c r="H1443" s="77">
        <f>STOCK[[#This Row],[Precio Final]]</f>
        <v>25</v>
      </c>
      <c r="I1443" s="82">
        <f>STOCK[[#This Row],[Precio Venta Ideal (x1.5)]]</f>
        <v>21.675</v>
      </c>
      <c r="J1443" s="80">
        <v>2</v>
      </c>
      <c r="K1443" s="80">
        <f>SUMIFS(VENTAS[Cantidad],VENTAS[Código del producto Vendido],STOCK[[#This Row],[Code]])</f>
        <v>0</v>
      </c>
      <c r="L1443" s="80">
        <f>STOCK[[#This Row],[Entradas]]-STOCK[[#This Row],[Salidas]]</f>
        <v>2</v>
      </c>
      <c r="M1443" s="77">
        <f>STOCK[[#This Row],[Precio Final]]*10%</f>
        <v>2.5</v>
      </c>
      <c r="N1443" s="77">
        <v>0</v>
      </c>
      <c r="O1443" s="77">
        <v>0</v>
      </c>
      <c r="P1443" s="77">
        <v>10.3</v>
      </c>
      <c r="Q1443" s="80">
        <v>0</v>
      </c>
      <c r="R1443" s="77">
        <v>0</v>
      </c>
      <c r="S1443" s="77">
        <v>1.65</v>
      </c>
      <c r="T1443" s="77">
        <f>STOCK[[#This Row],[Costo Unitario (USD)]]+STOCK[[#This Row],[Costo Envío (USD)]]+STOCK[[#This Row],[Comisión 10%]]</f>
        <v>14.45</v>
      </c>
      <c r="U1443" s="53">
        <f>STOCK[[#This Row],[Costo total]]*1.5</f>
        <v>21.675</v>
      </c>
      <c r="V1443" s="77">
        <v>25</v>
      </c>
      <c r="W1443" s="77">
        <f>STOCK[[#This Row],[Precio Final]]-STOCK[[#This Row],[Costo total]]</f>
        <v>10.55</v>
      </c>
      <c r="X1443" s="77">
        <f>STOCK[[#This Row],[Ganancia Unitaria]]*STOCK[[#This Row],[Salidas]]</f>
        <v>0</v>
      </c>
      <c r="Y1443" s="77"/>
      <c r="Z1443" s="77"/>
      <c r="AA1443" s="54">
        <f>STOCK[[#This Row],[Costo total]]*STOCK[[#This Row],[Entradas]]</f>
        <v>28.9</v>
      </c>
      <c r="AB1443" s="54">
        <f>STOCK[[#This Row],[Stock Actual]]*STOCK[[#This Row],[Costo total]]</f>
        <v>28.9</v>
      </c>
      <c r="AC1443" s="77"/>
    </row>
    <row r="1444" s="53" customFormat="1" ht="50" customHeight="1" spans="1:29">
      <c r="A1444" s="53" t="s">
        <v>2916</v>
      </c>
      <c r="B1444" s="78"/>
      <c r="C1444" s="77" t="s">
        <v>32</v>
      </c>
      <c r="D1444" s="77" t="s">
        <v>1190</v>
      </c>
      <c r="E1444" s="79" t="s">
        <v>2914</v>
      </c>
      <c r="F1444" s="77" t="s">
        <v>49</v>
      </c>
      <c r="G1444" s="77"/>
      <c r="H1444" s="77">
        <f>STOCK[[#This Row],[Precio Final]]</f>
        <v>25</v>
      </c>
      <c r="I1444" s="82">
        <f>STOCK[[#This Row],[Precio Venta Ideal (x1.5)]]</f>
        <v>21.69</v>
      </c>
      <c r="J1444" s="80">
        <v>2</v>
      </c>
      <c r="K1444" s="80">
        <f>SUMIFS(VENTAS[Cantidad],VENTAS[Código del producto Vendido],STOCK[[#This Row],[Code]])</f>
        <v>1</v>
      </c>
      <c r="L1444" s="80">
        <f>STOCK[[#This Row],[Entradas]]-STOCK[[#This Row],[Salidas]]</f>
        <v>1</v>
      </c>
      <c r="M1444" s="77">
        <f>STOCK[[#This Row],[Precio Final]]*10%</f>
        <v>2.5</v>
      </c>
      <c r="N1444" s="77">
        <v>0</v>
      </c>
      <c r="O1444" s="77">
        <v>0</v>
      </c>
      <c r="P1444" s="77">
        <v>10.31</v>
      </c>
      <c r="Q1444" s="80">
        <v>0</v>
      </c>
      <c r="R1444" s="77">
        <v>0</v>
      </c>
      <c r="S1444" s="77">
        <v>1.65</v>
      </c>
      <c r="T1444" s="77">
        <f>STOCK[[#This Row],[Costo Unitario (USD)]]+STOCK[[#This Row],[Costo Envío (USD)]]+STOCK[[#This Row],[Comisión 10%]]</f>
        <v>14.46</v>
      </c>
      <c r="U1444" s="53">
        <f>STOCK[[#This Row],[Costo total]]*1.5</f>
        <v>21.69</v>
      </c>
      <c r="V1444" s="77">
        <v>25</v>
      </c>
      <c r="W1444" s="77">
        <f>STOCK[[#This Row],[Precio Final]]-STOCK[[#This Row],[Costo total]]</f>
        <v>10.54</v>
      </c>
      <c r="X1444" s="77">
        <f>STOCK[[#This Row],[Ganancia Unitaria]]*STOCK[[#This Row],[Salidas]]</f>
        <v>10.54</v>
      </c>
      <c r="Y1444" s="77"/>
      <c r="Z1444" s="77"/>
      <c r="AA1444" s="54">
        <f>STOCK[[#This Row],[Costo total]]*STOCK[[#This Row],[Entradas]]</f>
        <v>28.92</v>
      </c>
      <c r="AB1444" s="54">
        <f>STOCK[[#This Row],[Stock Actual]]*STOCK[[#This Row],[Costo total]]</f>
        <v>14.46</v>
      </c>
      <c r="AC1444" s="77"/>
    </row>
    <row r="1445" s="53" customFormat="1" ht="50" customHeight="1" spans="1:29">
      <c r="A1445" s="53" t="s">
        <v>2917</v>
      </c>
      <c r="B1445" s="78"/>
      <c r="C1445" s="77" t="s">
        <v>32</v>
      </c>
      <c r="D1445" s="77" t="s">
        <v>1190</v>
      </c>
      <c r="E1445" s="79" t="s">
        <v>2914</v>
      </c>
      <c r="F1445" s="77" t="s">
        <v>46</v>
      </c>
      <c r="G1445" s="77"/>
      <c r="H1445" s="77">
        <f>STOCK[[#This Row],[Precio Final]]</f>
        <v>25</v>
      </c>
      <c r="I1445" s="82">
        <f>STOCK[[#This Row],[Precio Venta Ideal (x1.5)]]</f>
        <v>21.69</v>
      </c>
      <c r="J1445" s="80">
        <v>2</v>
      </c>
      <c r="K1445" s="80">
        <f>SUMIFS(VENTAS[Cantidad],VENTAS[Código del producto Vendido],STOCK[[#This Row],[Code]])</f>
        <v>0</v>
      </c>
      <c r="L1445" s="80">
        <f>STOCK[[#This Row],[Entradas]]-STOCK[[#This Row],[Salidas]]</f>
        <v>2</v>
      </c>
      <c r="M1445" s="77">
        <f>STOCK[[#This Row],[Precio Final]]*10%</f>
        <v>2.5</v>
      </c>
      <c r="N1445" s="77">
        <v>0</v>
      </c>
      <c r="O1445" s="77">
        <v>0</v>
      </c>
      <c r="P1445" s="77">
        <v>10.31</v>
      </c>
      <c r="Q1445" s="80">
        <v>0</v>
      </c>
      <c r="R1445" s="77">
        <v>0</v>
      </c>
      <c r="S1445" s="77">
        <v>1.65</v>
      </c>
      <c r="T1445" s="77">
        <f>STOCK[[#This Row],[Costo Unitario (USD)]]+STOCK[[#This Row],[Costo Envío (USD)]]+STOCK[[#This Row],[Comisión 10%]]</f>
        <v>14.46</v>
      </c>
      <c r="U1445" s="53">
        <f>STOCK[[#This Row],[Costo total]]*1.5</f>
        <v>21.69</v>
      </c>
      <c r="V1445" s="77">
        <v>25</v>
      </c>
      <c r="W1445" s="77">
        <f>STOCK[[#This Row],[Precio Final]]-STOCK[[#This Row],[Costo total]]</f>
        <v>10.54</v>
      </c>
      <c r="X1445" s="77">
        <f>STOCK[[#This Row],[Ganancia Unitaria]]*STOCK[[#This Row],[Salidas]]</f>
        <v>0</v>
      </c>
      <c r="Y1445" s="77"/>
      <c r="Z1445" s="77"/>
      <c r="AA1445" s="54">
        <f>STOCK[[#This Row],[Costo total]]*STOCK[[#This Row],[Entradas]]</f>
        <v>28.92</v>
      </c>
      <c r="AB1445" s="54">
        <f>STOCK[[#This Row],[Stock Actual]]*STOCK[[#This Row],[Costo total]]</f>
        <v>28.92</v>
      </c>
      <c r="AC1445" s="77"/>
    </row>
    <row r="1446" s="53" customFormat="1" ht="50" customHeight="1" spans="1:29">
      <c r="A1446" s="53" t="s">
        <v>2918</v>
      </c>
      <c r="B1446" s="78"/>
      <c r="C1446" s="77" t="s">
        <v>32</v>
      </c>
      <c r="D1446" s="77" t="s">
        <v>1190</v>
      </c>
      <c r="E1446" s="79" t="s">
        <v>2919</v>
      </c>
      <c r="F1446" s="77" t="s">
        <v>40</v>
      </c>
      <c r="G1446" s="77"/>
      <c r="H1446" s="77">
        <f>STOCK[[#This Row],[Precio Final]]</f>
        <v>25</v>
      </c>
      <c r="I1446" s="82">
        <f>STOCK[[#This Row],[Precio Venta Ideal (x1.5)]]</f>
        <v>21.81</v>
      </c>
      <c r="J1446" s="80">
        <v>1</v>
      </c>
      <c r="K1446" s="80">
        <f>SUMIFS(VENTAS[Cantidad],VENTAS[Código del producto Vendido],STOCK[[#This Row],[Code]])</f>
        <v>0</v>
      </c>
      <c r="L1446" s="80">
        <f>STOCK[[#This Row],[Entradas]]-STOCK[[#This Row],[Salidas]]</f>
        <v>1</v>
      </c>
      <c r="M1446" s="77">
        <f>STOCK[[#This Row],[Precio Final]]*10%</f>
        <v>2.5</v>
      </c>
      <c r="N1446" s="77">
        <v>0</v>
      </c>
      <c r="O1446" s="77">
        <v>0</v>
      </c>
      <c r="P1446" s="77">
        <v>10.39</v>
      </c>
      <c r="Q1446" s="80">
        <v>0</v>
      </c>
      <c r="R1446" s="77">
        <v>0</v>
      </c>
      <c r="S1446" s="77">
        <v>1.65</v>
      </c>
      <c r="T1446" s="77">
        <f>STOCK[[#This Row],[Costo Unitario (USD)]]+STOCK[[#This Row],[Costo Envío (USD)]]+STOCK[[#This Row],[Comisión 10%]]</f>
        <v>14.54</v>
      </c>
      <c r="U1446" s="53">
        <f>STOCK[[#This Row],[Costo total]]*1.5</f>
        <v>21.81</v>
      </c>
      <c r="V1446" s="77">
        <v>25</v>
      </c>
      <c r="W1446" s="77">
        <f>STOCK[[#This Row],[Precio Final]]-STOCK[[#This Row],[Costo total]]</f>
        <v>10.46</v>
      </c>
      <c r="X1446" s="77">
        <f>STOCK[[#This Row],[Ganancia Unitaria]]*STOCK[[#This Row],[Salidas]]</f>
        <v>0</v>
      </c>
      <c r="Y1446" s="77"/>
      <c r="Z1446" s="77"/>
      <c r="AA1446" s="54">
        <f>STOCK[[#This Row],[Costo total]]*STOCK[[#This Row],[Entradas]]</f>
        <v>14.54</v>
      </c>
      <c r="AB1446" s="54">
        <f>STOCK[[#This Row],[Stock Actual]]*STOCK[[#This Row],[Costo total]]</f>
        <v>14.54</v>
      </c>
      <c r="AC1446" s="77"/>
    </row>
    <row r="1447" s="53" customFormat="1" ht="50" customHeight="1" spans="1:29">
      <c r="A1447" s="53" t="s">
        <v>2920</v>
      </c>
      <c r="B1447" s="78"/>
      <c r="C1447" s="77" t="s">
        <v>32</v>
      </c>
      <c r="D1447" s="77" t="s">
        <v>1190</v>
      </c>
      <c r="E1447" s="79" t="s">
        <v>2919</v>
      </c>
      <c r="F1447" s="77" t="s">
        <v>62</v>
      </c>
      <c r="G1447" s="77"/>
      <c r="H1447" s="77">
        <f>STOCK[[#This Row],[Precio Final]]</f>
        <v>25</v>
      </c>
      <c r="I1447" s="82">
        <f>STOCK[[#This Row],[Precio Venta Ideal (x1.5)]]</f>
        <v>21.81</v>
      </c>
      <c r="J1447" s="80">
        <v>2</v>
      </c>
      <c r="K1447" s="80">
        <f>SUMIFS(VENTAS[Cantidad],VENTAS[Código del producto Vendido],STOCK[[#This Row],[Code]])</f>
        <v>1</v>
      </c>
      <c r="L1447" s="80">
        <f>STOCK[[#This Row],[Entradas]]-STOCK[[#This Row],[Salidas]]</f>
        <v>1</v>
      </c>
      <c r="M1447" s="77">
        <f>STOCK[[#This Row],[Precio Final]]*10%</f>
        <v>2.5</v>
      </c>
      <c r="N1447" s="77">
        <v>0</v>
      </c>
      <c r="O1447" s="77">
        <v>0</v>
      </c>
      <c r="P1447" s="77">
        <v>10.39</v>
      </c>
      <c r="Q1447" s="80">
        <v>0</v>
      </c>
      <c r="R1447" s="77">
        <v>0</v>
      </c>
      <c r="S1447" s="77">
        <v>1.65</v>
      </c>
      <c r="T1447" s="77">
        <f>STOCK[[#This Row],[Costo Unitario (USD)]]+STOCK[[#This Row],[Costo Envío (USD)]]+STOCK[[#This Row],[Comisión 10%]]</f>
        <v>14.54</v>
      </c>
      <c r="U1447" s="53">
        <f>STOCK[[#This Row],[Costo total]]*1.5</f>
        <v>21.81</v>
      </c>
      <c r="V1447" s="77">
        <v>25</v>
      </c>
      <c r="W1447" s="77">
        <f>STOCK[[#This Row],[Precio Final]]-STOCK[[#This Row],[Costo total]]</f>
        <v>10.46</v>
      </c>
      <c r="X1447" s="77">
        <f>STOCK[[#This Row],[Ganancia Unitaria]]*STOCK[[#This Row],[Salidas]]</f>
        <v>10.46</v>
      </c>
      <c r="Y1447" s="77"/>
      <c r="Z1447" s="77"/>
      <c r="AA1447" s="54">
        <f>STOCK[[#This Row],[Costo total]]*STOCK[[#This Row],[Entradas]]</f>
        <v>29.08</v>
      </c>
      <c r="AB1447" s="54">
        <f>STOCK[[#This Row],[Stock Actual]]*STOCK[[#This Row],[Costo total]]</f>
        <v>14.54</v>
      </c>
      <c r="AC1447" s="77"/>
    </row>
    <row r="1448" s="53" customFormat="1" ht="50" customHeight="1" spans="1:29">
      <c r="A1448" s="53" t="s">
        <v>2921</v>
      </c>
      <c r="B1448" s="78"/>
      <c r="C1448" s="77" t="s">
        <v>32</v>
      </c>
      <c r="D1448" s="77" t="s">
        <v>1190</v>
      </c>
      <c r="E1448" s="79" t="s">
        <v>2919</v>
      </c>
      <c r="F1448" s="77" t="s">
        <v>49</v>
      </c>
      <c r="G1448" s="77"/>
      <c r="H1448" s="77">
        <f>STOCK[[#This Row],[Precio Final]]</f>
        <v>25</v>
      </c>
      <c r="I1448" s="82">
        <f>STOCK[[#This Row],[Precio Venta Ideal (x1.5)]]</f>
        <v>21.81</v>
      </c>
      <c r="J1448" s="80">
        <v>1</v>
      </c>
      <c r="K1448" s="80">
        <f>SUMIFS(VENTAS[Cantidad],VENTAS[Código del producto Vendido],STOCK[[#This Row],[Code]])</f>
        <v>0</v>
      </c>
      <c r="L1448" s="80">
        <f>STOCK[[#This Row],[Entradas]]-STOCK[[#This Row],[Salidas]]</f>
        <v>1</v>
      </c>
      <c r="M1448" s="77">
        <f>STOCK[[#This Row],[Precio Final]]*10%</f>
        <v>2.5</v>
      </c>
      <c r="N1448" s="77">
        <v>0</v>
      </c>
      <c r="O1448" s="77">
        <v>0</v>
      </c>
      <c r="P1448" s="77">
        <v>10.39</v>
      </c>
      <c r="Q1448" s="80">
        <v>0</v>
      </c>
      <c r="R1448" s="77">
        <v>0</v>
      </c>
      <c r="S1448" s="77">
        <v>1.65</v>
      </c>
      <c r="T1448" s="77">
        <f>STOCK[[#This Row],[Costo Unitario (USD)]]+STOCK[[#This Row],[Costo Envío (USD)]]+STOCK[[#This Row],[Comisión 10%]]</f>
        <v>14.54</v>
      </c>
      <c r="U1448" s="53">
        <f>STOCK[[#This Row],[Costo total]]*1.5</f>
        <v>21.81</v>
      </c>
      <c r="V1448" s="77">
        <v>25</v>
      </c>
      <c r="W1448" s="77">
        <f>STOCK[[#This Row],[Precio Final]]-STOCK[[#This Row],[Costo total]]</f>
        <v>10.46</v>
      </c>
      <c r="X1448" s="77">
        <f>STOCK[[#This Row],[Ganancia Unitaria]]*STOCK[[#This Row],[Salidas]]</f>
        <v>0</v>
      </c>
      <c r="Y1448" s="77"/>
      <c r="Z1448" s="77"/>
      <c r="AA1448" s="54">
        <f>STOCK[[#This Row],[Costo total]]*STOCK[[#This Row],[Entradas]]</f>
        <v>14.54</v>
      </c>
      <c r="AB1448" s="54">
        <f>STOCK[[#This Row],[Stock Actual]]*STOCK[[#This Row],[Costo total]]</f>
        <v>14.54</v>
      </c>
      <c r="AC1448" s="77"/>
    </row>
    <row r="1449" s="53" customFormat="1" ht="50" customHeight="1" spans="1:29">
      <c r="A1449" s="53" t="s">
        <v>2922</v>
      </c>
      <c r="B1449" s="78"/>
      <c r="C1449" s="77" t="s">
        <v>32</v>
      </c>
      <c r="D1449" s="77" t="s">
        <v>1190</v>
      </c>
      <c r="E1449" s="79" t="s">
        <v>2919</v>
      </c>
      <c r="F1449" s="77" t="s">
        <v>46</v>
      </c>
      <c r="G1449" s="77"/>
      <c r="H1449" s="77">
        <f>STOCK[[#This Row],[Precio Final]]</f>
        <v>25</v>
      </c>
      <c r="I1449" s="82">
        <f>STOCK[[#This Row],[Precio Venta Ideal (x1.5)]]</f>
        <v>21.81</v>
      </c>
      <c r="J1449" s="80">
        <v>1</v>
      </c>
      <c r="K1449" s="80">
        <f>SUMIFS(VENTAS[Cantidad],VENTAS[Código del producto Vendido],STOCK[[#This Row],[Code]])</f>
        <v>0</v>
      </c>
      <c r="L1449" s="80">
        <f>STOCK[[#This Row],[Entradas]]-STOCK[[#This Row],[Salidas]]</f>
        <v>1</v>
      </c>
      <c r="M1449" s="77">
        <f>STOCK[[#This Row],[Precio Final]]*10%</f>
        <v>2.5</v>
      </c>
      <c r="N1449" s="77">
        <v>0</v>
      </c>
      <c r="O1449" s="77">
        <v>0</v>
      </c>
      <c r="P1449" s="77">
        <v>10.39</v>
      </c>
      <c r="Q1449" s="80">
        <v>0</v>
      </c>
      <c r="R1449" s="77">
        <v>0</v>
      </c>
      <c r="S1449" s="77">
        <v>1.65</v>
      </c>
      <c r="T1449" s="77">
        <f>STOCK[[#This Row],[Costo Unitario (USD)]]+STOCK[[#This Row],[Costo Envío (USD)]]+STOCK[[#This Row],[Comisión 10%]]</f>
        <v>14.54</v>
      </c>
      <c r="U1449" s="53">
        <f>STOCK[[#This Row],[Costo total]]*1.5</f>
        <v>21.81</v>
      </c>
      <c r="V1449" s="77">
        <v>25</v>
      </c>
      <c r="W1449" s="77">
        <f>STOCK[[#This Row],[Precio Final]]-STOCK[[#This Row],[Costo total]]</f>
        <v>10.46</v>
      </c>
      <c r="X1449" s="77">
        <f>STOCK[[#This Row],[Ganancia Unitaria]]*STOCK[[#This Row],[Salidas]]</f>
        <v>0</v>
      </c>
      <c r="Y1449" s="77"/>
      <c r="Z1449" s="77"/>
      <c r="AA1449" s="54">
        <f>STOCK[[#This Row],[Costo total]]*STOCK[[#This Row],[Entradas]]</f>
        <v>14.54</v>
      </c>
      <c r="AB1449" s="54">
        <f>STOCK[[#This Row],[Stock Actual]]*STOCK[[#This Row],[Costo total]]</f>
        <v>14.54</v>
      </c>
      <c r="AC1449" s="77"/>
    </row>
    <row r="1450" s="53" customFormat="1" ht="50" customHeight="1" spans="1:29">
      <c r="A1450" s="53" t="s">
        <v>2923</v>
      </c>
      <c r="B1450" s="78"/>
      <c r="C1450" s="77" t="s">
        <v>32</v>
      </c>
      <c r="D1450" s="77" t="s">
        <v>174</v>
      </c>
      <c r="E1450" s="79" t="s">
        <v>2924</v>
      </c>
      <c r="F1450" s="77" t="s">
        <v>40</v>
      </c>
      <c r="G1450" s="77"/>
      <c r="H1450" s="77">
        <f>STOCK[[#This Row],[Precio Final]]</f>
        <v>0</v>
      </c>
      <c r="I1450" s="82" t="e">
        <f>STOCK[[#This Row],[Precio Venta Ideal (x1.5)]]</f>
        <v>#DIV/0!</v>
      </c>
      <c r="J1450" s="80">
        <v>0</v>
      </c>
      <c r="K1450" s="80">
        <f>SUMIFS(VENTAS[Cantidad],VENTAS[Código del producto Vendido],STOCK[[#This Row],[Code]])</f>
        <v>0</v>
      </c>
      <c r="L1450" s="80">
        <f>STOCK[[#This Row],[Entradas]]-STOCK[[#This Row],[Salidas]]</f>
        <v>0</v>
      </c>
      <c r="M1450" s="77">
        <f>STOCK[[#This Row],[Precio Final]]*10%</f>
        <v>0</v>
      </c>
      <c r="N1450" s="77">
        <v>0</v>
      </c>
      <c r="O1450" s="77">
        <v>0</v>
      </c>
      <c r="P1450" s="77" t="e">
        <f>N1450/O1450</f>
        <v>#DIV/0!</v>
      </c>
      <c r="Q1450" s="80">
        <v>0</v>
      </c>
      <c r="R1450" s="77">
        <v>0</v>
      </c>
      <c r="S1450" s="77">
        <v>1.65</v>
      </c>
      <c r="T1450" s="77" t="e">
        <f>STOCK[[#This Row],[Costo Unitario (USD)]]+STOCK[[#This Row],[Costo Envío (USD)]]+STOCK[[#This Row],[Comisión 10%]]</f>
        <v>#DIV/0!</v>
      </c>
      <c r="U1450" s="53" t="e">
        <f>STOCK[[#This Row],[Costo total]]*1.5</f>
        <v>#DIV/0!</v>
      </c>
      <c r="V1450" s="77"/>
      <c r="W1450" s="77" t="e">
        <f>STOCK[[#This Row],[Precio Final]]-STOCK[[#This Row],[Costo total]]</f>
        <v>#DIV/0!</v>
      </c>
      <c r="X1450" s="77" t="e">
        <f>STOCK[[#This Row],[Ganancia Unitaria]]*STOCK[[#This Row],[Salidas]]</f>
        <v>#DIV/0!</v>
      </c>
      <c r="Y1450" s="77"/>
      <c r="Z1450" s="77"/>
      <c r="AA1450" s="54" t="e">
        <f>STOCK[[#This Row],[Costo total]]*STOCK[[#This Row],[Entradas]]</f>
        <v>#DIV/0!</v>
      </c>
      <c r="AB1450" s="54" t="e">
        <f>STOCK[[#This Row],[Stock Actual]]*STOCK[[#This Row],[Costo total]]</f>
        <v>#DIV/0!</v>
      </c>
      <c r="AC1450" s="77"/>
    </row>
    <row r="1451" s="53" customFormat="1" ht="50" customHeight="1" spans="1:29">
      <c r="A1451" s="53" t="s">
        <v>2925</v>
      </c>
      <c r="B1451" s="78"/>
      <c r="C1451" s="77" t="s">
        <v>32</v>
      </c>
      <c r="D1451" s="77" t="s">
        <v>1190</v>
      </c>
      <c r="E1451" s="79" t="s">
        <v>2924</v>
      </c>
      <c r="F1451" s="77" t="s">
        <v>46</v>
      </c>
      <c r="G1451" s="77"/>
      <c r="H1451" s="77">
        <f>STOCK[[#This Row],[Precio Final]]</f>
        <v>0</v>
      </c>
      <c r="I1451" s="82" t="e">
        <f>STOCK[[#This Row],[Precio Venta Ideal (x1.5)]]</f>
        <v>#DIV/0!</v>
      </c>
      <c r="J1451" s="80">
        <v>0</v>
      </c>
      <c r="K1451" s="80">
        <f>SUMIFS(VENTAS[Cantidad],VENTAS[Código del producto Vendido],STOCK[[#This Row],[Code]])</f>
        <v>0</v>
      </c>
      <c r="L1451" s="80">
        <f>STOCK[[#This Row],[Entradas]]-STOCK[[#This Row],[Salidas]]</f>
        <v>0</v>
      </c>
      <c r="M1451" s="77">
        <f>STOCK[[#This Row],[Precio Final]]*10%</f>
        <v>0</v>
      </c>
      <c r="N1451" s="77">
        <v>0</v>
      </c>
      <c r="O1451" s="77">
        <v>0</v>
      </c>
      <c r="P1451" s="77" t="e">
        <f>N1451/O1451</f>
        <v>#DIV/0!</v>
      </c>
      <c r="Q1451" s="80">
        <v>0</v>
      </c>
      <c r="R1451" s="77">
        <v>0</v>
      </c>
      <c r="S1451" s="77">
        <v>1.65</v>
      </c>
      <c r="T1451" s="77" t="e">
        <f>STOCK[[#This Row],[Costo Unitario (USD)]]+STOCK[[#This Row],[Costo Envío (USD)]]+STOCK[[#This Row],[Comisión 10%]]</f>
        <v>#DIV/0!</v>
      </c>
      <c r="U1451" s="53" t="e">
        <f>STOCK[[#This Row],[Costo total]]*1.5</f>
        <v>#DIV/0!</v>
      </c>
      <c r="V1451" s="77"/>
      <c r="W1451" s="77" t="e">
        <f>STOCK[[#This Row],[Precio Final]]-STOCK[[#This Row],[Costo total]]</f>
        <v>#DIV/0!</v>
      </c>
      <c r="X1451" s="77" t="e">
        <f>STOCK[[#This Row],[Ganancia Unitaria]]*STOCK[[#This Row],[Salidas]]</f>
        <v>#DIV/0!</v>
      </c>
      <c r="Y1451" s="77"/>
      <c r="Z1451" s="77"/>
      <c r="AA1451" s="54" t="e">
        <f>STOCK[[#This Row],[Costo total]]*STOCK[[#This Row],[Entradas]]</f>
        <v>#DIV/0!</v>
      </c>
      <c r="AB1451" s="54" t="e">
        <f>STOCK[[#This Row],[Stock Actual]]*STOCK[[#This Row],[Costo total]]</f>
        <v>#DIV/0!</v>
      </c>
      <c r="AC1451" s="77"/>
    </row>
    <row r="1452" s="53" customFormat="1" ht="50" customHeight="1" spans="1:29">
      <c r="A1452" s="53" t="s">
        <v>2926</v>
      </c>
      <c r="B1452" s="78"/>
      <c r="C1452" s="77" t="s">
        <v>32</v>
      </c>
      <c r="D1452" s="77" t="s">
        <v>1190</v>
      </c>
      <c r="E1452" s="79" t="s">
        <v>2927</v>
      </c>
      <c r="F1452" s="77" t="s">
        <v>40</v>
      </c>
      <c r="G1452" s="77"/>
      <c r="H1452" s="77">
        <f>STOCK[[#This Row],[Precio Final]]</f>
        <v>8</v>
      </c>
      <c r="I1452" s="82">
        <f>STOCK[[#This Row],[Precio Venta Ideal (x1.5)]]</f>
        <v>7.11</v>
      </c>
      <c r="J1452" s="80">
        <v>2</v>
      </c>
      <c r="K1452" s="80">
        <f>SUMIFS(VENTAS[Cantidad],VENTAS[Código del producto Vendido],STOCK[[#This Row],[Code]])</f>
        <v>0</v>
      </c>
      <c r="L1452" s="80">
        <f>STOCK[[#This Row],[Entradas]]-STOCK[[#This Row],[Salidas]]</f>
        <v>2</v>
      </c>
      <c r="M1452" s="77">
        <f>STOCK[[#This Row],[Precio Final]]*10%</f>
        <v>0.8</v>
      </c>
      <c r="N1452" s="77">
        <v>0</v>
      </c>
      <c r="O1452" s="77">
        <v>0</v>
      </c>
      <c r="P1452" s="77">
        <v>2.29</v>
      </c>
      <c r="Q1452" s="80">
        <v>0</v>
      </c>
      <c r="R1452" s="77">
        <v>0</v>
      </c>
      <c r="S1452" s="77">
        <v>1.65</v>
      </c>
      <c r="T1452" s="77">
        <f>STOCK[[#This Row],[Costo Unitario (USD)]]+STOCK[[#This Row],[Costo Envío (USD)]]+STOCK[[#This Row],[Comisión 10%]]</f>
        <v>4.74</v>
      </c>
      <c r="U1452" s="53">
        <f>STOCK[[#This Row],[Costo total]]*1.5</f>
        <v>7.11</v>
      </c>
      <c r="V1452" s="77">
        <v>8</v>
      </c>
      <c r="W1452" s="77">
        <f>STOCK[[#This Row],[Precio Final]]-STOCK[[#This Row],[Costo total]]</f>
        <v>3.26</v>
      </c>
      <c r="X1452" s="77">
        <f>STOCK[[#This Row],[Ganancia Unitaria]]*STOCK[[#This Row],[Salidas]]</f>
        <v>0</v>
      </c>
      <c r="Y1452" s="77"/>
      <c r="Z1452" s="77"/>
      <c r="AA1452" s="54">
        <f>STOCK[[#This Row],[Costo total]]*STOCK[[#This Row],[Entradas]]</f>
        <v>9.48</v>
      </c>
      <c r="AB1452" s="54">
        <f>STOCK[[#This Row],[Stock Actual]]*STOCK[[#This Row],[Costo total]]</f>
        <v>9.48</v>
      </c>
      <c r="AC1452" s="77"/>
    </row>
    <row r="1453" s="53" customFormat="1" ht="50" customHeight="1" spans="1:29">
      <c r="A1453" s="53" t="s">
        <v>2928</v>
      </c>
      <c r="B1453" s="78"/>
      <c r="C1453" s="77" t="s">
        <v>32</v>
      </c>
      <c r="D1453" s="77" t="s">
        <v>1190</v>
      </c>
      <c r="E1453" s="79" t="s">
        <v>2927</v>
      </c>
      <c r="F1453" s="77" t="s">
        <v>46</v>
      </c>
      <c r="G1453" s="77"/>
      <c r="H1453" s="77">
        <f>STOCK[[#This Row],[Precio Final]]</f>
        <v>8</v>
      </c>
      <c r="I1453" s="82">
        <f>STOCK[[#This Row],[Precio Venta Ideal (x1.5)]]</f>
        <v>7.11</v>
      </c>
      <c r="J1453" s="80">
        <v>2</v>
      </c>
      <c r="K1453" s="80">
        <f>SUMIFS(VENTAS[Cantidad],VENTAS[Código del producto Vendido],STOCK[[#This Row],[Code]])</f>
        <v>1</v>
      </c>
      <c r="L1453" s="80">
        <f>STOCK[[#This Row],[Entradas]]-STOCK[[#This Row],[Salidas]]</f>
        <v>1</v>
      </c>
      <c r="M1453" s="77">
        <f>STOCK[[#This Row],[Precio Final]]*10%</f>
        <v>0.8</v>
      </c>
      <c r="N1453" s="77">
        <v>0</v>
      </c>
      <c r="O1453" s="77">
        <v>0</v>
      </c>
      <c r="P1453" s="77">
        <v>2.29</v>
      </c>
      <c r="Q1453" s="80">
        <v>0</v>
      </c>
      <c r="R1453" s="77">
        <v>0</v>
      </c>
      <c r="S1453" s="77">
        <v>1.65</v>
      </c>
      <c r="T1453" s="77">
        <f>STOCK[[#This Row],[Costo Unitario (USD)]]+STOCK[[#This Row],[Costo Envío (USD)]]+STOCK[[#This Row],[Comisión 10%]]</f>
        <v>4.74</v>
      </c>
      <c r="U1453" s="53">
        <f>STOCK[[#This Row],[Costo total]]*1.5</f>
        <v>7.11</v>
      </c>
      <c r="V1453" s="77">
        <v>8</v>
      </c>
      <c r="W1453" s="77">
        <f>STOCK[[#This Row],[Precio Final]]-STOCK[[#This Row],[Costo total]]</f>
        <v>3.26</v>
      </c>
      <c r="X1453" s="77">
        <f>STOCK[[#This Row],[Ganancia Unitaria]]*STOCK[[#This Row],[Salidas]]</f>
        <v>3.26</v>
      </c>
      <c r="Y1453" s="77"/>
      <c r="Z1453" s="77"/>
      <c r="AA1453" s="54">
        <f>STOCK[[#This Row],[Costo total]]*STOCK[[#This Row],[Entradas]]</f>
        <v>9.48</v>
      </c>
      <c r="AB1453" s="54">
        <f>STOCK[[#This Row],[Stock Actual]]*STOCK[[#This Row],[Costo total]]</f>
        <v>4.74</v>
      </c>
      <c r="AC1453" s="77"/>
    </row>
    <row r="1454" s="53" customFormat="1" ht="50" customHeight="1" spans="1:29">
      <c r="A1454" s="53" t="s">
        <v>2929</v>
      </c>
      <c r="B1454" s="78"/>
      <c r="C1454" s="77" t="s">
        <v>32</v>
      </c>
      <c r="D1454" s="77" t="s">
        <v>2845</v>
      </c>
      <c r="E1454" s="79" t="s">
        <v>2930</v>
      </c>
      <c r="F1454" s="77" t="s">
        <v>40</v>
      </c>
      <c r="G1454" s="77"/>
      <c r="H1454" s="77">
        <f>STOCK[[#This Row],[Precio Final]]</f>
        <v>30</v>
      </c>
      <c r="I1454" s="82">
        <f>STOCK[[#This Row],[Precio Venta Ideal (x1.5)]]</f>
        <v>23.19</v>
      </c>
      <c r="J1454" s="80">
        <v>2</v>
      </c>
      <c r="K1454" s="80">
        <f>SUMIFS(VENTAS[Cantidad],VENTAS[Código del producto Vendido],STOCK[[#This Row],[Code]])</f>
        <v>2</v>
      </c>
      <c r="L1454" s="80">
        <f>STOCK[[#This Row],[Entradas]]-STOCK[[#This Row],[Salidas]]</f>
        <v>0</v>
      </c>
      <c r="M1454" s="77">
        <f>STOCK[[#This Row],[Precio Final]]*10%</f>
        <v>3</v>
      </c>
      <c r="N1454" s="77">
        <v>0</v>
      </c>
      <c r="O1454" s="77">
        <v>0</v>
      </c>
      <c r="P1454" s="77">
        <v>10.81</v>
      </c>
      <c r="Q1454" s="80">
        <v>0</v>
      </c>
      <c r="R1454" s="77">
        <v>0</v>
      </c>
      <c r="S1454" s="77">
        <v>1.65</v>
      </c>
      <c r="T1454" s="77">
        <f>STOCK[[#This Row],[Costo Unitario (USD)]]+STOCK[[#This Row],[Costo Envío (USD)]]+STOCK[[#This Row],[Comisión 10%]]</f>
        <v>15.46</v>
      </c>
      <c r="U1454" s="53">
        <f>STOCK[[#This Row],[Costo total]]*1.5</f>
        <v>23.19</v>
      </c>
      <c r="V1454" s="77">
        <v>30</v>
      </c>
      <c r="W1454" s="77">
        <f>STOCK[[#This Row],[Precio Final]]-STOCK[[#This Row],[Costo total]]</f>
        <v>14.54</v>
      </c>
      <c r="X1454" s="77">
        <f>STOCK[[#This Row],[Ganancia Unitaria]]*STOCK[[#This Row],[Salidas]]</f>
        <v>29.08</v>
      </c>
      <c r="Y1454" s="77"/>
      <c r="Z1454" s="77"/>
      <c r="AA1454" s="54">
        <f>STOCK[[#This Row],[Costo total]]*STOCK[[#This Row],[Entradas]]</f>
        <v>30.92</v>
      </c>
      <c r="AB1454" s="54">
        <f>STOCK[[#This Row],[Stock Actual]]*STOCK[[#This Row],[Costo total]]</f>
        <v>0</v>
      </c>
      <c r="AC1454" s="77"/>
    </row>
    <row r="1455" s="53" customFormat="1" ht="50" customHeight="1" spans="1:29">
      <c r="A1455" s="53" t="s">
        <v>2931</v>
      </c>
      <c r="B1455" s="78"/>
      <c r="C1455" s="77" t="s">
        <v>32</v>
      </c>
      <c r="D1455" s="77" t="s">
        <v>2845</v>
      </c>
      <c r="E1455" s="79" t="s">
        <v>2930</v>
      </c>
      <c r="F1455" s="77" t="s">
        <v>62</v>
      </c>
      <c r="G1455" s="77"/>
      <c r="H1455" s="77">
        <f>STOCK[[#This Row],[Precio Final]]</f>
        <v>30</v>
      </c>
      <c r="I1455" s="82">
        <f>STOCK[[#This Row],[Precio Venta Ideal (x1.5)]]</f>
        <v>23.205</v>
      </c>
      <c r="J1455" s="80">
        <v>2</v>
      </c>
      <c r="K1455" s="80">
        <f>SUMIFS(VENTAS[Cantidad],VENTAS[Código del producto Vendido],STOCK[[#This Row],[Code]])</f>
        <v>2</v>
      </c>
      <c r="L1455" s="80">
        <f>STOCK[[#This Row],[Entradas]]-STOCK[[#This Row],[Salidas]]</f>
        <v>0</v>
      </c>
      <c r="M1455" s="77">
        <f>STOCK[[#This Row],[Precio Final]]*10%</f>
        <v>3</v>
      </c>
      <c r="N1455" s="77">
        <v>0</v>
      </c>
      <c r="O1455" s="77">
        <v>0</v>
      </c>
      <c r="P1455" s="77">
        <v>10.82</v>
      </c>
      <c r="Q1455" s="80">
        <v>0</v>
      </c>
      <c r="R1455" s="77">
        <v>0</v>
      </c>
      <c r="S1455" s="77">
        <v>1.65</v>
      </c>
      <c r="T1455" s="77">
        <f>STOCK[[#This Row],[Costo Unitario (USD)]]+STOCK[[#This Row],[Costo Envío (USD)]]+STOCK[[#This Row],[Comisión 10%]]</f>
        <v>15.47</v>
      </c>
      <c r="U1455" s="53">
        <f>STOCK[[#This Row],[Costo total]]*1.5</f>
        <v>23.205</v>
      </c>
      <c r="V1455" s="77">
        <v>30</v>
      </c>
      <c r="W1455" s="77">
        <f>STOCK[[#This Row],[Precio Final]]-STOCK[[#This Row],[Costo total]]</f>
        <v>14.53</v>
      </c>
      <c r="X1455" s="77">
        <f>STOCK[[#This Row],[Ganancia Unitaria]]*STOCK[[#This Row],[Salidas]]</f>
        <v>29.06</v>
      </c>
      <c r="Y1455" s="77"/>
      <c r="Z1455" s="77"/>
      <c r="AA1455" s="54">
        <f>STOCK[[#This Row],[Costo total]]*STOCK[[#This Row],[Entradas]]</f>
        <v>30.94</v>
      </c>
      <c r="AB1455" s="54">
        <f>STOCK[[#This Row],[Stock Actual]]*STOCK[[#This Row],[Costo total]]</f>
        <v>0</v>
      </c>
      <c r="AC1455" s="77"/>
    </row>
    <row r="1456" s="53" customFormat="1" ht="50" customHeight="1" spans="1:29">
      <c r="A1456" s="53" t="s">
        <v>2932</v>
      </c>
      <c r="B1456" s="78"/>
      <c r="C1456" s="77" t="s">
        <v>32</v>
      </c>
      <c r="D1456" s="77" t="s">
        <v>2845</v>
      </c>
      <c r="E1456" s="79" t="s">
        <v>2930</v>
      </c>
      <c r="F1456" s="77" t="s">
        <v>49</v>
      </c>
      <c r="G1456" s="77"/>
      <c r="H1456" s="77">
        <f>STOCK[[#This Row],[Precio Final]]</f>
        <v>30</v>
      </c>
      <c r="I1456" s="82">
        <f>STOCK[[#This Row],[Precio Venta Ideal (x1.5)]]</f>
        <v>23.205</v>
      </c>
      <c r="J1456" s="80">
        <v>3</v>
      </c>
      <c r="K1456" s="80">
        <f>SUMIFS(VENTAS[Cantidad],VENTAS[Código del producto Vendido],STOCK[[#This Row],[Code]])</f>
        <v>3</v>
      </c>
      <c r="L1456" s="80">
        <f>STOCK[[#This Row],[Entradas]]-STOCK[[#This Row],[Salidas]]</f>
        <v>0</v>
      </c>
      <c r="M1456" s="77">
        <f>STOCK[[#This Row],[Precio Final]]*10%</f>
        <v>3</v>
      </c>
      <c r="N1456" s="77">
        <v>0</v>
      </c>
      <c r="O1456" s="77">
        <v>0</v>
      </c>
      <c r="P1456" s="77">
        <v>10.82</v>
      </c>
      <c r="Q1456" s="80">
        <v>0</v>
      </c>
      <c r="R1456" s="77">
        <v>0</v>
      </c>
      <c r="S1456" s="77">
        <v>1.65</v>
      </c>
      <c r="T1456" s="77">
        <f>STOCK[[#This Row],[Costo Unitario (USD)]]+STOCK[[#This Row],[Costo Envío (USD)]]+STOCK[[#This Row],[Comisión 10%]]</f>
        <v>15.47</v>
      </c>
      <c r="U1456" s="53">
        <f>STOCK[[#This Row],[Costo total]]*1.5</f>
        <v>23.205</v>
      </c>
      <c r="V1456" s="77">
        <v>30</v>
      </c>
      <c r="W1456" s="77">
        <f>STOCK[[#This Row],[Precio Final]]-STOCK[[#This Row],[Costo total]]</f>
        <v>14.53</v>
      </c>
      <c r="X1456" s="77">
        <f>STOCK[[#This Row],[Ganancia Unitaria]]*STOCK[[#This Row],[Salidas]]</f>
        <v>43.59</v>
      </c>
      <c r="Y1456" s="77"/>
      <c r="Z1456" s="77"/>
      <c r="AA1456" s="54">
        <f>STOCK[[#This Row],[Costo total]]*STOCK[[#This Row],[Entradas]]</f>
        <v>46.41</v>
      </c>
      <c r="AB1456" s="54">
        <f>STOCK[[#This Row],[Stock Actual]]*STOCK[[#This Row],[Costo total]]</f>
        <v>0</v>
      </c>
      <c r="AC1456" s="77"/>
    </row>
    <row r="1457" s="53" customFormat="1" ht="50" customHeight="1" spans="1:29">
      <c r="A1457" s="53" t="s">
        <v>2933</v>
      </c>
      <c r="B1457" s="78"/>
      <c r="C1457" s="77" t="s">
        <v>32</v>
      </c>
      <c r="D1457" s="77" t="s">
        <v>2845</v>
      </c>
      <c r="E1457" s="79" t="s">
        <v>2930</v>
      </c>
      <c r="F1457" s="77" t="s">
        <v>46</v>
      </c>
      <c r="G1457" s="77"/>
      <c r="H1457" s="77">
        <f>STOCK[[#This Row],[Precio Final]]</f>
        <v>30</v>
      </c>
      <c r="I1457" s="82">
        <f>STOCK[[#This Row],[Precio Venta Ideal (x1.5)]]</f>
        <v>23.19</v>
      </c>
      <c r="J1457" s="80">
        <v>2</v>
      </c>
      <c r="K1457" s="80">
        <f>SUMIFS(VENTAS[Cantidad],VENTAS[Código del producto Vendido],STOCK[[#This Row],[Code]])</f>
        <v>2</v>
      </c>
      <c r="L1457" s="80">
        <f>STOCK[[#This Row],[Entradas]]-STOCK[[#This Row],[Salidas]]</f>
        <v>0</v>
      </c>
      <c r="M1457" s="77">
        <f>STOCK[[#This Row],[Precio Final]]*10%</f>
        <v>3</v>
      </c>
      <c r="N1457" s="77">
        <v>0</v>
      </c>
      <c r="O1457" s="77">
        <v>0</v>
      </c>
      <c r="P1457" s="77">
        <v>10.81</v>
      </c>
      <c r="Q1457" s="80">
        <v>0</v>
      </c>
      <c r="R1457" s="77">
        <v>0</v>
      </c>
      <c r="S1457" s="77">
        <v>1.65</v>
      </c>
      <c r="T1457" s="77">
        <f>STOCK[[#This Row],[Costo Unitario (USD)]]+STOCK[[#This Row],[Costo Envío (USD)]]+STOCK[[#This Row],[Comisión 10%]]</f>
        <v>15.46</v>
      </c>
      <c r="U1457" s="53">
        <f>STOCK[[#This Row],[Costo total]]*1.5</f>
        <v>23.19</v>
      </c>
      <c r="V1457" s="77">
        <v>30</v>
      </c>
      <c r="W1457" s="77">
        <f>STOCK[[#This Row],[Precio Final]]-STOCK[[#This Row],[Costo total]]</f>
        <v>14.54</v>
      </c>
      <c r="X1457" s="77">
        <f>STOCK[[#This Row],[Ganancia Unitaria]]*STOCK[[#This Row],[Salidas]]</f>
        <v>29.08</v>
      </c>
      <c r="Y1457" s="77"/>
      <c r="Z1457" s="77"/>
      <c r="AA1457" s="54">
        <f>STOCK[[#This Row],[Costo total]]*STOCK[[#This Row],[Entradas]]</f>
        <v>30.92</v>
      </c>
      <c r="AB1457" s="54">
        <f>STOCK[[#This Row],[Stock Actual]]*STOCK[[#This Row],[Costo total]]</f>
        <v>0</v>
      </c>
      <c r="AC1457" s="77"/>
    </row>
    <row r="1458" s="53" customFormat="1" ht="50" customHeight="1" spans="1:29">
      <c r="A1458" s="53" t="s">
        <v>2934</v>
      </c>
      <c r="B1458" s="78"/>
      <c r="C1458" s="77" t="s">
        <v>32</v>
      </c>
      <c r="D1458" s="77" t="s">
        <v>2845</v>
      </c>
      <c r="E1458" s="79" t="s">
        <v>2930</v>
      </c>
      <c r="F1458" s="77" t="s">
        <v>42</v>
      </c>
      <c r="G1458" s="77"/>
      <c r="H1458" s="77">
        <f>STOCK[[#This Row],[Precio Final]]</f>
        <v>30</v>
      </c>
      <c r="I1458" s="82">
        <f>STOCK[[#This Row],[Precio Venta Ideal (x1.5)]]</f>
        <v>23.19</v>
      </c>
      <c r="J1458" s="80">
        <v>2</v>
      </c>
      <c r="K1458" s="80">
        <f>SUMIFS(VENTAS[Cantidad],VENTAS[Código del producto Vendido],STOCK[[#This Row],[Code]])</f>
        <v>3</v>
      </c>
      <c r="L1458" s="80">
        <f>STOCK[[#This Row],[Entradas]]-STOCK[[#This Row],[Salidas]]</f>
        <v>-1</v>
      </c>
      <c r="M1458" s="77">
        <f>STOCK[[#This Row],[Precio Final]]*10%</f>
        <v>3</v>
      </c>
      <c r="N1458" s="77">
        <v>0</v>
      </c>
      <c r="O1458" s="77">
        <v>0</v>
      </c>
      <c r="P1458" s="77">
        <v>10.81</v>
      </c>
      <c r="Q1458" s="80">
        <v>0</v>
      </c>
      <c r="R1458" s="77">
        <v>0</v>
      </c>
      <c r="S1458" s="77">
        <v>1.65</v>
      </c>
      <c r="T1458" s="77">
        <f>STOCK[[#This Row],[Costo Unitario (USD)]]+STOCK[[#This Row],[Costo Envío (USD)]]+STOCK[[#This Row],[Comisión 10%]]</f>
        <v>15.46</v>
      </c>
      <c r="U1458" s="53">
        <f>STOCK[[#This Row],[Costo total]]*1.5</f>
        <v>23.19</v>
      </c>
      <c r="V1458" s="77">
        <v>30</v>
      </c>
      <c r="W1458" s="77">
        <f>STOCK[[#This Row],[Precio Final]]-STOCK[[#This Row],[Costo total]]</f>
        <v>14.54</v>
      </c>
      <c r="X1458" s="77">
        <f>STOCK[[#This Row],[Ganancia Unitaria]]*STOCK[[#This Row],[Salidas]]</f>
        <v>43.62</v>
      </c>
      <c r="Y1458" s="77"/>
      <c r="Z1458" s="77"/>
      <c r="AA1458" s="54">
        <f>STOCK[[#This Row],[Costo total]]*STOCK[[#This Row],[Entradas]]</f>
        <v>30.92</v>
      </c>
      <c r="AB1458" s="54">
        <f>STOCK[[#This Row],[Stock Actual]]*STOCK[[#This Row],[Costo total]]</f>
        <v>-15.46</v>
      </c>
      <c r="AC1458" s="77"/>
    </row>
    <row r="1459" s="53" customFormat="1" ht="50" customHeight="1" spans="1:29">
      <c r="A1459" s="53" t="s">
        <v>2935</v>
      </c>
      <c r="B1459" s="78"/>
      <c r="C1459" s="77" t="s">
        <v>32</v>
      </c>
      <c r="D1459" s="77" t="s">
        <v>1226</v>
      </c>
      <c r="E1459" s="79" t="s">
        <v>2936</v>
      </c>
      <c r="F1459" s="77" t="s">
        <v>540</v>
      </c>
      <c r="G1459" s="77"/>
      <c r="H1459" s="77">
        <f>STOCK[[#This Row],[Precio Final]]</f>
        <v>18</v>
      </c>
      <c r="I1459" s="82">
        <f>STOCK[[#This Row],[Precio Venta Ideal (x1.5)]]</f>
        <v>16.89</v>
      </c>
      <c r="J1459" s="80">
        <v>1</v>
      </c>
      <c r="K1459" s="80">
        <f>SUMIFS(VENTAS[Cantidad],VENTAS[Código del producto Vendido],STOCK[[#This Row],[Code]])</f>
        <v>2</v>
      </c>
      <c r="L1459" s="80">
        <f>STOCK[[#This Row],[Entradas]]-STOCK[[#This Row],[Salidas]]</f>
        <v>-1</v>
      </c>
      <c r="M1459" s="77">
        <f>STOCK[[#This Row],[Precio Final]]*10%</f>
        <v>1.8</v>
      </c>
      <c r="N1459" s="77">
        <v>0</v>
      </c>
      <c r="O1459" s="77">
        <v>0</v>
      </c>
      <c r="P1459" s="77">
        <v>7.81</v>
      </c>
      <c r="Q1459" s="80">
        <v>0</v>
      </c>
      <c r="R1459" s="77">
        <v>0</v>
      </c>
      <c r="S1459" s="77">
        <v>1.65</v>
      </c>
      <c r="T1459" s="77">
        <f>STOCK[[#This Row],[Costo Unitario (USD)]]+STOCK[[#This Row],[Costo Envío (USD)]]+STOCK[[#This Row],[Comisión 10%]]</f>
        <v>11.26</v>
      </c>
      <c r="U1459" s="53">
        <f>STOCK[[#This Row],[Costo total]]*1.5</f>
        <v>16.89</v>
      </c>
      <c r="V1459" s="77">
        <v>18</v>
      </c>
      <c r="W1459" s="77">
        <f>STOCK[[#This Row],[Precio Final]]-STOCK[[#This Row],[Costo total]]</f>
        <v>6.74</v>
      </c>
      <c r="X1459" s="77">
        <f>STOCK[[#This Row],[Ganancia Unitaria]]*STOCK[[#This Row],[Salidas]]</f>
        <v>13.48</v>
      </c>
      <c r="Y1459" s="77"/>
      <c r="Z1459" s="77"/>
      <c r="AA1459" s="54">
        <f>STOCK[[#This Row],[Costo total]]*STOCK[[#This Row],[Entradas]]</f>
        <v>11.26</v>
      </c>
      <c r="AB1459" s="54">
        <f>STOCK[[#This Row],[Stock Actual]]*STOCK[[#This Row],[Costo total]]</f>
        <v>-11.26</v>
      </c>
      <c r="AC1459" s="77"/>
    </row>
    <row r="1460" s="53" customFormat="1" ht="50" customHeight="1" spans="1:29">
      <c r="A1460" s="53" t="s">
        <v>2937</v>
      </c>
      <c r="B1460" s="78"/>
      <c r="C1460" s="77" t="s">
        <v>32</v>
      </c>
      <c r="D1460" s="77" t="s">
        <v>1226</v>
      </c>
      <c r="E1460" s="79" t="s">
        <v>2936</v>
      </c>
      <c r="F1460" s="77" t="s">
        <v>759</v>
      </c>
      <c r="G1460" s="77"/>
      <c r="H1460" s="77">
        <f>STOCK[[#This Row],[Precio Final]]</f>
        <v>18</v>
      </c>
      <c r="I1460" s="82">
        <f>STOCK[[#This Row],[Precio Venta Ideal (x1.5)]]</f>
        <v>16.89</v>
      </c>
      <c r="J1460" s="80">
        <v>1</v>
      </c>
      <c r="K1460" s="80">
        <f>SUMIFS(VENTAS[Cantidad],VENTAS[Código del producto Vendido],STOCK[[#This Row],[Code]])</f>
        <v>2</v>
      </c>
      <c r="L1460" s="80">
        <f>STOCK[[#This Row],[Entradas]]-STOCK[[#This Row],[Salidas]]</f>
        <v>-1</v>
      </c>
      <c r="M1460" s="77">
        <f>STOCK[[#This Row],[Precio Final]]*10%</f>
        <v>1.8</v>
      </c>
      <c r="N1460" s="77">
        <v>0</v>
      </c>
      <c r="O1460" s="77">
        <v>0</v>
      </c>
      <c r="P1460" s="77">
        <v>7.81</v>
      </c>
      <c r="Q1460" s="80">
        <v>0</v>
      </c>
      <c r="R1460" s="77">
        <v>0</v>
      </c>
      <c r="S1460" s="77">
        <v>1.65</v>
      </c>
      <c r="T1460" s="77">
        <f>STOCK[[#This Row],[Costo Unitario (USD)]]+STOCK[[#This Row],[Costo Envío (USD)]]+STOCK[[#This Row],[Comisión 10%]]</f>
        <v>11.26</v>
      </c>
      <c r="U1460" s="53">
        <f>STOCK[[#This Row],[Costo total]]*1.5</f>
        <v>16.89</v>
      </c>
      <c r="V1460" s="77">
        <v>18</v>
      </c>
      <c r="W1460" s="77">
        <f>STOCK[[#This Row],[Precio Final]]-STOCK[[#This Row],[Costo total]]</f>
        <v>6.74</v>
      </c>
      <c r="X1460" s="77">
        <f>STOCK[[#This Row],[Ganancia Unitaria]]*STOCK[[#This Row],[Salidas]]</f>
        <v>13.48</v>
      </c>
      <c r="Y1460" s="77"/>
      <c r="Z1460" s="77"/>
      <c r="AA1460" s="54">
        <f>STOCK[[#This Row],[Costo total]]*STOCK[[#This Row],[Entradas]]</f>
        <v>11.26</v>
      </c>
      <c r="AB1460" s="54">
        <f>STOCK[[#This Row],[Stock Actual]]*STOCK[[#This Row],[Costo total]]</f>
        <v>-11.26</v>
      </c>
      <c r="AC1460" s="77"/>
    </row>
    <row r="1461" s="53" customFormat="1" ht="50" customHeight="1" spans="1:29">
      <c r="A1461" s="53" t="s">
        <v>2938</v>
      </c>
      <c r="B1461" s="78"/>
      <c r="C1461" s="77" t="s">
        <v>32</v>
      </c>
      <c r="D1461" s="77" t="s">
        <v>2629</v>
      </c>
      <c r="E1461" s="79" t="s">
        <v>2939</v>
      </c>
      <c r="F1461" s="77" t="s">
        <v>62</v>
      </c>
      <c r="G1461" s="77"/>
      <c r="H1461" s="77">
        <f>STOCK[[#This Row],[Precio Final]]</f>
        <v>25</v>
      </c>
      <c r="I1461" s="82">
        <f>STOCK[[#This Row],[Precio Venta Ideal (x1.5)]]</f>
        <v>19.935</v>
      </c>
      <c r="J1461" s="80">
        <v>1</v>
      </c>
      <c r="K1461" s="80">
        <f>SUMIFS(VENTAS[Cantidad],VENTAS[Código del producto Vendido],STOCK[[#This Row],[Code]])</f>
        <v>2</v>
      </c>
      <c r="L1461" s="80">
        <f>STOCK[[#This Row],[Entradas]]-STOCK[[#This Row],[Salidas]]</f>
        <v>-1</v>
      </c>
      <c r="M1461" s="77">
        <f>STOCK[[#This Row],[Precio Final]]*10%</f>
        <v>2.5</v>
      </c>
      <c r="N1461" s="77">
        <v>0</v>
      </c>
      <c r="O1461" s="77">
        <v>0</v>
      </c>
      <c r="P1461" s="77">
        <v>9.14</v>
      </c>
      <c r="Q1461" s="80">
        <v>0</v>
      </c>
      <c r="R1461" s="77">
        <v>0</v>
      </c>
      <c r="S1461" s="77">
        <v>1.65</v>
      </c>
      <c r="T1461" s="77">
        <f>STOCK[[#This Row],[Costo Unitario (USD)]]+STOCK[[#This Row],[Costo Envío (USD)]]+STOCK[[#This Row],[Comisión 10%]]</f>
        <v>13.29</v>
      </c>
      <c r="U1461" s="53">
        <f>STOCK[[#This Row],[Costo total]]*1.5</f>
        <v>19.935</v>
      </c>
      <c r="V1461" s="77">
        <v>25</v>
      </c>
      <c r="W1461" s="77">
        <f>STOCK[[#This Row],[Precio Final]]-STOCK[[#This Row],[Costo total]]</f>
        <v>11.71</v>
      </c>
      <c r="X1461" s="77">
        <f>STOCK[[#This Row],[Ganancia Unitaria]]*STOCK[[#This Row],[Salidas]]</f>
        <v>23.42</v>
      </c>
      <c r="Y1461" s="77"/>
      <c r="Z1461" s="77"/>
      <c r="AA1461" s="54">
        <f>STOCK[[#This Row],[Costo total]]*STOCK[[#This Row],[Entradas]]</f>
        <v>13.29</v>
      </c>
      <c r="AB1461" s="54">
        <f>STOCK[[#This Row],[Stock Actual]]*STOCK[[#This Row],[Costo total]]</f>
        <v>-13.29</v>
      </c>
      <c r="AC1461" s="77"/>
    </row>
    <row r="1462" s="53" customFormat="1" ht="50" customHeight="1" spans="1:29">
      <c r="A1462" s="53" t="s">
        <v>2940</v>
      </c>
      <c r="B1462" s="78"/>
      <c r="C1462" s="77" t="s">
        <v>32</v>
      </c>
      <c r="D1462" s="77" t="s">
        <v>2629</v>
      </c>
      <c r="E1462" s="79" t="s">
        <v>2939</v>
      </c>
      <c r="F1462" s="77" t="s">
        <v>49</v>
      </c>
      <c r="G1462" s="77"/>
      <c r="H1462" s="77">
        <f>STOCK[[#This Row],[Precio Final]]</f>
        <v>25</v>
      </c>
      <c r="I1462" s="82">
        <f>STOCK[[#This Row],[Precio Venta Ideal (x1.5)]]</f>
        <v>19.935</v>
      </c>
      <c r="J1462" s="80">
        <v>1</v>
      </c>
      <c r="K1462" s="80">
        <f>SUMIFS(VENTAS[Cantidad],VENTAS[Código del producto Vendido],STOCK[[#This Row],[Code]])</f>
        <v>1</v>
      </c>
      <c r="L1462" s="80">
        <f>STOCK[[#This Row],[Entradas]]-STOCK[[#This Row],[Salidas]]</f>
        <v>0</v>
      </c>
      <c r="M1462" s="77">
        <f>STOCK[[#This Row],[Precio Final]]*10%</f>
        <v>2.5</v>
      </c>
      <c r="N1462" s="77">
        <v>0</v>
      </c>
      <c r="O1462" s="77">
        <v>0</v>
      </c>
      <c r="P1462" s="77">
        <v>9.14</v>
      </c>
      <c r="Q1462" s="80">
        <v>0</v>
      </c>
      <c r="R1462" s="77">
        <v>0</v>
      </c>
      <c r="S1462" s="77">
        <v>1.65</v>
      </c>
      <c r="T1462" s="77">
        <f>STOCK[[#This Row],[Costo Unitario (USD)]]+STOCK[[#This Row],[Costo Envío (USD)]]+STOCK[[#This Row],[Comisión 10%]]</f>
        <v>13.29</v>
      </c>
      <c r="U1462" s="53">
        <f>STOCK[[#This Row],[Costo total]]*1.5</f>
        <v>19.935</v>
      </c>
      <c r="V1462" s="77">
        <v>25</v>
      </c>
      <c r="W1462" s="77">
        <f>STOCK[[#This Row],[Precio Final]]-STOCK[[#This Row],[Costo total]]</f>
        <v>11.71</v>
      </c>
      <c r="X1462" s="77">
        <f>STOCK[[#This Row],[Ganancia Unitaria]]*STOCK[[#This Row],[Salidas]]</f>
        <v>11.71</v>
      </c>
      <c r="Y1462" s="77"/>
      <c r="Z1462" s="77"/>
      <c r="AA1462" s="54">
        <f>STOCK[[#This Row],[Costo total]]*STOCK[[#This Row],[Entradas]]</f>
        <v>13.29</v>
      </c>
      <c r="AB1462" s="54">
        <f>STOCK[[#This Row],[Stock Actual]]*STOCK[[#This Row],[Costo total]]</f>
        <v>0</v>
      </c>
      <c r="AC1462" s="77"/>
    </row>
    <row r="1463" s="53" customFormat="1" ht="50" customHeight="1" spans="1:29">
      <c r="A1463" s="53" t="s">
        <v>2941</v>
      </c>
      <c r="B1463" s="78"/>
      <c r="C1463" s="77" t="s">
        <v>32</v>
      </c>
      <c r="D1463" s="77" t="s">
        <v>2629</v>
      </c>
      <c r="E1463" s="79" t="s">
        <v>2939</v>
      </c>
      <c r="F1463" s="77" t="s">
        <v>46</v>
      </c>
      <c r="G1463" s="77"/>
      <c r="H1463" s="77">
        <f>STOCK[[#This Row],[Precio Final]]</f>
        <v>25</v>
      </c>
      <c r="I1463" s="82">
        <f>STOCK[[#This Row],[Precio Venta Ideal (x1.5)]]</f>
        <v>19.935</v>
      </c>
      <c r="J1463" s="80">
        <v>1</v>
      </c>
      <c r="K1463" s="80">
        <f>SUMIFS(VENTAS[Cantidad],VENTAS[Código del producto Vendido],STOCK[[#This Row],[Code]])</f>
        <v>1</v>
      </c>
      <c r="L1463" s="80">
        <f>STOCK[[#This Row],[Entradas]]-STOCK[[#This Row],[Salidas]]</f>
        <v>0</v>
      </c>
      <c r="M1463" s="77">
        <f>STOCK[[#This Row],[Precio Final]]*10%</f>
        <v>2.5</v>
      </c>
      <c r="N1463" s="77">
        <v>0</v>
      </c>
      <c r="O1463" s="77">
        <v>0</v>
      </c>
      <c r="P1463" s="77">
        <v>9.14</v>
      </c>
      <c r="Q1463" s="80">
        <v>0</v>
      </c>
      <c r="R1463" s="77">
        <v>0</v>
      </c>
      <c r="S1463" s="77">
        <v>1.65</v>
      </c>
      <c r="T1463" s="77">
        <f>STOCK[[#This Row],[Costo Unitario (USD)]]+STOCK[[#This Row],[Costo Envío (USD)]]+STOCK[[#This Row],[Comisión 10%]]</f>
        <v>13.29</v>
      </c>
      <c r="U1463" s="53">
        <f>STOCK[[#This Row],[Costo total]]*1.5</f>
        <v>19.935</v>
      </c>
      <c r="V1463" s="77">
        <v>25</v>
      </c>
      <c r="W1463" s="77">
        <f>STOCK[[#This Row],[Precio Final]]-STOCK[[#This Row],[Costo total]]</f>
        <v>11.71</v>
      </c>
      <c r="X1463" s="77">
        <f>STOCK[[#This Row],[Ganancia Unitaria]]*STOCK[[#This Row],[Salidas]]</f>
        <v>11.71</v>
      </c>
      <c r="Y1463" s="77"/>
      <c r="Z1463" s="77"/>
      <c r="AA1463" s="54">
        <f>STOCK[[#This Row],[Costo total]]*STOCK[[#This Row],[Entradas]]</f>
        <v>13.29</v>
      </c>
      <c r="AB1463" s="54">
        <f>STOCK[[#This Row],[Stock Actual]]*STOCK[[#This Row],[Costo total]]</f>
        <v>0</v>
      </c>
      <c r="AC1463" s="77"/>
    </row>
    <row r="1464" s="53" customFormat="1" ht="50" customHeight="1" spans="1:29">
      <c r="A1464" s="53" t="s">
        <v>2942</v>
      </c>
      <c r="B1464" s="78"/>
      <c r="C1464" s="77" t="s">
        <v>32</v>
      </c>
      <c r="D1464" s="77" t="s">
        <v>2629</v>
      </c>
      <c r="E1464" s="79" t="s">
        <v>2943</v>
      </c>
      <c r="F1464" s="77" t="s">
        <v>2822</v>
      </c>
      <c r="G1464" s="77"/>
      <c r="H1464" s="77">
        <f>STOCK[[#This Row],[Precio Final]]</f>
        <v>25</v>
      </c>
      <c r="I1464" s="82">
        <f>STOCK[[#This Row],[Precio Venta Ideal (x1.5)]]</f>
        <v>16.56</v>
      </c>
      <c r="J1464" s="80">
        <v>5</v>
      </c>
      <c r="K1464" s="80">
        <f>SUMIFS(VENTAS[Cantidad],VENTAS[Código del producto Vendido],STOCK[[#This Row],[Code]])</f>
        <v>0</v>
      </c>
      <c r="L1464" s="80">
        <f>STOCK[[#This Row],[Entradas]]-STOCK[[#This Row],[Salidas]]</f>
        <v>5</v>
      </c>
      <c r="M1464" s="77">
        <f>STOCK[[#This Row],[Precio Final]]*10%</f>
        <v>2.5</v>
      </c>
      <c r="N1464" s="77">
        <v>0</v>
      </c>
      <c r="O1464" s="77">
        <v>0</v>
      </c>
      <c r="P1464" s="77">
        <v>6.89</v>
      </c>
      <c r="Q1464" s="80">
        <v>0</v>
      </c>
      <c r="R1464" s="77">
        <v>0</v>
      </c>
      <c r="S1464" s="77">
        <v>1.65</v>
      </c>
      <c r="T1464" s="77">
        <f>STOCK[[#This Row],[Costo Unitario (USD)]]+STOCK[[#This Row],[Costo Envío (USD)]]+STOCK[[#This Row],[Comisión 10%]]</f>
        <v>11.04</v>
      </c>
      <c r="U1464" s="53">
        <f>STOCK[[#This Row],[Costo total]]*1.5</f>
        <v>16.56</v>
      </c>
      <c r="V1464" s="77">
        <v>25</v>
      </c>
      <c r="W1464" s="77">
        <f>STOCK[[#This Row],[Precio Final]]-STOCK[[#This Row],[Costo total]]</f>
        <v>13.96</v>
      </c>
      <c r="X1464" s="77">
        <f>STOCK[[#This Row],[Ganancia Unitaria]]*STOCK[[#This Row],[Salidas]]</f>
        <v>0</v>
      </c>
      <c r="Y1464" s="77"/>
      <c r="Z1464" s="77"/>
      <c r="AA1464" s="54">
        <f>STOCK[[#This Row],[Costo total]]*STOCK[[#This Row],[Entradas]]</f>
        <v>55.2</v>
      </c>
      <c r="AB1464" s="54">
        <f>STOCK[[#This Row],[Stock Actual]]*STOCK[[#This Row],[Costo total]]</f>
        <v>55.2</v>
      </c>
      <c r="AC1464" s="77"/>
    </row>
    <row r="1465" s="53" customFormat="1" ht="50" customHeight="1" spans="1:29">
      <c r="A1465" s="53" t="s">
        <v>2944</v>
      </c>
      <c r="B1465" s="78"/>
      <c r="C1465" s="77" t="s">
        <v>32</v>
      </c>
      <c r="D1465" s="77" t="s">
        <v>2629</v>
      </c>
      <c r="E1465" s="79" t="s">
        <v>2945</v>
      </c>
      <c r="F1465" s="77" t="s">
        <v>62</v>
      </c>
      <c r="G1465" s="77"/>
      <c r="H1465" s="77">
        <f>STOCK[[#This Row],[Precio Final]]</f>
        <v>30</v>
      </c>
      <c r="I1465" s="82">
        <f>STOCK[[#This Row],[Precio Venta Ideal (x1.5)]]</f>
        <v>19.8</v>
      </c>
      <c r="J1465" s="80">
        <v>1</v>
      </c>
      <c r="K1465" s="80">
        <f>SUMIFS(VENTAS[Cantidad],VENTAS[Código del producto Vendido],STOCK[[#This Row],[Code]])</f>
        <v>0</v>
      </c>
      <c r="L1465" s="80">
        <f>STOCK[[#This Row],[Entradas]]-STOCK[[#This Row],[Salidas]]</f>
        <v>1</v>
      </c>
      <c r="M1465" s="77">
        <f>STOCK[[#This Row],[Precio Final]]*10%</f>
        <v>3</v>
      </c>
      <c r="N1465" s="77">
        <v>0</v>
      </c>
      <c r="O1465" s="77">
        <v>0</v>
      </c>
      <c r="P1465" s="77">
        <v>8.55</v>
      </c>
      <c r="Q1465" s="80">
        <v>0</v>
      </c>
      <c r="R1465" s="77">
        <v>0</v>
      </c>
      <c r="S1465" s="77">
        <v>1.65</v>
      </c>
      <c r="T1465" s="77">
        <f>STOCK[[#This Row],[Costo Unitario (USD)]]+STOCK[[#This Row],[Costo Envío (USD)]]+STOCK[[#This Row],[Comisión 10%]]</f>
        <v>13.2</v>
      </c>
      <c r="U1465" s="53">
        <f>STOCK[[#This Row],[Costo total]]*1.5</f>
        <v>19.8</v>
      </c>
      <c r="V1465" s="77">
        <v>30</v>
      </c>
      <c r="W1465" s="77">
        <f>STOCK[[#This Row],[Precio Final]]-STOCK[[#This Row],[Costo total]]</f>
        <v>16.8</v>
      </c>
      <c r="X1465" s="77">
        <f>STOCK[[#This Row],[Ganancia Unitaria]]*STOCK[[#This Row],[Salidas]]</f>
        <v>0</v>
      </c>
      <c r="Y1465" s="77"/>
      <c r="Z1465" s="77"/>
      <c r="AA1465" s="54">
        <f>STOCK[[#This Row],[Costo total]]*STOCK[[#This Row],[Entradas]]</f>
        <v>13.2</v>
      </c>
      <c r="AB1465" s="54">
        <f>STOCK[[#This Row],[Stock Actual]]*STOCK[[#This Row],[Costo total]]</f>
        <v>13.2</v>
      </c>
      <c r="AC1465" s="77"/>
    </row>
    <row r="1466" s="53" customFormat="1" ht="50" customHeight="1" spans="1:29">
      <c r="A1466" s="53" t="s">
        <v>2946</v>
      </c>
      <c r="B1466" s="78"/>
      <c r="C1466" s="77" t="s">
        <v>32</v>
      </c>
      <c r="D1466" s="77" t="s">
        <v>2629</v>
      </c>
      <c r="E1466" s="79" t="s">
        <v>2947</v>
      </c>
      <c r="F1466" s="77" t="s">
        <v>62</v>
      </c>
      <c r="G1466" s="77"/>
      <c r="H1466" s="77">
        <f>STOCK[[#This Row],[Precio Final]]</f>
        <v>35</v>
      </c>
      <c r="I1466" s="82">
        <f>STOCK[[#This Row],[Precio Venta Ideal (x1.5)]]</f>
        <v>21.165</v>
      </c>
      <c r="J1466" s="80">
        <v>1</v>
      </c>
      <c r="K1466" s="80">
        <f>SUMIFS(VENTAS[Cantidad],VENTAS[Código del producto Vendido],STOCK[[#This Row],[Code]])</f>
        <v>0</v>
      </c>
      <c r="L1466" s="80">
        <f>STOCK[[#This Row],[Entradas]]-STOCK[[#This Row],[Salidas]]</f>
        <v>1</v>
      </c>
      <c r="M1466" s="77">
        <f>STOCK[[#This Row],[Precio Final]]*10%</f>
        <v>3.5</v>
      </c>
      <c r="N1466" s="77">
        <v>0</v>
      </c>
      <c r="O1466" s="77">
        <v>0</v>
      </c>
      <c r="P1466" s="77">
        <v>8.96</v>
      </c>
      <c r="Q1466" s="80">
        <v>0</v>
      </c>
      <c r="R1466" s="77">
        <v>0</v>
      </c>
      <c r="S1466" s="77">
        <v>1.65</v>
      </c>
      <c r="T1466" s="77">
        <f>STOCK[[#This Row],[Costo Unitario (USD)]]+STOCK[[#This Row],[Costo Envío (USD)]]+STOCK[[#This Row],[Comisión 10%]]</f>
        <v>14.11</v>
      </c>
      <c r="U1466" s="53">
        <f>STOCK[[#This Row],[Costo total]]*1.5</f>
        <v>21.165</v>
      </c>
      <c r="V1466" s="77">
        <v>35</v>
      </c>
      <c r="W1466" s="77">
        <f>STOCK[[#This Row],[Precio Final]]-STOCK[[#This Row],[Costo total]]</f>
        <v>20.89</v>
      </c>
      <c r="X1466" s="77">
        <f>STOCK[[#This Row],[Ganancia Unitaria]]*STOCK[[#This Row],[Salidas]]</f>
        <v>0</v>
      </c>
      <c r="Y1466" s="77"/>
      <c r="Z1466" s="77"/>
      <c r="AA1466" s="54">
        <f>STOCK[[#This Row],[Costo total]]*STOCK[[#This Row],[Entradas]]</f>
        <v>14.11</v>
      </c>
      <c r="AB1466" s="54">
        <f>STOCK[[#This Row],[Stock Actual]]*STOCK[[#This Row],[Costo total]]</f>
        <v>14.11</v>
      </c>
      <c r="AC1466" s="77"/>
    </row>
    <row r="1467" s="53" customFormat="1" ht="50" customHeight="1" spans="1:29">
      <c r="A1467" s="53" t="s">
        <v>2948</v>
      </c>
      <c r="B1467" s="78"/>
      <c r="C1467" s="77" t="s">
        <v>32</v>
      </c>
      <c r="D1467" s="77" t="s">
        <v>1212</v>
      </c>
      <c r="E1467" s="79" t="s">
        <v>2949</v>
      </c>
      <c r="F1467" s="77" t="s">
        <v>62</v>
      </c>
      <c r="G1467" s="77"/>
      <c r="H1467" s="77">
        <f>STOCK[[#This Row],[Precio Final]]</f>
        <v>30</v>
      </c>
      <c r="I1467" s="82">
        <f>STOCK[[#This Row],[Precio Venta Ideal (x1.5)]]</f>
        <v>17.4</v>
      </c>
      <c r="J1467" s="80">
        <v>3</v>
      </c>
      <c r="K1467" s="80">
        <f>SUMIFS(VENTAS[Cantidad],VENTAS[Código del producto Vendido],STOCK[[#This Row],[Code]])</f>
        <v>0</v>
      </c>
      <c r="L1467" s="80">
        <f>STOCK[[#This Row],[Entradas]]-STOCK[[#This Row],[Salidas]]</f>
        <v>3</v>
      </c>
      <c r="M1467" s="77">
        <f>STOCK[[#This Row],[Precio Final]]*10%</f>
        <v>3</v>
      </c>
      <c r="N1467" s="77">
        <v>0</v>
      </c>
      <c r="O1467" s="77">
        <v>0</v>
      </c>
      <c r="P1467" s="77">
        <v>6.95</v>
      </c>
      <c r="Q1467" s="80">
        <v>0</v>
      </c>
      <c r="R1467" s="77">
        <v>0</v>
      </c>
      <c r="S1467" s="77">
        <v>1.65</v>
      </c>
      <c r="T1467" s="77">
        <f>STOCK[[#This Row],[Costo Unitario (USD)]]+STOCK[[#This Row],[Costo Envío (USD)]]+STOCK[[#This Row],[Comisión 10%]]</f>
        <v>11.6</v>
      </c>
      <c r="U1467" s="53">
        <f>STOCK[[#This Row],[Costo total]]*1.5</f>
        <v>17.4</v>
      </c>
      <c r="V1467" s="77">
        <v>30</v>
      </c>
      <c r="W1467" s="77">
        <f>STOCK[[#This Row],[Precio Final]]-STOCK[[#This Row],[Costo total]]</f>
        <v>18.4</v>
      </c>
      <c r="X1467" s="77">
        <f>STOCK[[#This Row],[Ganancia Unitaria]]*STOCK[[#This Row],[Salidas]]</f>
        <v>0</v>
      </c>
      <c r="Y1467" s="77"/>
      <c r="Z1467" s="77"/>
      <c r="AA1467" s="54">
        <f>STOCK[[#This Row],[Costo total]]*STOCK[[#This Row],[Entradas]]</f>
        <v>34.8</v>
      </c>
      <c r="AB1467" s="54">
        <f>STOCK[[#This Row],[Stock Actual]]*STOCK[[#This Row],[Costo total]]</f>
        <v>34.8</v>
      </c>
      <c r="AC1467" s="77"/>
    </row>
    <row r="1468" s="53" customFormat="1" ht="50" customHeight="1" spans="1:29">
      <c r="A1468" s="53" t="s">
        <v>2950</v>
      </c>
      <c r="B1468" s="78"/>
      <c r="C1468" s="77" t="s">
        <v>32</v>
      </c>
      <c r="D1468" s="77" t="s">
        <v>1212</v>
      </c>
      <c r="E1468" s="79" t="s">
        <v>2949</v>
      </c>
      <c r="F1468" s="77" t="s">
        <v>49</v>
      </c>
      <c r="G1468" s="77"/>
      <c r="H1468" s="77">
        <f>STOCK[[#This Row],[Precio Final]]</f>
        <v>30</v>
      </c>
      <c r="I1468" s="82">
        <f>STOCK[[#This Row],[Precio Venta Ideal (x1.5)]]</f>
        <v>17.4</v>
      </c>
      <c r="J1468" s="80">
        <v>3</v>
      </c>
      <c r="K1468" s="80">
        <f>SUMIFS(VENTAS[Cantidad],VENTAS[Código del producto Vendido],STOCK[[#This Row],[Code]])</f>
        <v>0</v>
      </c>
      <c r="L1468" s="80">
        <f>STOCK[[#This Row],[Entradas]]-STOCK[[#This Row],[Salidas]]</f>
        <v>3</v>
      </c>
      <c r="M1468" s="77">
        <f>STOCK[[#This Row],[Precio Final]]*10%</f>
        <v>3</v>
      </c>
      <c r="N1468" s="77">
        <v>0</v>
      </c>
      <c r="O1468" s="77">
        <v>0</v>
      </c>
      <c r="P1468" s="77">
        <v>6.95</v>
      </c>
      <c r="Q1468" s="80">
        <v>0</v>
      </c>
      <c r="R1468" s="77">
        <v>0</v>
      </c>
      <c r="S1468" s="77">
        <v>1.65</v>
      </c>
      <c r="T1468" s="77">
        <f>STOCK[[#This Row],[Costo Unitario (USD)]]+STOCK[[#This Row],[Costo Envío (USD)]]+STOCK[[#This Row],[Comisión 10%]]</f>
        <v>11.6</v>
      </c>
      <c r="U1468" s="53">
        <f>STOCK[[#This Row],[Costo total]]*1.5</f>
        <v>17.4</v>
      </c>
      <c r="V1468" s="77">
        <v>30</v>
      </c>
      <c r="W1468" s="77">
        <f>STOCK[[#This Row],[Precio Final]]-STOCK[[#This Row],[Costo total]]</f>
        <v>18.4</v>
      </c>
      <c r="X1468" s="77">
        <f>STOCK[[#This Row],[Ganancia Unitaria]]*STOCK[[#This Row],[Salidas]]</f>
        <v>0</v>
      </c>
      <c r="Y1468" s="77"/>
      <c r="Z1468" s="77"/>
      <c r="AA1468" s="54">
        <f>STOCK[[#This Row],[Costo total]]*STOCK[[#This Row],[Entradas]]</f>
        <v>34.8</v>
      </c>
      <c r="AB1468" s="54">
        <f>STOCK[[#This Row],[Stock Actual]]*STOCK[[#This Row],[Costo total]]</f>
        <v>34.8</v>
      </c>
      <c r="AC1468" s="77"/>
    </row>
    <row r="1469" s="53" customFormat="1" ht="50" customHeight="1" spans="1:29">
      <c r="A1469" s="53" t="s">
        <v>2951</v>
      </c>
      <c r="B1469" s="78"/>
      <c r="C1469" s="77" t="s">
        <v>32</v>
      </c>
      <c r="D1469" s="77" t="s">
        <v>1212</v>
      </c>
      <c r="E1469" s="79" t="s">
        <v>2949</v>
      </c>
      <c r="F1469" s="77" t="s">
        <v>46</v>
      </c>
      <c r="G1469" s="77"/>
      <c r="H1469" s="77">
        <f>STOCK[[#This Row],[Precio Final]]</f>
        <v>30</v>
      </c>
      <c r="I1469" s="82">
        <f>STOCK[[#This Row],[Precio Venta Ideal (x1.5)]]</f>
        <v>17.4</v>
      </c>
      <c r="J1469" s="80">
        <v>3</v>
      </c>
      <c r="K1469" s="80">
        <f>SUMIFS(VENTAS[Cantidad],VENTAS[Código del producto Vendido],STOCK[[#This Row],[Code]])</f>
        <v>2</v>
      </c>
      <c r="L1469" s="80">
        <f>STOCK[[#This Row],[Entradas]]-STOCK[[#This Row],[Salidas]]</f>
        <v>1</v>
      </c>
      <c r="M1469" s="77">
        <f>STOCK[[#This Row],[Precio Final]]*10%</f>
        <v>3</v>
      </c>
      <c r="N1469" s="77">
        <v>0</v>
      </c>
      <c r="O1469" s="77">
        <v>0</v>
      </c>
      <c r="P1469" s="77">
        <v>6.95</v>
      </c>
      <c r="Q1469" s="80">
        <v>0</v>
      </c>
      <c r="R1469" s="77">
        <v>0</v>
      </c>
      <c r="S1469" s="77">
        <v>1.65</v>
      </c>
      <c r="T1469" s="77">
        <f>STOCK[[#This Row],[Costo Unitario (USD)]]+STOCK[[#This Row],[Costo Envío (USD)]]+STOCK[[#This Row],[Comisión 10%]]</f>
        <v>11.6</v>
      </c>
      <c r="U1469" s="53">
        <f>STOCK[[#This Row],[Costo total]]*1.5</f>
        <v>17.4</v>
      </c>
      <c r="V1469" s="77">
        <v>30</v>
      </c>
      <c r="W1469" s="77">
        <f>STOCK[[#This Row],[Precio Final]]-STOCK[[#This Row],[Costo total]]</f>
        <v>18.4</v>
      </c>
      <c r="X1469" s="77">
        <f>STOCK[[#This Row],[Ganancia Unitaria]]*STOCK[[#This Row],[Salidas]]</f>
        <v>36.8</v>
      </c>
      <c r="Y1469" s="77"/>
      <c r="Z1469" s="77"/>
      <c r="AA1469" s="54">
        <f>STOCK[[#This Row],[Costo total]]*STOCK[[#This Row],[Entradas]]</f>
        <v>34.8</v>
      </c>
      <c r="AB1469" s="54">
        <f>STOCK[[#This Row],[Stock Actual]]*STOCK[[#This Row],[Costo total]]</f>
        <v>11.6</v>
      </c>
      <c r="AC1469" s="77"/>
    </row>
    <row r="1470" s="53" customFormat="1" ht="50" customHeight="1" spans="1:29">
      <c r="A1470" s="53" t="s">
        <v>2952</v>
      </c>
      <c r="B1470" s="78"/>
      <c r="C1470" s="77" t="s">
        <v>32</v>
      </c>
      <c r="D1470" s="77" t="s">
        <v>1212</v>
      </c>
      <c r="E1470" s="79" t="s">
        <v>2949</v>
      </c>
      <c r="F1470" s="77" t="s">
        <v>42</v>
      </c>
      <c r="G1470" s="77"/>
      <c r="H1470" s="77">
        <f>STOCK[[#This Row],[Precio Final]]</f>
        <v>30</v>
      </c>
      <c r="I1470" s="82">
        <f>STOCK[[#This Row],[Precio Venta Ideal (x1.5)]]</f>
        <v>17.4</v>
      </c>
      <c r="J1470" s="80">
        <v>3</v>
      </c>
      <c r="K1470" s="80">
        <f>SUMIFS(VENTAS[Cantidad],VENTAS[Código del producto Vendido],STOCK[[#This Row],[Code]])</f>
        <v>0</v>
      </c>
      <c r="L1470" s="80">
        <f>STOCK[[#This Row],[Entradas]]-STOCK[[#This Row],[Salidas]]</f>
        <v>3</v>
      </c>
      <c r="M1470" s="77">
        <f>STOCK[[#This Row],[Precio Final]]*10%</f>
        <v>3</v>
      </c>
      <c r="N1470" s="77">
        <v>0</v>
      </c>
      <c r="O1470" s="77">
        <v>0</v>
      </c>
      <c r="P1470" s="77">
        <v>6.95</v>
      </c>
      <c r="Q1470" s="80">
        <v>0</v>
      </c>
      <c r="R1470" s="77">
        <v>0</v>
      </c>
      <c r="S1470" s="77">
        <v>1.65</v>
      </c>
      <c r="T1470" s="77">
        <f>STOCK[[#This Row],[Costo Unitario (USD)]]+STOCK[[#This Row],[Costo Envío (USD)]]+STOCK[[#This Row],[Comisión 10%]]</f>
        <v>11.6</v>
      </c>
      <c r="U1470" s="53">
        <f>STOCK[[#This Row],[Costo total]]*1.5</f>
        <v>17.4</v>
      </c>
      <c r="V1470" s="77">
        <v>30</v>
      </c>
      <c r="W1470" s="77">
        <f>STOCK[[#This Row],[Precio Final]]-STOCK[[#This Row],[Costo total]]</f>
        <v>18.4</v>
      </c>
      <c r="X1470" s="77">
        <f>STOCK[[#This Row],[Ganancia Unitaria]]*STOCK[[#This Row],[Salidas]]</f>
        <v>0</v>
      </c>
      <c r="Y1470" s="77"/>
      <c r="Z1470" s="77"/>
      <c r="AA1470" s="54">
        <f>STOCK[[#This Row],[Costo total]]*STOCK[[#This Row],[Entradas]]</f>
        <v>34.8</v>
      </c>
      <c r="AB1470" s="54">
        <f>STOCK[[#This Row],[Stock Actual]]*STOCK[[#This Row],[Costo total]]</f>
        <v>34.8</v>
      </c>
      <c r="AC1470" s="77"/>
    </row>
    <row r="1471" s="53" customFormat="1" ht="50" customHeight="1" spans="1:29">
      <c r="A1471" s="53" t="s">
        <v>2953</v>
      </c>
      <c r="B1471" s="78"/>
      <c r="C1471" s="77" t="s">
        <v>32</v>
      </c>
      <c r="D1471" s="77" t="s">
        <v>2629</v>
      </c>
      <c r="E1471" s="79" t="s">
        <v>2954</v>
      </c>
      <c r="F1471" s="77" t="s">
        <v>62</v>
      </c>
      <c r="G1471" s="77"/>
      <c r="H1471" s="77">
        <f>STOCK[[#This Row],[Precio Final]]</f>
        <v>30</v>
      </c>
      <c r="I1471" s="82">
        <f>STOCK[[#This Row],[Precio Venta Ideal (x1.5)]]</f>
        <v>24.45</v>
      </c>
      <c r="J1471" s="80">
        <v>1</v>
      </c>
      <c r="K1471" s="80">
        <f>SUMIFS(VENTAS[Cantidad],VENTAS[Código del producto Vendido],STOCK[[#This Row],[Code]])</f>
        <v>1</v>
      </c>
      <c r="L1471" s="80">
        <f>STOCK[[#This Row],[Entradas]]-STOCK[[#This Row],[Salidas]]</f>
        <v>0</v>
      </c>
      <c r="M1471" s="77">
        <f>STOCK[[#This Row],[Precio Final]]*10%</f>
        <v>3</v>
      </c>
      <c r="N1471" s="77">
        <v>0</v>
      </c>
      <c r="O1471" s="77">
        <v>0</v>
      </c>
      <c r="P1471" s="77">
        <v>11.65</v>
      </c>
      <c r="Q1471" s="80">
        <v>0</v>
      </c>
      <c r="R1471" s="77">
        <v>0</v>
      </c>
      <c r="S1471" s="77">
        <v>1.65</v>
      </c>
      <c r="T1471" s="77">
        <f>STOCK[[#This Row],[Costo Unitario (USD)]]+STOCK[[#This Row],[Costo Envío (USD)]]+STOCK[[#This Row],[Comisión 10%]]</f>
        <v>16.3</v>
      </c>
      <c r="U1471" s="53">
        <f>STOCK[[#This Row],[Costo total]]*1.5</f>
        <v>24.45</v>
      </c>
      <c r="V1471" s="77">
        <v>30</v>
      </c>
      <c r="W1471" s="77">
        <f>STOCK[[#This Row],[Precio Final]]-STOCK[[#This Row],[Costo total]]</f>
        <v>13.7</v>
      </c>
      <c r="X1471" s="77">
        <f>STOCK[[#This Row],[Ganancia Unitaria]]*STOCK[[#This Row],[Salidas]]</f>
        <v>13.7</v>
      </c>
      <c r="Y1471" s="77"/>
      <c r="Z1471" s="77"/>
      <c r="AA1471" s="54">
        <f>STOCK[[#This Row],[Costo total]]*STOCK[[#This Row],[Entradas]]</f>
        <v>16.3</v>
      </c>
      <c r="AB1471" s="54">
        <f>STOCK[[#This Row],[Stock Actual]]*STOCK[[#This Row],[Costo total]]</f>
        <v>0</v>
      </c>
      <c r="AC1471" s="77"/>
    </row>
    <row r="1472" s="53" customFormat="1" ht="50" customHeight="1" spans="1:29">
      <c r="A1472" s="53" t="s">
        <v>2955</v>
      </c>
      <c r="B1472" s="78"/>
      <c r="C1472" s="77" t="s">
        <v>32</v>
      </c>
      <c r="D1472" s="77" t="s">
        <v>2629</v>
      </c>
      <c r="E1472" s="79" t="s">
        <v>2956</v>
      </c>
      <c r="F1472" s="77" t="s">
        <v>46</v>
      </c>
      <c r="G1472" s="77"/>
      <c r="H1472" s="77">
        <f>STOCK[[#This Row],[Precio Final]]</f>
        <v>30</v>
      </c>
      <c r="I1472" s="82">
        <f>STOCK[[#This Row],[Precio Venta Ideal (x1.5)]]</f>
        <v>21.945</v>
      </c>
      <c r="J1472" s="80">
        <v>4</v>
      </c>
      <c r="K1472" s="80">
        <f>SUMIFS(VENTAS[Cantidad],VENTAS[Código del producto Vendido],STOCK[[#This Row],[Code]])</f>
        <v>0</v>
      </c>
      <c r="L1472" s="80">
        <f>STOCK[[#This Row],[Entradas]]-STOCK[[#This Row],[Salidas]]</f>
        <v>4</v>
      </c>
      <c r="M1472" s="77">
        <f>STOCK[[#This Row],[Precio Final]]*10%</f>
        <v>3</v>
      </c>
      <c r="N1472" s="77">
        <v>0</v>
      </c>
      <c r="O1472" s="77">
        <v>0</v>
      </c>
      <c r="P1472" s="77">
        <v>9.98</v>
      </c>
      <c r="Q1472" s="80">
        <v>0</v>
      </c>
      <c r="R1472" s="77">
        <v>0</v>
      </c>
      <c r="S1472" s="77">
        <v>1.65</v>
      </c>
      <c r="T1472" s="77">
        <f>STOCK[[#This Row],[Costo Unitario (USD)]]+STOCK[[#This Row],[Costo Envío (USD)]]+STOCK[[#This Row],[Comisión 10%]]</f>
        <v>14.63</v>
      </c>
      <c r="U1472" s="53">
        <f>STOCK[[#This Row],[Costo total]]*1.5</f>
        <v>21.945</v>
      </c>
      <c r="V1472" s="77">
        <v>30</v>
      </c>
      <c r="W1472" s="77">
        <f>STOCK[[#This Row],[Precio Final]]-STOCK[[#This Row],[Costo total]]</f>
        <v>15.37</v>
      </c>
      <c r="X1472" s="77">
        <f>STOCK[[#This Row],[Ganancia Unitaria]]*STOCK[[#This Row],[Salidas]]</f>
        <v>0</v>
      </c>
      <c r="Y1472" s="77"/>
      <c r="Z1472" s="77"/>
      <c r="AA1472" s="54">
        <f>STOCK[[#This Row],[Costo total]]*STOCK[[#This Row],[Entradas]]</f>
        <v>58.52</v>
      </c>
      <c r="AB1472" s="54">
        <f>STOCK[[#This Row],[Stock Actual]]*STOCK[[#This Row],[Costo total]]</f>
        <v>58.52</v>
      </c>
      <c r="AC1472" s="77"/>
    </row>
    <row r="1473" s="53" customFormat="1" ht="50" customHeight="1" spans="1:29">
      <c r="A1473" s="53" t="s">
        <v>2957</v>
      </c>
      <c r="B1473" s="78"/>
      <c r="C1473" s="77" t="s">
        <v>32</v>
      </c>
      <c r="D1473" s="77" t="s">
        <v>2629</v>
      </c>
      <c r="E1473" s="79" t="s">
        <v>2958</v>
      </c>
      <c r="F1473" s="77" t="s">
        <v>62</v>
      </c>
      <c r="G1473" s="77"/>
      <c r="H1473" s="77">
        <f>STOCK[[#This Row],[Precio Final]]</f>
        <v>30</v>
      </c>
      <c r="I1473" s="82">
        <f>STOCK[[#This Row],[Precio Venta Ideal (x1.5)]]</f>
        <v>27.195</v>
      </c>
      <c r="J1473" s="80">
        <v>2</v>
      </c>
      <c r="K1473" s="80">
        <f>SUMIFS(VENTAS[Cantidad],VENTAS[Código del producto Vendido],STOCK[[#This Row],[Code]])</f>
        <v>2</v>
      </c>
      <c r="L1473" s="80">
        <f>STOCK[[#This Row],[Entradas]]-STOCK[[#This Row],[Salidas]]</f>
        <v>0</v>
      </c>
      <c r="M1473" s="77">
        <f>STOCK[[#This Row],[Precio Final]]*10%</f>
        <v>3</v>
      </c>
      <c r="N1473" s="77">
        <v>0</v>
      </c>
      <c r="O1473" s="77">
        <v>0</v>
      </c>
      <c r="P1473" s="77">
        <v>13.48</v>
      </c>
      <c r="Q1473" s="80">
        <v>0</v>
      </c>
      <c r="R1473" s="77">
        <v>0</v>
      </c>
      <c r="S1473" s="77">
        <v>1.65</v>
      </c>
      <c r="T1473" s="77">
        <f>STOCK[[#This Row],[Costo Unitario (USD)]]+STOCK[[#This Row],[Costo Envío (USD)]]+STOCK[[#This Row],[Comisión 10%]]</f>
        <v>18.13</v>
      </c>
      <c r="U1473" s="53">
        <f>STOCK[[#This Row],[Costo total]]*1.5</f>
        <v>27.195</v>
      </c>
      <c r="V1473" s="77">
        <v>30</v>
      </c>
      <c r="W1473" s="77">
        <f>STOCK[[#This Row],[Precio Final]]-STOCK[[#This Row],[Costo total]]</f>
        <v>11.87</v>
      </c>
      <c r="X1473" s="77">
        <f>STOCK[[#This Row],[Ganancia Unitaria]]*STOCK[[#This Row],[Salidas]]</f>
        <v>23.74</v>
      </c>
      <c r="Y1473" s="77"/>
      <c r="Z1473" s="77"/>
      <c r="AA1473" s="54">
        <f>STOCK[[#This Row],[Costo total]]*STOCK[[#This Row],[Entradas]]</f>
        <v>36.26</v>
      </c>
      <c r="AB1473" s="54">
        <f>STOCK[[#This Row],[Stock Actual]]*STOCK[[#This Row],[Costo total]]</f>
        <v>0</v>
      </c>
      <c r="AC1473" s="77"/>
    </row>
    <row r="1474" s="53" customFormat="1" ht="50" customHeight="1" spans="1:29">
      <c r="A1474" s="53" t="s">
        <v>2959</v>
      </c>
      <c r="B1474" s="78"/>
      <c r="C1474" s="77" t="s">
        <v>32</v>
      </c>
      <c r="D1474" s="77" t="s">
        <v>2629</v>
      </c>
      <c r="E1474" s="79" t="s">
        <v>2958</v>
      </c>
      <c r="F1474" s="77" t="s">
        <v>49</v>
      </c>
      <c r="G1474" s="77"/>
      <c r="H1474" s="77">
        <f>STOCK[[#This Row],[Precio Final]]</f>
        <v>30</v>
      </c>
      <c r="I1474" s="82">
        <f>STOCK[[#This Row],[Precio Venta Ideal (x1.5)]]</f>
        <v>27.195</v>
      </c>
      <c r="J1474" s="80">
        <v>2</v>
      </c>
      <c r="K1474" s="80">
        <f>SUMIFS(VENTAS[Cantidad],VENTAS[Código del producto Vendido],STOCK[[#This Row],[Code]])</f>
        <v>3</v>
      </c>
      <c r="L1474" s="80">
        <f>STOCK[[#This Row],[Entradas]]-STOCK[[#This Row],[Salidas]]</f>
        <v>-1</v>
      </c>
      <c r="M1474" s="77">
        <f>STOCK[[#This Row],[Precio Final]]*10%</f>
        <v>3</v>
      </c>
      <c r="N1474" s="77">
        <v>0</v>
      </c>
      <c r="O1474" s="77">
        <v>0</v>
      </c>
      <c r="P1474" s="77">
        <v>13.48</v>
      </c>
      <c r="Q1474" s="80">
        <v>0</v>
      </c>
      <c r="R1474" s="77">
        <v>0</v>
      </c>
      <c r="S1474" s="77">
        <v>1.65</v>
      </c>
      <c r="T1474" s="77">
        <f>STOCK[[#This Row],[Costo Unitario (USD)]]+STOCK[[#This Row],[Costo Envío (USD)]]+STOCK[[#This Row],[Comisión 10%]]</f>
        <v>18.13</v>
      </c>
      <c r="U1474" s="53">
        <f>STOCK[[#This Row],[Costo total]]*1.5</f>
        <v>27.195</v>
      </c>
      <c r="V1474" s="77">
        <v>30</v>
      </c>
      <c r="W1474" s="77">
        <f>STOCK[[#This Row],[Precio Final]]-STOCK[[#This Row],[Costo total]]</f>
        <v>11.87</v>
      </c>
      <c r="X1474" s="77">
        <f>STOCK[[#This Row],[Ganancia Unitaria]]*STOCK[[#This Row],[Salidas]]</f>
        <v>35.61</v>
      </c>
      <c r="Y1474" s="77"/>
      <c r="Z1474" s="77"/>
      <c r="AA1474" s="54">
        <f>STOCK[[#This Row],[Costo total]]*STOCK[[#This Row],[Entradas]]</f>
        <v>36.26</v>
      </c>
      <c r="AB1474" s="54">
        <f>STOCK[[#This Row],[Stock Actual]]*STOCK[[#This Row],[Costo total]]</f>
        <v>-18.13</v>
      </c>
      <c r="AC1474" s="77"/>
    </row>
    <row r="1475" s="53" customFormat="1" ht="50" customHeight="1" spans="1:29">
      <c r="A1475" s="53" t="s">
        <v>2960</v>
      </c>
      <c r="B1475" s="78"/>
      <c r="C1475" s="77" t="s">
        <v>32</v>
      </c>
      <c r="D1475" s="77" t="s">
        <v>2629</v>
      </c>
      <c r="E1475" s="79" t="s">
        <v>2958</v>
      </c>
      <c r="F1475" s="77" t="s">
        <v>46</v>
      </c>
      <c r="G1475" s="77"/>
      <c r="H1475" s="77">
        <f>STOCK[[#This Row],[Precio Final]]</f>
        <v>30</v>
      </c>
      <c r="I1475" s="82">
        <f>STOCK[[#This Row],[Precio Venta Ideal (x1.5)]]</f>
        <v>27.195</v>
      </c>
      <c r="J1475" s="80">
        <v>2</v>
      </c>
      <c r="K1475" s="80">
        <f>SUMIFS(VENTAS[Cantidad],VENTAS[Código del producto Vendido],STOCK[[#This Row],[Code]])</f>
        <v>3</v>
      </c>
      <c r="L1475" s="80">
        <f>STOCK[[#This Row],[Entradas]]-STOCK[[#This Row],[Salidas]]</f>
        <v>-1</v>
      </c>
      <c r="M1475" s="77">
        <f>STOCK[[#This Row],[Precio Final]]*10%</f>
        <v>3</v>
      </c>
      <c r="N1475" s="77">
        <v>0</v>
      </c>
      <c r="O1475" s="77">
        <v>0</v>
      </c>
      <c r="P1475" s="77">
        <v>13.48</v>
      </c>
      <c r="Q1475" s="80">
        <v>0</v>
      </c>
      <c r="R1475" s="77">
        <v>0</v>
      </c>
      <c r="S1475" s="77">
        <v>1.65</v>
      </c>
      <c r="T1475" s="77">
        <f>STOCK[[#This Row],[Costo Unitario (USD)]]+STOCK[[#This Row],[Costo Envío (USD)]]+STOCK[[#This Row],[Comisión 10%]]</f>
        <v>18.13</v>
      </c>
      <c r="U1475" s="53">
        <f>STOCK[[#This Row],[Costo total]]*1.5</f>
        <v>27.195</v>
      </c>
      <c r="V1475" s="77">
        <v>30</v>
      </c>
      <c r="W1475" s="77">
        <f>STOCK[[#This Row],[Precio Final]]-STOCK[[#This Row],[Costo total]]</f>
        <v>11.87</v>
      </c>
      <c r="X1475" s="77">
        <f>STOCK[[#This Row],[Ganancia Unitaria]]*STOCK[[#This Row],[Salidas]]</f>
        <v>35.61</v>
      </c>
      <c r="Y1475" s="77"/>
      <c r="Z1475" s="77"/>
      <c r="AA1475" s="54">
        <f>STOCK[[#This Row],[Costo total]]*STOCK[[#This Row],[Entradas]]</f>
        <v>36.26</v>
      </c>
      <c r="AB1475" s="54">
        <f>STOCK[[#This Row],[Stock Actual]]*STOCK[[#This Row],[Costo total]]</f>
        <v>-18.13</v>
      </c>
      <c r="AC1475" s="77"/>
    </row>
    <row r="1476" s="53" customFormat="1" ht="50" customHeight="1" spans="1:29">
      <c r="A1476" s="53" t="s">
        <v>2961</v>
      </c>
      <c r="B1476" s="78"/>
      <c r="C1476" s="77" t="s">
        <v>32</v>
      </c>
      <c r="D1476" s="77" t="s">
        <v>2629</v>
      </c>
      <c r="E1476" s="79" t="s">
        <v>2962</v>
      </c>
      <c r="F1476" s="77" t="s">
        <v>62</v>
      </c>
      <c r="G1476" s="77"/>
      <c r="H1476" s="77">
        <f>STOCK[[#This Row],[Precio Final]]</f>
        <v>25</v>
      </c>
      <c r="I1476" s="82">
        <f>STOCK[[#This Row],[Precio Venta Ideal (x1.5)]]</f>
        <v>24.195</v>
      </c>
      <c r="J1476" s="80">
        <v>1</v>
      </c>
      <c r="K1476" s="80">
        <f>SUMIFS(VENTAS[Cantidad],VENTAS[Código del producto Vendido],STOCK[[#This Row],[Code]])</f>
        <v>2</v>
      </c>
      <c r="L1476" s="80">
        <f>STOCK[[#This Row],[Entradas]]-STOCK[[#This Row],[Salidas]]</f>
        <v>-1</v>
      </c>
      <c r="M1476" s="77">
        <f>STOCK[[#This Row],[Precio Final]]*10%</f>
        <v>2.5</v>
      </c>
      <c r="N1476" s="77">
        <v>0</v>
      </c>
      <c r="O1476" s="77">
        <v>0</v>
      </c>
      <c r="P1476" s="77">
        <v>11.98</v>
      </c>
      <c r="Q1476" s="80">
        <v>0</v>
      </c>
      <c r="R1476" s="77">
        <v>0</v>
      </c>
      <c r="S1476" s="77">
        <v>1.65</v>
      </c>
      <c r="T1476" s="77">
        <f>STOCK[[#This Row],[Costo Unitario (USD)]]+STOCK[[#This Row],[Costo Envío (USD)]]+STOCK[[#This Row],[Comisión 10%]]</f>
        <v>16.13</v>
      </c>
      <c r="U1476" s="53">
        <f>STOCK[[#This Row],[Costo total]]*1.5</f>
        <v>24.195</v>
      </c>
      <c r="V1476" s="77">
        <v>25</v>
      </c>
      <c r="W1476" s="77">
        <f>STOCK[[#This Row],[Precio Final]]-STOCK[[#This Row],[Costo total]]</f>
        <v>8.87</v>
      </c>
      <c r="X1476" s="77">
        <f>STOCK[[#This Row],[Ganancia Unitaria]]*STOCK[[#This Row],[Salidas]]</f>
        <v>17.74</v>
      </c>
      <c r="Y1476" s="77"/>
      <c r="Z1476" s="77"/>
      <c r="AA1476" s="54">
        <f>STOCK[[#This Row],[Costo total]]*STOCK[[#This Row],[Entradas]]</f>
        <v>16.13</v>
      </c>
      <c r="AB1476" s="54">
        <f>STOCK[[#This Row],[Stock Actual]]*STOCK[[#This Row],[Costo total]]</f>
        <v>-16.13</v>
      </c>
      <c r="AC1476" s="77"/>
    </row>
    <row r="1477" s="53" customFormat="1" ht="50" customHeight="1" spans="1:29">
      <c r="A1477" s="53" t="s">
        <v>2963</v>
      </c>
      <c r="B1477" s="78"/>
      <c r="C1477" s="77" t="s">
        <v>32</v>
      </c>
      <c r="D1477" s="77" t="s">
        <v>2629</v>
      </c>
      <c r="E1477" s="79" t="s">
        <v>2962</v>
      </c>
      <c r="F1477" s="77" t="s">
        <v>49</v>
      </c>
      <c r="G1477" s="77"/>
      <c r="H1477" s="77">
        <f>STOCK[[#This Row],[Precio Final]]</f>
        <v>25</v>
      </c>
      <c r="I1477" s="82">
        <f>STOCK[[#This Row],[Precio Venta Ideal (x1.5)]]</f>
        <v>24.195</v>
      </c>
      <c r="J1477" s="80">
        <v>1</v>
      </c>
      <c r="K1477" s="80">
        <f>SUMIFS(VENTAS[Cantidad],VENTAS[Código del producto Vendido],STOCK[[#This Row],[Code]])</f>
        <v>1</v>
      </c>
      <c r="L1477" s="80">
        <f>STOCK[[#This Row],[Entradas]]-STOCK[[#This Row],[Salidas]]</f>
        <v>0</v>
      </c>
      <c r="M1477" s="77">
        <f>STOCK[[#This Row],[Precio Final]]*10%</f>
        <v>2.5</v>
      </c>
      <c r="N1477" s="77">
        <v>0</v>
      </c>
      <c r="O1477" s="77">
        <v>0</v>
      </c>
      <c r="P1477" s="77">
        <v>11.98</v>
      </c>
      <c r="Q1477" s="80">
        <v>0</v>
      </c>
      <c r="R1477" s="77">
        <v>0</v>
      </c>
      <c r="S1477" s="77">
        <v>1.65</v>
      </c>
      <c r="T1477" s="77">
        <f>STOCK[[#This Row],[Costo Unitario (USD)]]+STOCK[[#This Row],[Costo Envío (USD)]]+STOCK[[#This Row],[Comisión 10%]]</f>
        <v>16.13</v>
      </c>
      <c r="U1477" s="53">
        <f>STOCK[[#This Row],[Costo total]]*1.5</f>
        <v>24.195</v>
      </c>
      <c r="V1477" s="77">
        <v>25</v>
      </c>
      <c r="W1477" s="77">
        <f>STOCK[[#This Row],[Precio Final]]-STOCK[[#This Row],[Costo total]]</f>
        <v>8.87</v>
      </c>
      <c r="X1477" s="77">
        <f>STOCK[[#This Row],[Ganancia Unitaria]]*STOCK[[#This Row],[Salidas]]</f>
        <v>8.87</v>
      </c>
      <c r="Y1477" s="77"/>
      <c r="Z1477" s="77"/>
      <c r="AA1477" s="54">
        <f>STOCK[[#This Row],[Costo total]]*STOCK[[#This Row],[Entradas]]</f>
        <v>16.13</v>
      </c>
      <c r="AB1477" s="54">
        <f>STOCK[[#This Row],[Stock Actual]]*STOCK[[#This Row],[Costo total]]</f>
        <v>0</v>
      </c>
      <c r="AC1477" s="77"/>
    </row>
    <row r="1478" s="53" customFormat="1" ht="50" customHeight="1" spans="1:29">
      <c r="A1478" s="53" t="s">
        <v>2964</v>
      </c>
      <c r="B1478" s="78"/>
      <c r="C1478" s="77" t="s">
        <v>32</v>
      </c>
      <c r="D1478" s="77" t="s">
        <v>2629</v>
      </c>
      <c r="E1478" s="79" t="s">
        <v>2945</v>
      </c>
      <c r="F1478" s="77" t="s">
        <v>49</v>
      </c>
      <c r="G1478" s="77"/>
      <c r="H1478" s="77">
        <f>STOCK[[#This Row],[Precio Final]]</f>
        <v>30</v>
      </c>
      <c r="I1478" s="82">
        <f>STOCK[[#This Row],[Precio Venta Ideal (x1.5)]]</f>
        <v>19.8</v>
      </c>
      <c r="J1478" s="80">
        <v>1</v>
      </c>
      <c r="K1478" s="80">
        <f>SUMIFS(VENTAS[Cantidad],VENTAS[Código del producto Vendido],STOCK[[#This Row],[Code]])</f>
        <v>0</v>
      </c>
      <c r="L1478" s="80">
        <f>STOCK[[#This Row],[Entradas]]-STOCK[[#This Row],[Salidas]]</f>
        <v>1</v>
      </c>
      <c r="M1478" s="77">
        <f>STOCK[[#This Row],[Precio Final]]*10%</f>
        <v>3</v>
      </c>
      <c r="N1478" s="77">
        <v>0</v>
      </c>
      <c r="O1478" s="77">
        <v>0</v>
      </c>
      <c r="P1478" s="77">
        <v>8.55</v>
      </c>
      <c r="Q1478" s="80">
        <v>0</v>
      </c>
      <c r="R1478" s="77">
        <v>0</v>
      </c>
      <c r="S1478" s="77">
        <v>1.65</v>
      </c>
      <c r="T1478" s="77">
        <f>STOCK[[#This Row],[Costo Unitario (USD)]]+STOCK[[#This Row],[Costo Envío (USD)]]+STOCK[[#This Row],[Comisión 10%]]</f>
        <v>13.2</v>
      </c>
      <c r="U1478" s="53">
        <f>STOCK[[#This Row],[Costo total]]*1.5</f>
        <v>19.8</v>
      </c>
      <c r="V1478" s="77">
        <v>30</v>
      </c>
      <c r="W1478" s="77">
        <f>STOCK[[#This Row],[Precio Final]]-STOCK[[#This Row],[Costo total]]</f>
        <v>16.8</v>
      </c>
      <c r="X1478" s="77">
        <f>STOCK[[#This Row],[Ganancia Unitaria]]*STOCK[[#This Row],[Salidas]]</f>
        <v>0</v>
      </c>
      <c r="Y1478" s="77"/>
      <c r="Z1478" s="77"/>
      <c r="AA1478" s="54">
        <f>STOCK[[#This Row],[Costo total]]*STOCK[[#This Row],[Entradas]]</f>
        <v>13.2</v>
      </c>
      <c r="AB1478" s="54">
        <f>STOCK[[#This Row],[Stock Actual]]*STOCK[[#This Row],[Costo total]]</f>
        <v>13.2</v>
      </c>
      <c r="AC1478" s="77"/>
    </row>
    <row r="1479" s="53" customFormat="1" ht="50" customHeight="1" spans="1:29">
      <c r="A1479" s="53" t="s">
        <v>2965</v>
      </c>
      <c r="B1479" s="78"/>
      <c r="C1479" s="77" t="s">
        <v>32</v>
      </c>
      <c r="D1479" s="77" t="s">
        <v>2629</v>
      </c>
      <c r="E1479" s="79" t="s">
        <v>2966</v>
      </c>
      <c r="F1479" s="77" t="s">
        <v>1047</v>
      </c>
      <c r="G1479" s="77"/>
      <c r="H1479" s="77">
        <f>STOCK[[#This Row],[Precio Final]]</f>
        <v>20</v>
      </c>
      <c r="I1479" s="82">
        <f>STOCK[[#This Row],[Precio Venta Ideal (x1.5)]]</f>
        <v>14.445</v>
      </c>
      <c r="J1479" s="80">
        <v>2</v>
      </c>
      <c r="K1479" s="80">
        <f>SUMIFS(VENTAS[Cantidad],VENTAS[Código del producto Vendido],STOCK[[#This Row],[Code]])</f>
        <v>3</v>
      </c>
      <c r="L1479" s="80">
        <f>STOCK[[#This Row],[Entradas]]-STOCK[[#This Row],[Salidas]]</f>
        <v>-1</v>
      </c>
      <c r="M1479" s="77">
        <f>STOCK[[#This Row],[Precio Final]]*10%</f>
        <v>2</v>
      </c>
      <c r="N1479" s="77">
        <v>0</v>
      </c>
      <c r="O1479" s="77">
        <v>0</v>
      </c>
      <c r="P1479" s="77">
        <v>5.98</v>
      </c>
      <c r="Q1479" s="80">
        <v>0</v>
      </c>
      <c r="R1479" s="77">
        <v>0</v>
      </c>
      <c r="S1479" s="77">
        <v>1.65</v>
      </c>
      <c r="T1479" s="77">
        <f>STOCK[[#This Row],[Costo Unitario (USD)]]+STOCK[[#This Row],[Costo Envío (USD)]]+STOCK[[#This Row],[Comisión 10%]]</f>
        <v>9.63</v>
      </c>
      <c r="U1479" s="53">
        <f>STOCK[[#This Row],[Costo total]]*1.5</f>
        <v>14.445</v>
      </c>
      <c r="V1479" s="77">
        <v>20</v>
      </c>
      <c r="W1479" s="77">
        <f>STOCK[[#This Row],[Precio Final]]-STOCK[[#This Row],[Costo total]]</f>
        <v>10.37</v>
      </c>
      <c r="X1479" s="77">
        <f>STOCK[[#This Row],[Ganancia Unitaria]]*STOCK[[#This Row],[Salidas]]</f>
        <v>31.11</v>
      </c>
      <c r="Y1479" s="77"/>
      <c r="Z1479" s="77"/>
      <c r="AA1479" s="54">
        <f>STOCK[[#This Row],[Costo total]]*STOCK[[#This Row],[Entradas]]</f>
        <v>19.26</v>
      </c>
      <c r="AB1479" s="54">
        <f>STOCK[[#This Row],[Stock Actual]]*STOCK[[#This Row],[Costo total]]</f>
        <v>-9.63</v>
      </c>
      <c r="AC1479" s="77"/>
    </row>
    <row r="1480" s="53" customFormat="1" ht="50" customHeight="1" spans="1:29">
      <c r="A1480" s="53" t="s">
        <v>2967</v>
      </c>
      <c r="B1480" s="78"/>
      <c r="C1480" s="77" t="s">
        <v>32</v>
      </c>
      <c r="D1480" s="77" t="s">
        <v>2629</v>
      </c>
      <c r="E1480" s="79" t="s">
        <v>2966</v>
      </c>
      <c r="F1480" s="77" t="s">
        <v>49</v>
      </c>
      <c r="G1480" s="77"/>
      <c r="H1480" s="77">
        <f>STOCK[[#This Row],[Precio Final]]</f>
        <v>20</v>
      </c>
      <c r="I1480" s="82">
        <f>STOCK[[#This Row],[Precio Venta Ideal (x1.5)]]</f>
        <v>14.445</v>
      </c>
      <c r="J1480" s="80">
        <v>1</v>
      </c>
      <c r="K1480" s="80">
        <f>SUMIFS(VENTAS[Cantidad],VENTAS[Código del producto Vendido],STOCK[[#This Row],[Code]])</f>
        <v>1</v>
      </c>
      <c r="L1480" s="80">
        <f>STOCK[[#This Row],[Entradas]]-STOCK[[#This Row],[Salidas]]</f>
        <v>0</v>
      </c>
      <c r="M1480" s="77">
        <f>STOCK[[#This Row],[Precio Final]]*10%</f>
        <v>2</v>
      </c>
      <c r="N1480" s="77">
        <v>0</v>
      </c>
      <c r="O1480" s="77">
        <v>0</v>
      </c>
      <c r="P1480" s="77">
        <v>5.98</v>
      </c>
      <c r="Q1480" s="80">
        <v>0</v>
      </c>
      <c r="R1480" s="77">
        <v>0</v>
      </c>
      <c r="S1480" s="77">
        <v>1.65</v>
      </c>
      <c r="T1480" s="77">
        <f>STOCK[[#This Row],[Costo Unitario (USD)]]+STOCK[[#This Row],[Costo Envío (USD)]]+STOCK[[#This Row],[Comisión 10%]]</f>
        <v>9.63</v>
      </c>
      <c r="U1480" s="53">
        <f>STOCK[[#This Row],[Costo total]]*1.5</f>
        <v>14.445</v>
      </c>
      <c r="V1480" s="77">
        <v>20</v>
      </c>
      <c r="W1480" s="77">
        <f>STOCK[[#This Row],[Precio Final]]-STOCK[[#This Row],[Costo total]]</f>
        <v>10.37</v>
      </c>
      <c r="X1480" s="77">
        <f>STOCK[[#This Row],[Ganancia Unitaria]]*STOCK[[#This Row],[Salidas]]</f>
        <v>10.37</v>
      </c>
      <c r="Y1480" s="77"/>
      <c r="Z1480" s="77"/>
      <c r="AA1480" s="54">
        <f>STOCK[[#This Row],[Costo total]]*STOCK[[#This Row],[Entradas]]</f>
        <v>9.63</v>
      </c>
      <c r="AB1480" s="54">
        <f>STOCK[[#This Row],[Stock Actual]]*STOCK[[#This Row],[Costo total]]</f>
        <v>0</v>
      </c>
      <c r="AC1480" s="77"/>
    </row>
    <row r="1481" s="53" customFormat="1" ht="50" customHeight="1" spans="1:29">
      <c r="A1481" s="53" t="s">
        <v>2968</v>
      </c>
      <c r="B1481" s="78"/>
      <c r="C1481" s="77" t="s">
        <v>32</v>
      </c>
      <c r="D1481" s="77" t="s">
        <v>2629</v>
      </c>
      <c r="E1481" s="79" t="s">
        <v>2966</v>
      </c>
      <c r="F1481" s="77" t="s">
        <v>46</v>
      </c>
      <c r="G1481" s="77"/>
      <c r="H1481" s="77">
        <f>STOCK[[#This Row],[Precio Final]]</f>
        <v>20</v>
      </c>
      <c r="I1481" s="82">
        <f>STOCK[[#This Row],[Precio Venta Ideal (x1.5)]]</f>
        <v>14.445</v>
      </c>
      <c r="J1481" s="80">
        <v>1</v>
      </c>
      <c r="K1481" s="80">
        <f>SUMIFS(VENTAS[Cantidad],VENTAS[Código del producto Vendido],STOCK[[#This Row],[Code]])</f>
        <v>2</v>
      </c>
      <c r="L1481" s="80">
        <f>STOCK[[#This Row],[Entradas]]-STOCK[[#This Row],[Salidas]]</f>
        <v>-1</v>
      </c>
      <c r="M1481" s="77">
        <f>STOCK[[#This Row],[Precio Final]]*10%</f>
        <v>2</v>
      </c>
      <c r="N1481" s="77">
        <v>0</v>
      </c>
      <c r="O1481" s="77">
        <v>0</v>
      </c>
      <c r="P1481" s="77">
        <v>5.98</v>
      </c>
      <c r="Q1481" s="80">
        <v>0</v>
      </c>
      <c r="R1481" s="77">
        <v>0</v>
      </c>
      <c r="S1481" s="77">
        <v>1.65</v>
      </c>
      <c r="T1481" s="77">
        <f>STOCK[[#This Row],[Costo Unitario (USD)]]+STOCK[[#This Row],[Costo Envío (USD)]]+STOCK[[#This Row],[Comisión 10%]]</f>
        <v>9.63</v>
      </c>
      <c r="U1481" s="53">
        <f>STOCK[[#This Row],[Costo total]]*1.5</f>
        <v>14.445</v>
      </c>
      <c r="V1481" s="77">
        <v>20</v>
      </c>
      <c r="W1481" s="77">
        <f>STOCK[[#This Row],[Precio Final]]-STOCK[[#This Row],[Costo total]]</f>
        <v>10.37</v>
      </c>
      <c r="X1481" s="77">
        <f>STOCK[[#This Row],[Ganancia Unitaria]]*STOCK[[#This Row],[Salidas]]</f>
        <v>20.74</v>
      </c>
      <c r="Y1481" s="77"/>
      <c r="Z1481" s="77"/>
      <c r="AA1481" s="54">
        <f>STOCK[[#This Row],[Costo total]]*STOCK[[#This Row],[Entradas]]</f>
        <v>9.63</v>
      </c>
      <c r="AB1481" s="54">
        <f>STOCK[[#This Row],[Stock Actual]]*STOCK[[#This Row],[Costo total]]</f>
        <v>-9.63</v>
      </c>
      <c r="AC1481" s="77"/>
    </row>
    <row r="1482" s="53" customFormat="1" ht="50" customHeight="1" spans="1:29">
      <c r="A1482" s="53" t="s">
        <v>2969</v>
      </c>
      <c r="B1482" s="78"/>
      <c r="C1482" s="77" t="s">
        <v>32</v>
      </c>
      <c r="D1482" s="77" t="s">
        <v>2133</v>
      </c>
      <c r="E1482" s="79" t="s">
        <v>2970</v>
      </c>
      <c r="F1482" s="77" t="s">
        <v>49</v>
      </c>
      <c r="G1482" s="77"/>
      <c r="H1482" s="77">
        <f>STOCK[[#This Row],[Precio Final]]</f>
        <v>40</v>
      </c>
      <c r="I1482" s="82">
        <f>STOCK[[#This Row],[Precio Venta Ideal (x1.5)]]</f>
        <v>27.855</v>
      </c>
      <c r="J1482" s="80">
        <v>1</v>
      </c>
      <c r="K1482" s="80">
        <f>SUMIFS(VENTAS[Cantidad],VENTAS[Código del producto Vendido],STOCK[[#This Row],[Code]])</f>
        <v>2</v>
      </c>
      <c r="L1482" s="80">
        <f>STOCK[[#This Row],[Entradas]]-STOCK[[#This Row],[Salidas]]</f>
        <v>-1</v>
      </c>
      <c r="M1482" s="77">
        <f>STOCK[[#This Row],[Precio Final]]*10%</f>
        <v>4</v>
      </c>
      <c r="N1482" s="77">
        <v>0</v>
      </c>
      <c r="O1482" s="77">
        <v>0</v>
      </c>
      <c r="P1482" s="77">
        <v>12.92</v>
      </c>
      <c r="Q1482" s="80">
        <v>0</v>
      </c>
      <c r="R1482" s="77">
        <v>0</v>
      </c>
      <c r="S1482" s="77">
        <v>1.65</v>
      </c>
      <c r="T1482" s="77">
        <f>STOCK[[#This Row],[Costo Unitario (USD)]]+STOCK[[#This Row],[Costo Envío (USD)]]+STOCK[[#This Row],[Comisión 10%]]</f>
        <v>18.57</v>
      </c>
      <c r="U1482" s="53">
        <f>STOCK[[#This Row],[Costo total]]*1.5</f>
        <v>27.855</v>
      </c>
      <c r="V1482" s="77">
        <v>40</v>
      </c>
      <c r="W1482" s="77">
        <f>STOCK[[#This Row],[Precio Final]]-STOCK[[#This Row],[Costo total]]</f>
        <v>21.43</v>
      </c>
      <c r="X1482" s="77">
        <f>STOCK[[#This Row],[Ganancia Unitaria]]*STOCK[[#This Row],[Salidas]]</f>
        <v>42.86</v>
      </c>
      <c r="Y1482" s="77"/>
      <c r="Z1482" s="77"/>
      <c r="AA1482" s="54">
        <f>STOCK[[#This Row],[Costo total]]*STOCK[[#This Row],[Entradas]]</f>
        <v>18.57</v>
      </c>
      <c r="AB1482" s="54">
        <f>STOCK[[#This Row],[Stock Actual]]*STOCK[[#This Row],[Costo total]]</f>
        <v>-18.57</v>
      </c>
      <c r="AC1482" s="77"/>
    </row>
    <row r="1483" s="53" customFormat="1" ht="50" customHeight="1" spans="1:29">
      <c r="A1483" s="53" t="s">
        <v>2971</v>
      </c>
      <c r="B1483" s="78"/>
      <c r="C1483" s="77" t="s">
        <v>32</v>
      </c>
      <c r="D1483" s="77" t="s">
        <v>2629</v>
      </c>
      <c r="E1483" s="79" t="s">
        <v>2966</v>
      </c>
      <c r="F1483" s="77" t="s">
        <v>62</v>
      </c>
      <c r="G1483" s="77"/>
      <c r="H1483" s="77">
        <f>STOCK[[#This Row],[Precio Final]]</f>
        <v>20</v>
      </c>
      <c r="I1483" s="82">
        <f>STOCK[[#This Row],[Precio Venta Ideal (x1.5)]]</f>
        <v>14.445</v>
      </c>
      <c r="J1483" s="80">
        <v>2</v>
      </c>
      <c r="K1483" s="80">
        <f>SUMIFS(VENTAS[Cantidad],VENTAS[Código del producto Vendido],STOCK[[#This Row],[Code]])</f>
        <v>2</v>
      </c>
      <c r="L1483" s="80">
        <f>STOCK[[#This Row],[Entradas]]-STOCK[[#This Row],[Salidas]]</f>
        <v>0</v>
      </c>
      <c r="M1483" s="77">
        <f>STOCK[[#This Row],[Precio Final]]*10%</f>
        <v>2</v>
      </c>
      <c r="N1483" s="77">
        <v>0</v>
      </c>
      <c r="O1483" s="77">
        <v>0</v>
      </c>
      <c r="P1483" s="77">
        <v>5.98</v>
      </c>
      <c r="Q1483" s="80">
        <v>0</v>
      </c>
      <c r="R1483" s="77">
        <v>0</v>
      </c>
      <c r="S1483" s="77">
        <v>1.65</v>
      </c>
      <c r="T1483" s="77">
        <f>STOCK[[#This Row],[Costo Unitario (USD)]]+STOCK[[#This Row],[Costo Envío (USD)]]+STOCK[[#This Row],[Comisión 10%]]</f>
        <v>9.63</v>
      </c>
      <c r="U1483" s="53">
        <f>STOCK[[#This Row],[Costo total]]*1.5</f>
        <v>14.445</v>
      </c>
      <c r="V1483" s="77">
        <v>20</v>
      </c>
      <c r="W1483" s="77">
        <f>STOCK[[#This Row],[Precio Final]]-STOCK[[#This Row],[Costo total]]</f>
        <v>10.37</v>
      </c>
      <c r="X1483" s="77">
        <f>STOCK[[#This Row],[Ganancia Unitaria]]*STOCK[[#This Row],[Salidas]]</f>
        <v>20.74</v>
      </c>
      <c r="Y1483" s="77"/>
      <c r="Z1483" s="77"/>
      <c r="AA1483" s="54">
        <f>STOCK[[#This Row],[Costo total]]*STOCK[[#This Row],[Entradas]]</f>
        <v>19.26</v>
      </c>
      <c r="AB1483" s="54">
        <f>STOCK[[#This Row],[Stock Actual]]*STOCK[[#This Row],[Costo total]]</f>
        <v>0</v>
      </c>
      <c r="AC1483" s="77"/>
    </row>
    <row r="1484" s="53" customFormat="1" ht="50" customHeight="1" spans="1:29">
      <c r="A1484" s="53" t="s">
        <v>2972</v>
      </c>
      <c r="B1484" s="78"/>
      <c r="C1484" s="77" t="s">
        <v>32</v>
      </c>
      <c r="D1484" s="77" t="s">
        <v>2629</v>
      </c>
      <c r="E1484" s="79" t="s">
        <v>2973</v>
      </c>
      <c r="F1484" s="77" t="s">
        <v>62</v>
      </c>
      <c r="G1484" s="77"/>
      <c r="H1484" s="77">
        <f>STOCK[[#This Row],[Precio Final]]</f>
        <v>25</v>
      </c>
      <c r="I1484" s="82">
        <f>STOCK[[#This Row],[Precio Venta Ideal (x1.5)]]</f>
        <v>22.23</v>
      </c>
      <c r="J1484" s="80">
        <v>2</v>
      </c>
      <c r="K1484" s="80">
        <f>SUMIFS(VENTAS[Cantidad],VENTAS[Código del producto Vendido],STOCK[[#This Row],[Code]])</f>
        <v>4</v>
      </c>
      <c r="L1484" s="80">
        <f>STOCK[[#This Row],[Entradas]]-STOCK[[#This Row],[Salidas]]</f>
        <v>-2</v>
      </c>
      <c r="M1484" s="77">
        <f>STOCK[[#This Row],[Precio Final]]*10%</f>
        <v>2.5</v>
      </c>
      <c r="N1484" s="77">
        <v>0</v>
      </c>
      <c r="O1484" s="77">
        <v>0</v>
      </c>
      <c r="P1484" s="77">
        <v>10.67</v>
      </c>
      <c r="Q1484" s="80">
        <v>0</v>
      </c>
      <c r="R1484" s="77">
        <v>0</v>
      </c>
      <c r="S1484" s="77">
        <v>1.65</v>
      </c>
      <c r="T1484" s="77">
        <f>STOCK[[#This Row],[Costo Unitario (USD)]]+STOCK[[#This Row],[Costo Envío (USD)]]+STOCK[[#This Row],[Comisión 10%]]</f>
        <v>14.82</v>
      </c>
      <c r="U1484" s="53">
        <f>STOCK[[#This Row],[Costo total]]*1.5</f>
        <v>22.23</v>
      </c>
      <c r="V1484" s="77">
        <v>25</v>
      </c>
      <c r="W1484" s="77">
        <f>STOCK[[#This Row],[Precio Final]]-STOCK[[#This Row],[Costo total]]</f>
        <v>10.18</v>
      </c>
      <c r="X1484" s="77">
        <f>STOCK[[#This Row],[Ganancia Unitaria]]*STOCK[[#This Row],[Salidas]]</f>
        <v>40.72</v>
      </c>
      <c r="Y1484" s="77"/>
      <c r="Z1484" s="77"/>
      <c r="AA1484" s="54">
        <f>STOCK[[#This Row],[Costo total]]*STOCK[[#This Row],[Entradas]]</f>
        <v>29.64</v>
      </c>
      <c r="AB1484" s="54">
        <f>STOCK[[#This Row],[Stock Actual]]*STOCK[[#This Row],[Costo total]]</f>
        <v>-29.64</v>
      </c>
      <c r="AC1484" s="77"/>
    </row>
    <row r="1485" s="53" customFormat="1" ht="50" customHeight="1" spans="1:29">
      <c r="A1485" s="53" t="s">
        <v>2974</v>
      </c>
      <c r="B1485" s="78"/>
      <c r="C1485" s="77" t="s">
        <v>32</v>
      </c>
      <c r="D1485" s="77" t="s">
        <v>2629</v>
      </c>
      <c r="E1485" s="79" t="s">
        <v>2973</v>
      </c>
      <c r="F1485" s="77" t="s">
        <v>49</v>
      </c>
      <c r="G1485" s="77"/>
      <c r="H1485" s="77">
        <f>STOCK[[#This Row],[Precio Final]]</f>
        <v>25</v>
      </c>
      <c r="I1485" s="82">
        <f>STOCK[[#This Row],[Precio Venta Ideal (x1.5)]]</f>
        <v>22.23</v>
      </c>
      <c r="J1485" s="80">
        <v>2</v>
      </c>
      <c r="K1485" s="80">
        <f>SUMIFS(VENTAS[Cantidad],VENTAS[Código del producto Vendido],STOCK[[#This Row],[Code]])</f>
        <v>4</v>
      </c>
      <c r="L1485" s="80">
        <f>STOCK[[#This Row],[Entradas]]-STOCK[[#This Row],[Salidas]]</f>
        <v>-2</v>
      </c>
      <c r="M1485" s="77">
        <f>STOCK[[#This Row],[Precio Final]]*10%</f>
        <v>2.5</v>
      </c>
      <c r="N1485" s="77">
        <v>0</v>
      </c>
      <c r="O1485" s="77">
        <v>0</v>
      </c>
      <c r="P1485" s="77">
        <v>10.67</v>
      </c>
      <c r="Q1485" s="80">
        <v>0</v>
      </c>
      <c r="R1485" s="77">
        <v>0</v>
      </c>
      <c r="S1485" s="77">
        <v>1.65</v>
      </c>
      <c r="T1485" s="77">
        <f>STOCK[[#This Row],[Costo Unitario (USD)]]+STOCK[[#This Row],[Costo Envío (USD)]]+STOCK[[#This Row],[Comisión 10%]]</f>
        <v>14.82</v>
      </c>
      <c r="U1485" s="53">
        <f>STOCK[[#This Row],[Costo total]]*1.5</f>
        <v>22.23</v>
      </c>
      <c r="V1485" s="77">
        <v>25</v>
      </c>
      <c r="W1485" s="77">
        <f>STOCK[[#This Row],[Precio Final]]-STOCK[[#This Row],[Costo total]]</f>
        <v>10.18</v>
      </c>
      <c r="X1485" s="77">
        <f>STOCK[[#This Row],[Ganancia Unitaria]]*STOCK[[#This Row],[Salidas]]</f>
        <v>40.72</v>
      </c>
      <c r="Y1485" s="77"/>
      <c r="Z1485" s="77"/>
      <c r="AA1485" s="54">
        <f>STOCK[[#This Row],[Costo total]]*STOCK[[#This Row],[Entradas]]</f>
        <v>29.64</v>
      </c>
      <c r="AB1485" s="54">
        <f>STOCK[[#This Row],[Stock Actual]]*STOCK[[#This Row],[Costo total]]</f>
        <v>-29.64</v>
      </c>
      <c r="AC1485" s="77"/>
    </row>
    <row r="1486" s="53" customFormat="1" ht="50" customHeight="1" spans="1:29">
      <c r="A1486" s="53" t="s">
        <v>2975</v>
      </c>
      <c r="B1486" s="78"/>
      <c r="C1486" s="77" t="s">
        <v>32</v>
      </c>
      <c r="D1486" s="77" t="s">
        <v>2629</v>
      </c>
      <c r="E1486" s="79" t="s">
        <v>2973</v>
      </c>
      <c r="F1486" s="77" t="s">
        <v>46</v>
      </c>
      <c r="G1486" s="77"/>
      <c r="H1486" s="77">
        <f>STOCK[[#This Row],[Precio Final]]</f>
        <v>25</v>
      </c>
      <c r="I1486" s="82">
        <f>STOCK[[#This Row],[Precio Venta Ideal (x1.5)]]</f>
        <v>22.23</v>
      </c>
      <c r="J1486" s="80">
        <v>2</v>
      </c>
      <c r="K1486" s="80">
        <f>SUMIFS(VENTAS[Cantidad],VENTAS[Código del producto Vendido],STOCK[[#This Row],[Code]])</f>
        <v>1</v>
      </c>
      <c r="L1486" s="80">
        <f>STOCK[[#This Row],[Entradas]]-STOCK[[#This Row],[Salidas]]</f>
        <v>1</v>
      </c>
      <c r="M1486" s="77">
        <f>STOCK[[#This Row],[Precio Final]]*10%</f>
        <v>2.5</v>
      </c>
      <c r="N1486" s="77">
        <v>0</v>
      </c>
      <c r="O1486" s="77">
        <v>0</v>
      </c>
      <c r="P1486" s="77">
        <v>10.67</v>
      </c>
      <c r="Q1486" s="80">
        <v>0</v>
      </c>
      <c r="R1486" s="77">
        <v>0</v>
      </c>
      <c r="S1486" s="77">
        <v>1.65</v>
      </c>
      <c r="T1486" s="77">
        <f>STOCK[[#This Row],[Costo Unitario (USD)]]+STOCK[[#This Row],[Costo Envío (USD)]]+STOCK[[#This Row],[Comisión 10%]]</f>
        <v>14.82</v>
      </c>
      <c r="U1486" s="53">
        <f>STOCK[[#This Row],[Costo total]]*1.5</f>
        <v>22.23</v>
      </c>
      <c r="V1486" s="77">
        <v>25</v>
      </c>
      <c r="W1486" s="77">
        <f>STOCK[[#This Row],[Precio Final]]-STOCK[[#This Row],[Costo total]]</f>
        <v>10.18</v>
      </c>
      <c r="X1486" s="77">
        <f>STOCK[[#This Row],[Ganancia Unitaria]]*STOCK[[#This Row],[Salidas]]</f>
        <v>10.18</v>
      </c>
      <c r="Y1486" s="77"/>
      <c r="Z1486" s="77"/>
      <c r="AA1486" s="54">
        <f>STOCK[[#This Row],[Costo total]]*STOCK[[#This Row],[Entradas]]</f>
        <v>29.64</v>
      </c>
      <c r="AB1486" s="54">
        <f>STOCK[[#This Row],[Stock Actual]]*STOCK[[#This Row],[Costo total]]</f>
        <v>14.82</v>
      </c>
      <c r="AC1486" s="77"/>
    </row>
    <row r="1487" s="53" customFormat="1" ht="50" customHeight="1" spans="1:29">
      <c r="A1487" s="53" t="s">
        <v>2976</v>
      </c>
      <c r="B1487" s="78"/>
      <c r="C1487" s="77" t="s">
        <v>32</v>
      </c>
      <c r="D1487" s="77" t="s">
        <v>2111</v>
      </c>
      <c r="E1487" s="79" t="s">
        <v>2977</v>
      </c>
      <c r="F1487" s="77" t="s">
        <v>2817</v>
      </c>
      <c r="G1487" s="77"/>
      <c r="H1487" s="77">
        <f>STOCK[[#This Row],[Precio Final]]</f>
        <v>12</v>
      </c>
      <c r="I1487" s="82">
        <f>STOCK[[#This Row],[Precio Venta Ideal (x1.5)]]</f>
        <v>8.76</v>
      </c>
      <c r="J1487" s="80">
        <v>6</v>
      </c>
      <c r="K1487" s="80">
        <f>SUMIFS(VENTAS[Cantidad],VENTAS[Código del producto Vendido],STOCK[[#This Row],[Code]])</f>
        <v>1</v>
      </c>
      <c r="L1487" s="80">
        <f>STOCK[[#This Row],[Entradas]]-STOCK[[#This Row],[Salidas]]</f>
        <v>5</v>
      </c>
      <c r="M1487" s="77">
        <f>STOCK[[#This Row],[Precio Final]]*10%</f>
        <v>1.2</v>
      </c>
      <c r="N1487" s="77">
        <v>0</v>
      </c>
      <c r="O1487" s="77">
        <v>0</v>
      </c>
      <c r="P1487" s="77">
        <v>2.99</v>
      </c>
      <c r="Q1487" s="80">
        <v>0</v>
      </c>
      <c r="R1487" s="77">
        <v>0</v>
      </c>
      <c r="S1487" s="77">
        <v>1.65</v>
      </c>
      <c r="T1487" s="77">
        <f>STOCK[[#This Row],[Costo Unitario (USD)]]+STOCK[[#This Row],[Costo Envío (USD)]]+STOCK[[#This Row],[Comisión 10%]]</f>
        <v>5.84</v>
      </c>
      <c r="U1487" s="53">
        <f>STOCK[[#This Row],[Costo total]]*1.5</f>
        <v>8.76</v>
      </c>
      <c r="V1487" s="77">
        <v>12</v>
      </c>
      <c r="W1487" s="77">
        <f>STOCK[[#This Row],[Precio Final]]-STOCK[[#This Row],[Costo total]]</f>
        <v>6.16</v>
      </c>
      <c r="X1487" s="77">
        <f>STOCK[[#This Row],[Ganancia Unitaria]]*STOCK[[#This Row],[Salidas]]</f>
        <v>6.16</v>
      </c>
      <c r="Y1487" s="77"/>
      <c r="Z1487" s="77"/>
      <c r="AA1487" s="54">
        <f>STOCK[[#This Row],[Costo total]]*STOCK[[#This Row],[Entradas]]</f>
        <v>35.04</v>
      </c>
      <c r="AB1487" s="54">
        <f>STOCK[[#This Row],[Stock Actual]]*STOCK[[#This Row],[Costo total]]</f>
        <v>29.2</v>
      </c>
      <c r="AC1487" s="77"/>
    </row>
    <row r="1488" s="53" customFormat="1" ht="50" customHeight="1" spans="1:29">
      <c r="A1488" s="53" t="s">
        <v>2978</v>
      </c>
      <c r="B1488" s="78"/>
      <c r="C1488" s="77" t="s">
        <v>32</v>
      </c>
      <c r="D1488" s="77" t="s">
        <v>2111</v>
      </c>
      <c r="E1488" s="79" t="s">
        <v>2979</v>
      </c>
      <c r="F1488" s="77" t="s">
        <v>2817</v>
      </c>
      <c r="G1488" s="77"/>
      <c r="H1488" s="77">
        <f>STOCK[[#This Row],[Precio Final]]</f>
        <v>12</v>
      </c>
      <c r="I1488" s="82">
        <f>STOCK[[#This Row],[Precio Venta Ideal (x1.5)]]</f>
        <v>9.045</v>
      </c>
      <c r="J1488" s="80">
        <v>4</v>
      </c>
      <c r="K1488" s="80">
        <f>SUMIFS(VENTAS[Cantidad],VENTAS[Código del producto Vendido],STOCK[[#This Row],[Code]])</f>
        <v>0</v>
      </c>
      <c r="L1488" s="80">
        <f>STOCK[[#This Row],[Entradas]]-STOCK[[#This Row],[Salidas]]</f>
        <v>4</v>
      </c>
      <c r="M1488" s="77">
        <f>STOCK[[#This Row],[Precio Final]]*10%</f>
        <v>1.2</v>
      </c>
      <c r="N1488" s="77">
        <v>0</v>
      </c>
      <c r="O1488" s="77">
        <v>0</v>
      </c>
      <c r="P1488" s="77">
        <v>3.18</v>
      </c>
      <c r="Q1488" s="80">
        <v>0</v>
      </c>
      <c r="R1488" s="77">
        <v>0</v>
      </c>
      <c r="S1488" s="77">
        <v>1.65</v>
      </c>
      <c r="T1488" s="77">
        <f>STOCK[[#This Row],[Costo Unitario (USD)]]+STOCK[[#This Row],[Costo Envío (USD)]]+STOCK[[#This Row],[Comisión 10%]]</f>
        <v>6.03</v>
      </c>
      <c r="U1488" s="53">
        <f>STOCK[[#This Row],[Costo total]]*1.5</f>
        <v>9.045</v>
      </c>
      <c r="V1488" s="77">
        <v>12</v>
      </c>
      <c r="W1488" s="77">
        <f>STOCK[[#This Row],[Precio Final]]-STOCK[[#This Row],[Costo total]]</f>
        <v>5.97</v>
      </c>
      <c r="X1488" s="77">
        <f>STOCK[[#This Row],[Ganancia Unitaria]]*STOCK[[#This Row],[Salidas]]</f>
        <v>0</v>
      </c>
      <c r="Y1488" s="77"/>
      <c r="Z1488" s="77"/>
      <c r="AA1488" s="54">
        <f>STOCK[[#This Row],[Costo total]]*STOCK[[#This Row],[Entradas]]</f>
        <v>24.12</v>
      </c>
      <c r="AB1488" s="54">
        <f>STOCK[[#This Row],[Stock Actual]]*STOCK[[#This Row],[Costo total]]</f>
        <v>24.12</v>
      </c>
      <c r="AC1488" s="77"/>
    </row>
    <row r="1489" s="53" customFormat="1" ht="50" customHeight="1" spans="1:29">
      <c r="A1489" s="53" t="s">
        <v>2980</v>
      </c>
      <c r="B1489" s="78"/>
      <c r="C1489" s="77" t="s">
        <v>32</v>
      </c>
      <c r="D1489" s="77" t="s">
        <v>1808</v>
      </c>
      <c r="E1489" s="79" t="s">
        <v>2981</v>
      </c>
      <c r="F1489" s="77" t="s">
        <v>525</v>
      </c>
      <c r="G1489" s="77"/>
      <c r="H1489" s="77">
        <f>STOCK[[#This Row],[Precio Final]]</f>
        <v>35</v>
      </c>
      <c r="I1489" s="82">
        <f>STOCK[[#This Row],[Precio Venta Ideal (x1.5)]]</f>
        <v>14.25</v>
      </c>
      <c r="J1489" s="80">
        <v>2</v>
      </c>
      <c r="K1489" s="80">
        <f>SUMIFS(VENTAS[Cantidad],VENTAS[Código del producto Vendido],STOCK[[#This Row],[Code]])</f>
        <v>0</v>
      </c>
      <c r="L1489" s="80">
        <f>STOCK[[#This Row],[Entradas]]-STOCK[[#This Row],[Salidas]]</f>
        <v>2</v>
      </c>
      <c r="M1489" s="77">
        <f>STOCK[[#This Row],[Precio Final]]*10%</f>
        <v>3.5</v>
      </c>
      <c r="N1489" s="77">
        <v>0</v>
      </c>
      <c r="O1489" s="77">
        <v>0</v>
      </c>
      <c r="P1489" s="77">
        <v>4.35</v>
      </c>
      <c r="Q1489" s="80">
        <v>0</v>
      </c>
      <c r="R1489" s="77">
        <v>0</v>
      </c>
      <c r="S1489" s="77">
        <v>1.65</v>
      </c>
      <c r="T1489" s="77">
        <f>STOCK[[#This Row],[Costo Unitario (USD)]]+STOCK[[#This Row],[Costo Envío (USD)]]+STOCK[[#This Row],[Comisión 10%]]</f>
        <v>9.5</v>
      </c>
      <c r="U1489" s="53">
        <f>STOCK[[#This Row],[Costo total]]*1.5</f>
        <v>14.25</v>
      </c>
      <c r="V1489" s="77">
        <v>35</v>
      </c>
      <c r="W1489" s="77">
        <f>STOCK[[#This Row],[Precio Final]]-STOCK[[#This Row],[Costo total]]</f>
        <v>25.5</v>
      </c>
      <c r="X1489" s="77">
        <f>STOCK[[#This Row],[Ganancia Unitaria]]*STOCK[[#This Row],[Salidas]]</f>
        <v>0</v>
      </c>
      <c r="Y1489" s="77"/>
      <c r="Z1489" s="77"/>
      <c r="AA1489" s="54">
        <f>STOCK[[#This Row],[Costo total]]*STOCK[[#This Row],[Entradas]]</f>
        <v>19</v>
      </c>
      <c r="AB1489" s="54">
        <f>STOCK[[#This Row],[Stock Actual]]*STOCK[[#This Row],[Costo total]]</f>
        <v>19</v>
      </c>
      <c r="AC1489" s="77"/>
    </row>
    <row r="1490" s="53" customFormat="1" ht="50" customHeight="1" spans="1:29">
      <c r="A1490" s="53" t="s">
        <v>2982</v>
      </c>
      <c r="B1490" s="78"/>
      <c r="C1490" s="77" t="s">
        <v>32</v>
      </c>
      <c r="D1490" s="77" t="s">
        <v>2629</v>
      </c>
      <c r="E1490" s="79" t="s">
        <v>2983</v>
      </c>
      <c r="F1490" s="77" t="s">
        <v>46</v>
      </c>
      <c r="G1490" s="77"/>
      <c r="H1490" s="77">
        <f>STOCK[[#This Row],[Precio Final]]</f>
        <v>35</v>
      </c>
      <c r="I1490" s="82">
        <f>STOCK[[#This Row],[Precio Venta Ideal (x1.5)]]</f>
        <v>23.775</v>
      </c>
      <c r="J1490" s="80">
        <v>2</v>
      </c>
      <c r="K1490" s="80">
        <f>SUMIFS(VENTAS[Cantidad],VENTAS[Código del producto Vendido],STOCK[[#This Row],[Code]])</f>
        <v>1</v>
      </c>
      <c r="L1490" s="80">
        <f>STOCK[[#This Row],[Entradas]]-STOCK[[#This Row],[Salidas]]</f>
        <v>1</v>
      </c>
      <c r="M1490" s="77">
        <f>STOCK[[#This Row],[Precio Final]]*10%</f>
        <v>3.5</v>
      </c>
      <c r="N1490" s="77">
        <v>0</v>
      </c>
      <c r="O1490" s="77">
        <v>0</v>
      </c>
      <c r="P1490" s="77">
        <v>10.7</v>
      </c>
      <c r="Q1490" s="80">
        <v>0</v>
      </c>
      <c r="R1490" s="77">
        <v>0</v>
      </c>
      <c r="S1490" s="77">
        <v>1.65</v>
      </c>
      <c r="T1490" s="77">
        <f>STOCK[[#This Row],[Costo Unitario (USD)]]+STOCK[[#This Row],[Costo Envío (USD)]]+STOCK[[#This Row],[Comisión 10%]]</f>
        <v>15.85</v>
      </c>
      <c r="U1490" s="53">
        <f>STOCK[[#This Row],[Costo total]]*1.5</f>
        <v>23.775</v>
      </c>
      <c r="V1490" s="77">
        <v>35</v>
      </c>
      <c r="W1490" s="77">
        <f>STOCK[[#This Row],[Precio Final]]-STOCK[[#This Row],[Costo total]]</f>
        <v>19.15</v>
      </c>
      <c r="X1490" s="77">
        <f>STOCK[[#This Row],[Ganancia Unitaria]]*STOCK[[#This Row],[Salidas]]</f>
        <v>19.15</v>
      </c>
      <c r="Y1490" s="77"/>
      <c r="Z1490" s="77"/>
      <c r="AA1490" s="54">
        <f>STOCK[[#This Row],[Costo total]]*STOCK[[#This Row],[Entradas]]</f>
        <v>31.7</v>
      </c>
      <c r="AB1490" s="54">
        <f>STOCK[[#This Row],[Stock Actual]]*STOCK[[#This Row],[Costo total]]</f>
        <v>15.85</v>
      </c>
      <c r="AC1490" s="77"/>
    </row>
    <row r="1491" s="53" customFormat="1" ht="50" customHeight="1" spans="1:29">
      <c r="A1491" s="53" t="s">
        <v>2984</v>
      </c>
      <c r="B1491" s="78"/>
      <c r="C1491" s="77" t="s">
        <v>32</v>
      </c>
      <c r="D1491" s="77" t="s">
        <v>2629</v>
      </c>
      <c r="E1491" s="79" t="s">
        <v>2985</v>
      </c>
      <c r="F1491" s="77" t="s">
        <v>62</v>
      </c>
      <c r="G1491" s="77"/>
      <c r="H1491" s="77">
        <f>STOCK[[#This Row],[Precio Final]]</f>
        <v>30</v>
      </c>
      <c r="I1491" s="82">
        <f>STOCK[[#This Row],[Precio Venta Ideal (x1.5)]]</f>
        <v>21.03</v>
      </c>
      <c r="J1491" s="80">
        <v>1</v>
      </c>
      <c r="K1491" s="80">
        <f>SUMIFS(VENTAS[Cantidad],VENTAS[Código del producto Vendido],STOCK[[#This Row],[Code]])</f>
        <v>2</v>
      </c>
      <c r="L1491" s="80">
        <f>STOCK[[#This Row],[Entradas]]-STOCK[[#This Row],[Salidas]]</f>
        <v>-1</v>
      </c>
      <c r="M1491" s="77">
        <f>STOCK[[#This Row],[Precio Final]]*10%</f>
        <v>3</v>
      </c>
      <c r="N1491" s="77">
        <v>0</v>
      </c>
      <c r="O1491" s="77">
        <v>0</v>
      </c>
      <c r="P1491" s="77">
        <v>9.37</v>
      </c>
      <c r="Q1491" s="80">
        <v>0</v>
      </c>
      <c r="R1491" s="77">
        <v>0</v>
      </c>
      <c r="S1491" s="77">
        <v>1.65</v>
      </c>
      <c r="T1491" s="77">
        <f>STOCK[[#This Row],[Costo Unitario (USD)]]+STOCK[[#This Row],[Costo Envío (USD)]]+STOCK[[#This Row],[Comisión 10%]]</f>
        <v>14.02</v>
      </c>
      <c r="U1491" s="53">
        <f>STOCK[[#This Row],[Costo total]]*1.5</f>
        <v>21.03</v>
      </c>
      <c r="V1491" s="77">
        <v>30</v>
      </c>
      <c r="W1491" s="77">
        <f>STOCK[[#This Row],[Precio Final]]-STOCK[[#This Row],[Costo total]]</f>
        <v>15.98</v>
      </c>
      <c r="X1491" s="77">
        <f>STOCK[[#This Row],[Ganancia Unitaria]]*STOCK[[#This Row],[Salidas]]</f>
        <v>31.96</v>
      </c>
      <c r="Y1491" s="77"/>
      <c r="Z1491" s="77"/>
      <c r="AA1491" s="54">
        <f>STOCK[[#This Row],[Costo total]]*STOCK[[#This Row],[Entradas]]</f>
        <v>14.02</v>
      </c>
      <c r="AB1491" s="54">
        <f>STOCK[[#This Row],[Stock Actual]]*STOCK[[#This Row],[Costo total]]</f>
        <v>-14.02</v>
      </c>
      <c r="AC1491" s="77"/>
    </row>
    <row r="1492" s="53" customFormat="1" ht="50" customHeight="1" spans="1:29">
      <c r="A1492" s="53" t="s">
        <v>2986</v>
      </c>
      <c r="B1492" s="78"/>
      <c r="C1492" s="77" t="s">
        <v>32</v>
      </c>
      <c r="D1492" s="77" t="s">
        <v>2629</v>
      </c>
      <c r="E1492" s="79" t="s">
        <v>2985</v>
      </c>
      <c r="F1492" s="77" t="s">
        <v>46</v>
      </c>
      <c r="G1492" s="77"/>
      <c r="H1492" s="77">
        <f>STOCK[[#This Row],[Precio Final]]</f>
        <v>30</v>
      </c>
      <c r="I1492" s="82">
        <f>STOCK[[#This Row],[Precio Venta Ideal (x1.5)]]</f>
        <v>21.03</v>
      </c>
      <c r="J1492" s="80">
        <v>1</v>
      </c>
      <c r="K1492" s="80">
        <f>SUMIFS(VENTAS[Cantidad],VENTAS[Código del producto Vendido],STOCK[[#This Row],[Code]])</f>
        <v>1</v>
      </c>
      <c r="L1492" s="80">
        <f>STOCK[[#This Row],[Entradas]]-STOCK[[#This Row],[Salidas]]</f>
        <v>0</v>
      </c>
      <c r="M1492" s="77">
        <f>STOCK[[#This Row],[Precio Final]]*10%</f>
        <v>3</v>
      </c>
      <c r="N1492" s="77">
        <v>0</v>
      </c>
      <c r="O1492" s="77">
        <v>0</v>
      </c>
      <c r="P1492" s="77">
        <v>9.37</v>
      </c>
      <c r="Q1492" s="80">
        <v>0</v>
      </c>
      <c r="R1492" s="77">
        <v>0</v>
      </c>
      <c r="S1492" s="77">
        <v>1.65</v>
      </c>
      <c r="T1492" s="77">
        <f>STOCK[[#This Row],[Costo Unitario (USD)]]+STOCK[[#This Row],[Costo Envío (USD)]]+STOCK[[#This Row],[Comisión 10%]]</f>
        <v>14.02</v>
      </c>
      <c r="U1492" s="53">
        <f>STOCK[[#This Row],[Costo total]]*1.5</f>
        <v>21.03</v>
      </c>
      <c r="V1492" s="77">
        <v>30</v>
      </c>
      <c r="W1492" s="77">
        <f>STOCK[[#This Row],[Precio Final]]-STOCK[[#This Row],[Costo total]]</f>
        <v>15.98</v>
      </c>
      <c r="X1492" s="77">
        <f>STOCK[[#This Row],[Ganancia Unitaria]]*STOCK[[#This Row],[Salidas]]</f>
        <v>15.98</v>
      </c>
      <c r="Y1492" s="77"/>
      <c r="Z1492" s="77"/>
      <c r="AA1492" s="54">
        <f>STOCK[[#This Row],[Costo total]]*STOCK[[#This Row],[Entradas]]</f>
        <v>14.02</v>
      </c>
      <c r="AB1492" s="54">
        <f>STOCK[[#This Row],[Stock Actual]]*STOCK[[#This Row],[Costo total]]</f>
        <v>0</v>
      </c>
      <c r="AC1492" s="77"/>
    </row>
    <row r="1493" s="53" customFormat="1" ht="50" customHeight="1" spans="1:29">
      <c r="A1493" s="53" t="s">
        <v>2987</v>
      </c>
      <c r="B1493" s="78"/>
      <c r="C1493" s="77" t="s">
        <v>32</v>
      </c>
      <c r="D1493" s="77" t="s">
        <v>1808</v>
      </c>
      <c r="E1493" s="79" t="s">
        <v>2988</v>
      </c>
      <c r="F1493" s="77" t="s">
        <v>525</v>
      </c>
      <c r="G1493" s="77"/>
      <c r="H1493" s="77">
        <f>STOCK[[#This Row],[Precio Final]]</f>
        <v>10</v>
      </c>
      <c r="I1493" s="82">
        <f>STOCK[[#This Row],[Precio Venta Ideal (x1.5)]]</f>
        <v>6.915</v>
      </c>
      <c r="J1493" s="80">
        <v>5</v>
      </c>
      <c r="K1493" s="80">
        <f>SUMIFS(VENTAS[Cantidad],VENTAS[Código del producto Vendido],STOCK[[#This Row],[Code]])</f>
        <v>0</v>
      </c>
      <c r="L1493" s="80">
        <f>STOCK[[#This Row],[Entradas]]-STOCK[[#This Row],[Salidas]]</f>
        <v>5</v>
      </c>
      <c r="M1493" s="77">
        <f>STOCK[[#This Row],[Precio Final]]*10%</f>
        <v>1</v>
      </c>
      <c r="N1493" s="77">
        <v>0</v>
      </c>
      <c r="O1493" s="77">
        <v>0</v>
      </c>
      <c r="P1493" s="77">
        <v>1.96</v>
      </c>
      <c r="Q1493" s="80">
        <v>0</v>
      </c>
      <c r="R1493" s="77">
        <v>0</v>
      </c>
      <c r="S1493" s="77">
        <v>1.65</v>
      </c>
      <c r="T1493" s="77">
        <f>STOCK[[#This Row],[Costo Unitario (USD)]]+STOCK[[#This Row],[Costo Envío (USD)]]+STOCK[[#This Row],[Comisión 10%]]</f>
        <v>4.61</v>
      </c>
      <c r="U1493" s="53">
        <f>STOCK[[#This Row],[Costo total]]*1.5</f>
        <v>6.915</v>
      </c>
      <c r="V1493" s="77">
        <v>10</v>
      </c>
      <c r="W1493" s="77">
        <f>STOCK[[#This Row],[Precio Final]]-STOCK[[#This Row],[Costo total]]</f>
        <v>5.39</v>
      </c>
      <c r="X1493" s="77">
        <f>STOCK[[#This Row],[Ganancia Unitaria]]*STOCK[[#This Row],[Salidas]]</f>
        <v>0</v>
      </c>
      <c r="Y1493" s="77"/>
      <c r="Z1493" s="77"/>
      <c r="AA1493" s="54">
        <f>STOCK[[#This Row],[Costo total]]*STOCK[[#This Row],[Entradas]]</f>
        <v>23.05</v>
      </c>
      <c r="AB1493" s="54">
        <f>STOCK[[#This Row],[Stock Actual]]*STOCK[[#This Row],[Costo total]]</f>
        <v>23.05</v>
      </c>
      <c r="AC1493" s="77"/>
    </row>
    <row r="1494" s="53" customFormat="1" ht="50" customHeight="1" spans="1:29">
      <c r="A1494" s="53" t="s">
        <v>2989</v>
      </c>
      <c r="B1494" s="78"/>
      <c r="C1494" s="77" t="s">
        <v>32</v>
      </c>
      <c r="D1494" s="77" t="s">
        <v>2127</v>
      </c>
      <c r="E1494" s="79" t="s">
        <v>2990</v>
      </c>
      <c r="F1494" s="77" t="s">
        <v>62</v>
      </c>
      <c r="G1494" s="77"/>
      <c r="H1494" s="77">
        <f>STOCK[[#This Row],[Precio Final]]</f>
        <v>20</v>
      </c>
      <c r="I1494" s="82">
        <f>STOCK[[#This Row],[Precio Venta Ideal (x1.5)]]</f>
        <v>18.93</v>
      </c>
      <c r="J1494" s="80">
        <v>2</v>
      </c>
      <c r="K1494" s="80">
        <f>SUMIFS(VENTAS[Cantidad],VENTAS[Código del producto Vendido],STOCK[[#This Row],[Code]])</f>
        <v>2</v>
      </c>
      <c r="L1494" s="80">
        <f>STOCK[[#This Row],[Entradas]]-STOCK[[#This Row],[Salidas]]</f>
        <v>0</v>
      </c>
      <c r="M1494" s="77">
        <f>STOCK[[#This Row],[Precio Final]]*10%</f>
        <v>2</v>
      </c>
      <c r="N1494" s="77">
        <v>0</v>
      </c>
      <c r="O1494" s="77">
        <v>0</v>
      </c>
      <c r="P1494" s="77">
        <v>8.97</v>
      </c>
      <c r="Q1494" s="80">
        <v>0</v>
      </c>
      <c r="R1494" s="77">
        <v>0</v>
      </c>
      <c r="S1494" s="77">
        <v>1.65</v>
      </c>
      <c r="T1494" s="77">
        <f>STOCK[[#This Row],[Costo Unitario (USD)]]+STOCK[[#This Row],[Costo Envío (USD)]]+STOCK[[#This Row],[Comisión 10%]]</f>
        <v>12.62</v>
      </c>
      <c r="U1494" s="53">
        <f>STOCK[[#This Row],[Costo total]]*1.5</f>
        <v>18.93</v>
      </c>
      <c r="V1494" s="77">
        <v>20</v>
      </c>
      <c r="W1494" s="77">
        <f>STOCK[[#This Row],[Precio Final]]-STOCK[[#This Row],[Costo total]]</f>
        <v>7.38</v>
      </c>
      <c r="X1494" s="77">
        <f>STOCK[[#This Row],[Ganancia Unitaria]]*STOCK[[#This Row],[Salidas]]</f>
        <v>14.76</v>
      </c>
      <c r="Y1494" s="77"/>
      <c r="Z1494" s="77"/>
      <c r="AA1494" s="54">
        <f>STOCK[[#This Row],[Costo total]]*STOCK[[#This Row],[Entradas]]</f>
        <v>25.24</v>
      </c>
      <c r="AB1494" s="54">
        <f>STOCK[[#This Row],[Stock Actual]]*STOCK[[#This Row],[Costo total]]</f>
        <v>0</v>
      </c>
      <c r="AC1494" s="77"/>
    </row>
    <row r="1495" s="53" customFormat="1" ht="50" customHeight="1" spans="1:29">
      <c r="A1495" s="53" t="s">
        <v>2991</v>
      </c>
      <c r="B1495" s="78"/>
      <c r="C1495" s="77" t="s">
        <v>32</v>
      </c>
      <c r="D1495" s="77" t="s">
        <v>2127</v>
      </c>
      <c r="E1495" s="79" t="s">
        <v>2990</v>
      </c>
      <c r="F1495" s="77" t="s">
        <v>49</v>
      </c>
      <c r="G1495" s="77"/>
      <c r="H1495" s="77">
        <f>STOCK[[#This Row],[Precio Final]]</f>
        <v>20</v>
      </c>
      <c r="I1495" s="82">
        <f>STOCK[[#This Row],[Precio Venta Ideal (x1.5)]]</f>
        <v>18.93</v>
      </c>
      <c r="J1495" s="80">
        <v>1</v>
      </c>
      <c r="K1495" s="80">
        <f>SUMIFS(VENTAS[Cantidad],VENTAS[Código del producto Vendido],STOCK[[#This Row],[Code]])</f>
        <v>1</v>
      </c>
      <c r="L1495" s="80">
        <f>STOCK[[#This Row],[Entradas]]-STOCK[[#This Row],[Salidas]]</f>
        <v>0</v>
      </c>
      <c r="M1495" s="77">
        <f>STOCK[[#This Row],[Precio Final]]*10%</f>
        <v>2</v>
      </c>
      <c r="N1495" s="77">
        <v>0</v>
      </c>
      <c r="O1495" s="77">
        <v>0</v>
      </c>
      <c r="P1495" s="77">
        <v>8.97</v>
      </c>
      <c r="Q1495" s="80">
        <v>0</v>
      </c>
      <c r="R1495" s="77">
        <v>0</v>
      </c>
      <c r="S1495" s="77">
        <v>1.65</v>
      </c>
      <c r="T1495" s="77">
        <f>STOCK[[#This Row],[Costo Unitario (USD)]]+STOCK[[#This Row],[Costo Envío (USD)]]+STOCK[[#This Row],[Comisión 10%]]</f>
        <v>12.62</v>
      </c>
      <c r="U1495" s="53">
        <f>STOCK[[#This Row],[Costo total]]*1.5</f>
        <v>18.93</v>
      </c>
      <c r="V1495" s="77">
        <v>20</v>
      </c>
      <c r="W1495" s="77">
        <f>STOCK[[#This Row],[Precio Final]]-STOCK[[#This Row],[Costo total]]</f>
        <v>7.38</v>
      </c>
      <c r="X1495" s="77">
        <f>STOCK[[#This Row],[Ganancia Unitaria]]*STOCK[[#This Row],[Salidas]]</f>
        <v>7.38</v>
      </c>
      <c r="Y1495" s="77"/>
      <c r="Z1495" s="77"/>
      <c r="AA1495" s="54">
        <f>STOCK[[#This Row],[Costo total]]*STOCK[[#This Row],[Entradas]]</f>
        <v>12.62</v>
      </c>
      <c r="AB1495" s="54">
        <f>STOCK[[#This Row],[Stock Actual]]*STOCK[[#This Row],[Costo total]]</f>
        <v>0</v>
      </c>
      <c r="AC1495" s="77"/>
    </row>
    <row r="1496" s="53" customFormat="1" ht="50" customHeight="1" spans="1:29">
      <c r="A1496" s="53" t="s">
        <v>2992</v>
      </c>
      <c r="B1496" s="78"/>
      <c r="C1496" s="77" t="s">
        <v>32</v>
      </c>
      <c r="D1496" s="77" t="s">
        <v>2127</v>
      </c>
      <c r="E1496" s="79" t="s">
        <v>2990</v>
      </c>
      <c r="F1496" s="77" t="s">
        <v>46</v>
      </c>
      <c r="G1496" s="77"/>
      <c r="H1496" s="77">
        <f>STOCK[[#This Row],[Precio Final]]</f>
        <v>20</v>
      </c>
      <c r="I1496" s="82">
        <f>STOCK[[#This Row],[Precio Venta Ideal (x1.5)]]</f>
        <v>18.93</v>
      </c>
      <c r="J1496" s="80">
        <v>2</v>
      </c>
      <c r="K1496" s="80">
        <f>SUMIFS(VENTAS[Cantidad],VENTAS[Código del producto Vendido],STOCK[[#This Row],[Code]])</f>
        <v>0</v>
      </c>
      <c r="L1496" s="80">
        <f>STOCK[[#This Row],[Entradas]]-STOCK[[#This Row],[Salidas]]</f>
        <v>2</v>
      </c>
      <c r="M1496" s="77">
        <f>STOCK[[#This Row],[Precio Final]]*10%</f>
        <v>2</v>
      </c>
      <c r="N1496" s="77">
        <v>0</v>
      </c>
      <c r="O1496" s="77">
        <v>0</v>
      </c>
      <c r="P1496" s="77">
        <v>8.97</v>
      </c>
      <c r="Q1496" s="80">
        <v>0</v>
      </c>
      <c r="R1496" s="77">
        <v>0</v>
      </c>
      <c r="S1496" s="77">
        <v>1.65</v>
      </c>
      <c r="T1496" s="77">
        <f>STOCK[[#This Row],[Costo Unitario (USD)]]+STOCK[[#This Row],[Costo Envío (USD)]]+STOCK[[#This Row],[Comisión 10%]]</f>
        <v>12.62</v>
      </c>
      <c r="U1496" s="53">
        <f>STOCK[[#This Row],[Costo total]]*1.5</f>
        <v>18.93</v>
      </c>
      <c r="V1496" s="77">
        <v>20</v>
      </c>
      <c r="W1496" s="77">
        <f>STOCK[[#This Row],[Precio Final]]-STOCK[[#This Row],[Costo total]]</f>
        <v>7.38</v>
      </c>
      <c r="X1496" s="77">
        <f>STOCK[[#This Row],[Ganancia Unitaria]]*STOCK[[#This Row],[Salidas]]</f>
        <v>0</v>
      </c>
      <c r="Y1496" s="77"/>
      <c r="Z1496" s="77"/>
      <c r="AA1496" s="54">
        <f>STOCK[[#This Row],[Costo total]]*STOCK[[#This Row],[Entradas]]</f>
        <v>25.24</v>
      </c>
      <c r="AB1496" s="54">
        <f>STOCK[[#This Row],[Stock Actual]]*STOCK[[#This Row],[Costo total]]</f>
        <v>25.24</v>
      </c>
      <c r="AC1496" s="77"/>
    </row>
    <row r="1497" s="53" customFormat="1" ht="50" customHeight="1" spans="1:29">
      <c r="A1497" s="53" t="s">
        <v>2993</v>
      </c>
      <c r="B1497" s="78"/>
      <c r="C1497" s="77" t="s">
        <v>32</v>
      </c>
      <c r="D1497" s="77" t="s">
        <v>1190</v>
      </c>
      <c r="E1497" s="79" t="s">
        <v>2994</v>
      </c>
      <c r="F1497" s="77" t="s">
        <v>62</v>
      </c>
      <c r="G1497" s="77"/>
      <c r="H1497" s="77">
        <f>STOCK[[#This Row],[Precio Final]]</f>
        <v>15</v>
      </c>
      <c r="I1497" s="82">
        <f>STOCK[[#This Row],[Precio Venta Ideal (x1.5)]]</f>
        <v>11.13</v>
      </c>
      <c r="J1497" s="80">
        <v>2</v>
      </c>
      <c r="K1497" s="80">
        <f>SUMIFS(VENTAS[Cantidad],VENTAS[Código del producto Vendido],STOCK[[#This Row],[Code]])</f>
        <v>2</v>
      </c>
      <c r="L1497" s="80">
        <f>STOCK[[#This Row],[Entradas]]-STOCK[[#This Row],[Salidas]]</f>
        <v>0</v>
      </c>
      <c r="M1497" s="77">
        <f>STOCK[[#This Row],[Precio Final]]*10%</f>
        <v>1.5</v>
      </c>
      <c r="N1497" s="77">
        <v>0</v>
      </c>
      <c r="O1497" s="77">
        <v>0</v>
      </c>
      <c r="P1497" s="77">
        <v>4.27</v>
      </c>
      <c r="Q1497" s="80">
        <v>0</v>
      </c>
      <c r="R1497" s="77">
        <v>0</v>
      </c>
      <c r="S1497" s="77">
        <v>1.65</v>
      </c>
      <c r="T1497" s="77">
        <f>STOCK[[#This Row],[Costo Unitario (USD)]]+STOCK[[#This Row],[Costo Envío (USD)]]+STOCK[[#This Row],[Comisión 10%]]</f>
        <v>7.42</v>
      </c>
      <c r="U1497" s="53">
        <f>STOCK[[#This Row],[Costo total]]*1.5</f>
        <v>11.13</v>
      </c>
      <c r="V1497" s="77">
        <v>15</v>
      </c>
      <c r="W1497" s="77">
        <f>STOCK[[#This Row],[Precio Final]]-STOCK[[#This Row],[Costo total]]</f>
        <v>7.58</v>
      </c>
      <c r="X1497" s="77">
        <f>STOCK[[#This Row],[Ganancia Unitaria]]*STOCK[[#This Row],[Salidas]]</f>
        <v>15.16</v>
      </c>
      <c r="Y1497" s="77"/>
      <c r="Z1497" s="77"/>
      <c r="AA1497" s="54">
        <f>STOCK[[#This Row],[Costo total]]*STOCK[[#This Row],[Entradas]]</f>
        <v>14.84</v>
      </c>
      <c r="AB1497" s="54">
        <f>STOCK[[#This Row],[Stock Actual]]*STOCK[[#This Row],[Costo total]]</f>
        <v>0</v>
      </c>
      <c r="AC1497" s="77"/>
    </row>
    <row r="1498" s="53" customFormat="1" ht="50" customHeight="1" spans="1:29">
      <c r="A1498" s="53" t="s">
        <v>2995</v>
      </c>
      <c r="B1498" s="78"/>
      <c r="C1498" s="77" t="s">
        <v>32</v>
      </c>
      <c r="D1498" s="77" t="s">
        <v>1190</v>
      </c>
      <c r="E1498" s="79" t="s">
        <v>2994</v>
      </c>
      <c r="F1498" s="77" t="s">
        <v>49</v>
      </c>
      <c r="G1498" s="77"/>
      <c r="H1498" s="77">
        <f>STOCK[[#This Row],[Precio Final]]</f>
        <v>15</v>
      </c>
      <c r="I1498" s="82">
        <f>STOCK[[#This Row],[Precio Venta Ideal (x1.5)]]</f>
        <v>11.13</v>
      </c>
      <c r="J1498" s="80">
        <v>2</v>
      </c>
      <c r="K1498" s="80">
        <f>SUMIFS(VENTAS[Cantidad],VENTAS[Código del producto Vendido],STOCK[[#This Row],[Code]])</f>
        <v>2</v>
      </c>
      <c r="L1498" s="80">
        <f>STOCK[[#This Row],[Entradas]]-STOCK[[#This Row],[Salidas]]</f>
        <v>0</v>
      </c>
      <c r="M1498" s="77">
        <f>STOCK[[#This Row],[Precio Final]]*10%</f>
        <v>1.5</v>
      </c>
      <c r="N1498" s="77">
        <v>0</v>
      </c>
      <c r="O1498" s="77">
        <v>0</v>
      </c>
      <c r="P1498" s="77">
        <v>4.27</v>
      </c>
      <c r="Q1498" s="80">
        <v>0</v>
      </c>
      <c r="R1498" s="77">
        <v>0</v>
      </c>
      <c r="S1498" s="77">
        <v>1.65</v>
      </c>
      <c r="T1498" s="77">
        <f>STOCK[[#This Row],[Costo Unitario (USD)]]+STOCK[[#This Row],[Costo Envío (USD)]]+STOCK[[#This Row],[Comisión 10%]]</f>
        <v>7.42</v>
      </c>
      <c r="U1498" s="53">
        <f>STOCK[[#This Row],[Costo total]]*1.5</f>
        <v>11.13</v>
      </c>
      <c r="V1498" s="77">
        <v>15</v>
      </c>
      <c r="W1498" s="77">
        <f>STOCK[[#This Row],[Precio Final]]-STOCK[[#This Row],[Costo total]]</f>
        <v>7.58</v>
      </c>
      <c r="X1498" s="77">
        <f>STOCK[[#This Row],[Ganancia Unitaria]]*STOCK[[#This Row],[Salidas]]</f>
        <v>15.16</v>
      </c>
      <c r="Y1498" s="77"/>
      <c r="Z1498" s="77"/>
      <c r="AA1498" s="54">
        <f>STOCK[[#This Row],[Costo total]]*STOCK[[#This Row],[Entradas]]</f>
        <v>14.84</v>
      </c>
      <c r="AB1498" s="54">
        <f>STOCK[[#This Row],[Stock Actual]]*STOCK[[#This Row],[Costo total]]</f>
        <v>0</v>
      </c>
      <c r="AC1498" s="77"/>
    </row>
    <row r="1499" s="53" customFormat="1" ht="50" customHeight="1" spans="1:29">
      <c r="A1499" s="53" t="s">
        <v>2996</v>
      </c>
      <c r="B1499" s="78"/>
      <c r="C1499" s="77" t="s">
        <v>32</v>
      </c>
      <c r="D1499" s="77" t="s">
        <v>1190</v>
      </c>
      <c r="E1499" s="79" t="s">
        <v>2994</v>
      </c>
      <c r="F1499" s="77" t="s">
        <v>46</v>
      </c>
      <c r="G1499" s="77"/>
      <c r="H1499" s="77">
        <f>STOCK[[#This Row],[Precio Final]]</f>
        <v>15</v>
      </c>
      <c r="I1499" s="82">
        <f>STOCK[[#This Row],[Precio Venta Ideal (x1.5)]]</f>
        <v>11.13</v>
      </c>
      <c r="J1499" s="80">
        <v>2</v>
      </c>
      <c r="K1499" s="80">
        <f>SUMIFS(VENTAS[Cantidad],VENTAS[Código del producto Vendido],STOCK[[#This Row],[Code]])</f>
        <v>3</v>
      </c>
      <c r="L1499" s="80">
        <f>STOCK[[#This Row],[Entradas]]-STOCK[[#This Row],[Salidas]]</f>
        <v>-1</v>
      </c>
      <c r="M1499" s="77">
        <f>STOCK[[#This Row],[Precio Final]]*10%</f>
        <v>1.5</v>
      </c>
      <c r="N1499" s="77">
        <v>0</v>
      </c>
      <c r="O1499" s="77">
        <v>0</v>
      </c>
      <c r="P1499" s="77">
        <v>4.27</v>
      </c>
      <c r="Q1499" s="80">
        <v>0</v>
      </c>
      <c r="R1499" s="77">
        <v>0</v>
      </c>
      <c r="S1499" s="77">
        <v>1.65</v>
      </c>
      <c r="T1499" s="77">
        <f>STOCK[[#This Row],[Costo Unitario (USD)]]+STOCK[[#This Row],[Costo Envío (USD)]]+STOCK[[#This Row],[Comisión 10%]]</f>
        <v>7.42</v>
      </c>
      <c r="U1499" s="53">
        <f>STOCK[[#This Row],[Costo total]]*1.5</f>
        <v>11.13</v>
      </c>
      <c r="V1499" s="77">
        <v>15</v>
      </c>
      <c r="W1499" s="77">
        <f>STOCK[[#This Row],[Precio Final]]-STOCK[[#This Row],[Costo total]]</f>
        <v>7.58</v>
      </c>
      <c r="X1499" s="77">
        <f>STOCK[[#This Row],[Ganancia Unitaria]]*STOCK[[#This Row],[Salidas]]</f>
        <v>22.74</v>
      </c>
      <c r="Y1499" s="77"/>
      <c r="Z1499" s="77"/>
      <c r="AA1499" s="54">
        <f>STOCK[[#This Row],[Costo total]]*STOCK[[#This Row],[Entradas]]</f>
        <v>14.84</v>
      </c>
      <c r="AB1499" s="54">
        <f>STOCK[[#This Row],[Stock Actual]]*STOCK[[#This Row],[Costo total]]</f>
        <v>-7.42</v>
      </c>
      <c r="AC1499" s="77"/>
    </row>
    <row r="1500" s="53" customFormat="1" ht="50" customHeight="1" spans="1:29">
      <c r="A1500" s="53" t="s">
        <v>2997</v>
      </c>
      <c r="B1500" s="78"/>
      <c r="C1500" s="77" t="s">
        <v>32</v>
      </c>
      <c r="D1500" s="77" t="s">
        <v>1190</v>
      </c>
      <c r="E1500" s="79" t="s">
        <v>2994</v>
      </c>
      <c r="F1500" s="77" t="s">
        <v>42</v>
      </c>
      <c r="G1500" s="77"/>
      <c r="H1500" s="77">
        <f>STOCK[[#This Row],[Precio Final]]</f>
        <v>15</v>
      </c>
      <c r="I1500" s="82">
        <f>STOCK[[#This Row],[Precio Venta Ideal (x1.5)]]</f>
        <v>11.13</v>
      </c>
      <c r="J1500" s="80">
        <v>2</v>
      </c>
      <c r="K1500" s="80">
        <f>SUMIFS(VENTAS[Cantidad],VENTAS[Código del producto Vendido],STOCK[[#This Row],[Code]])</f>
        <v>1</v>
      </c>
      <c r="L1500" s="80">
        <f>STOCK[[#This Row],[Entradas]]-STOCK[[#This Row],[Salidas]]</f>
        <v>1</v>
      </c>
      <c r="M1500" s="77">
        <f>STOCK[[#This Row],[Precio Final]]*10%</f>
        <v>1.5</v>
      </c>
      <c r="N1500" s="77">
        <v>0</v>
      </c>
      <c r="O1500" s="77">
        <v>0</v>
      </c>
      <c r="P1500" s="77">
        <v>4.27</v>
      </c>
      <c r="Q1500" s="80">
        <v>0</v>
      </c>
      <c r="R1500" s="77">
        <v>0</v>
      </c>
      <c r="S1500" s="77">
        <v>1.65</v>
      </c>
      <c r="T1500" s="77">
        <f>STOCK[[#This Row],[Costo Unitario (USD)]]+STOCK[[#This Row],[Costo Envío (USD)]]+STOCK[[#This Row],[Comisión 10%]]</f>
        <v>7.42</v>
      </c>
      <c r="U1500" s="53">
        <f>STOCK[[#This Row],[Costo total]]*1.5</f>
        <v>11.13</v>
      </c>
      <c r="V1500" s="77">
        <v>15</v>
      </c>
      <c r="W1500" s="77">
        <f>STOCK[[#This Row],[Precio Final]]-STOCK[[#This Row],[Costo total]]</f>
        <v>7.58</v>
      </c>
      <c r="X1500" s="77">
        <f>STOCK[[#This Row],[Ganancia Unitaria]]*STOCK[[#This Row],[Salidas]]</f>
        <v>7.58</v>
      </c>
      <c r="Y1500" s="77"/>
      <c r="Z1500" s="77"/>
      <c r="AA1500" s="54">
        <f>STOCK[[#This Row],[Costo total]]*STOCK[[#This Row],[Entradas]]</f>
        <v>14.84</v>
      </c>
      <c r="AB1500" s="54">
        <f>STOCK[[#This Row],[Stock Actual]]*STOCK[[#This Row],[Costo total]]</f>
        <v>7.42</v>
      </c>
      <c r="AC1500" s="77"/>
    </row>
    <row r="1501" s="53" customFormat="1" ht="50" customHeight="1" spans="1:29">
      <c r="A1501" s="53" t="s">
        <v>2998</v>
      </c>
      <c r="B1501" s="78"/>
      <c r="C1501" s="77" t="s">
        <v>32</v>
      </c>
      <c r="D1501" s="77" t="s">
        <v>2127</v>
      </c>
      <c r="E1501" s="79" t="s">
        <v>2999</v>
      </c>
      <c r="F1501" s="77" t="s">
        <v>49</v>
      </c>
      <c r="G1501" s="77"/>
      <c r="H1501" s="77">
        <f>STOCK[[#This Row],[Precio Final]]</f>
        <v>18</v>
      </c>
      <c r="I1501" s="82">
        <f>STOCK[[#This Row],[Precio Venta Ideal (x1.5)]]</f>
        <v>15.795</v>
      </c>
      <c r="J1501" s="80">
        <v>3</v>
      </c>
      <c r="K1501" s="80">
        <f>SUMIFS(VENTAS[Cantidad],VENTAS[Código del producto Vendido],STOCK[[#This Row],[Code]])</f>
        <v>0</v>
      </c>
      <c r="L1501" s="80">
        <f>STOCK[[#This Row],[Entradas]]-STOCK[[#This Row],[Salidas]]</f>
        <v>3</v>
      </c>
      <c r="M1501" s="77">
        <f>STOCK[[#This Row],[Precio Final]]*10%</f>
        <v>1.8</v>
      </c>
      <c r="N1501" s="77">
        <v>0</v>
      </c>
      <c r="O1501" s="77">
        <v>0</v>
      </c>
      <c r="P1501" s="77">
        <v>7.08</v>
      </c>
      <c r="Q1501" s="80">
        <v>0</v>
      </c>
      <c r="R1501" s="77">
        <v>0</v>
      </c>
      <c r="S1501" s="77">
        <v>1.65</v>
      </c>
      <c r="T1501" s="77">
        <f>STOCK[[#This Row],[Costo Unitario (USD)]]+STOCK[[#This Row],[Costo Envío (USD)]]+STOCK[[#This Row],[Comisión 10%]]</f>
        <v>10.53</v>
      </c>
      <c r="U1501" s="53">
        <f>STOCK[[#This Row],[Costo total]]*1.5</f>
        <v>15.795</v>
      </c>
      <c r="V1501" s="77">
        <v>18</v>
      </c>
      <c r="W1501" s="77">
        <f>STOCK[[#This Row],[Precio Final]]-STOCK[[#This Row],[Costo total]]</f>
        <v>7.47</v>
      </c>
      <c r="X1501" s="77">
        <f>STOCK[[#This Row],[Ganancia Unitaria]]*STOCK[[#This Row],[Salidas]]</f>
        <v>0</v>
      </c>
      <c r="Y1501" s="77"/>
      <c r="Z1501" s="77"/>
      <c r="AA1501" s="54">
        <f>STOCK[[#This Row],[Costo total]]*STOCK[[#This Row],[Entradas]]</f>
        <v>31.59</v>
      </c>
      <c r="AB1501" s="54">
        <f>STOCK[[#This Row],[Stock Actual]]*STOCK[[#This Row],[Costo total]]</f>
        <v>31.59</v>
      </c>
      <c r="AC1501" s="77"/>
    </row>
    <row r="1502" s="53" customFormat="1" ht="50" customHeight="1" spans="1:29">
      <c r="A1502" s="53" t="s">
        <v>3000</v>
      </c>
      <c r="B1502" s="78"/>
      <c r="C1502" s="77" t="s">
        <v>32</v>
      </c>
      <c r="D1502" s="77" t="s">
        <v>2127</v>
      </c>
      <c r="E1502" s="79" t="s">
        <v>2999</v>
      </c>
      <c r="F1502" s="77" t="s">
        <v>46</v>
      </c>
      <c r="G1502" s="77"/>
      <c r="H1502" s="77">
        <f>STOCK[[#This Row],[Precio Final]]</f>
        <v>18</v>
      </c>
      <c r="I1502" s="82">
        <f>STOCK[[#This Row],[Precio Venta Ideal (x1.5)]]</f>
        <v>15.795</v>
      </c>
      <c r="J1502" s="80">
        <v>3</v>
      </c>
      <c r="K1502" s="80">
        <f>SUMIFS(VENTAS[Cantidad],VENTAS[Código del producto Vendido],STOCK[[#This Row],[Code]])</f>
        <v>0</v>
      </c>
      <c r="L1502" s="80">
        <f>STOCK[[#This Row],[Entradas]]-STOCK[[#This Row],[Salidas]]</f>
        <v>3</v>
      </c>
      <c r="M1502" s="77">
        <f>STOCK[[#This Row],[Precio Final]]*10%</f>
        <v>1.8</v>
      </c>
      <c r="N1502" s="77">
        <v>0</v>
      </c>
      <c r="O1502" s="77">
        <v>0</v>
      </c>
      <c r="P1502" s="77">
        <v>7.08</v>
      </c>
      <c r="Q1502" s="80">
        <v>0</v>
      </c>
      <c r="R1502" s="77">
        <v>0</v>
      </c>
      <c r="S1502" s="77">
        <v>1.65</v>
      </c>
      <c r="T1502" s="77">
        <f>STOCK[[#This Row],[Costo Unitario (USD)]]+STOCK[[#This Row],[Costo Envío (USD)]]+STOCK[[#This Row],[Comisión 10%]]</f>
        <v>10.53</v>
      </c>
      <c r="U1502" s="53">
        <f>STOCK[[#This Row],[Costo total]]*1.5</f>
        <v>15.795</v>
      </c>
      <c r="V1502" s="77">
        <v>18</v>
      </c>
      <c r="W1502" s="77">
        <f>STOCK[[#This Row],[Precio Final]]-STOCK[[#This Row],[Costo total]]</f>
        <v>7.47</v>
      </c>
      <c r="X1502" s="77">
        <f>STOCK[[#This Row],[Ganancia Unitaria]]*STOCK[[#This Row],[Salidas]]</f>
        <v>0</v>
      </c>
      <c r="Y1502" s="77"/>
      <c r="Z1502" s="77"/>
      <c r="AA1502" s="54">
        <f>STOCK[[#This Row],[Costo total]]*STOCK[[#This Row],[Entradas]]</f>
        <v>31.59</v>
      </c>
      <c r="AB1502" s="54">
        <f>STOCK[[#This Row],[Stock Actual]]*STOCK[[#This Row],[Costo total]]</f>
        <v>31.59</v>
      </c>
      <c r="AC1502" s="77"/>
    </row>
    <row r="1503" s="53" customFormat="1" ht="50" customHeight="1" spans="1:29">
      <c r="A1503" s="53" t="s">
        <v>3001</v>
      </c>
      <c r="B1503" s="78"/>
      <c r="C1503" s="77" t="s">
        <v>32</v>
      </c>
      <c r="D1503" s="77" t="s">
        <v>2127</v>
      </c>
      <c r="E1503" s="79" t="s">
        <v>3002</v>
      </c>
      <c r="F1503" s="77" t="s">
        <v>42</v>
      </c>
      <c r="G1503" s="77"/>
      <c r="H1503" s="77">
        <f>STOCK[[#This Row],[Precio Final]]</f>
        <v>28</v>
      </c>
      <c r="I1503" s="82">
        <f>STOCK[[#This Row],[Precio Venta Ideal (x1.5)]]</f>
        <v>24.195</v>
      </c>
      <c r="J1503" s="80">
        <v>2</v>
      </c>
      <c r="K1503" s="80">
        <f>SUMIFS(VENTAS[Cantidad],VENTAS[Código del producto Vendido],STOCK[[#This Row],[Code]])</f>
        <v>4</v>
      </c>
      <c r="L1503" s="80">
        <f>STOCK[[#This Row],[Entradas]]-STOCK[[#This Row],[Salidas]]</f>
        <v>-2</v>
      </c>
      <c r="M1503" s="77">
        <f>STOCK[[#This Row],[Precio Final]]*10%</f>
        <v>2.8</v>
      </c>
      <c r="N1503" s="77">
        <v>0</v>
      </c>
      <c r="O1503" s="77">
        <v>0</v>
      </c>
      <c r="P1503" s="77">
        <v>11.68</v>
      </c>
      <c r="Q1503" s="80">
        <v>0</v>
      </c>
      <c r="R1503" s="77">
        <v>0</v>
      </c>
      <c r="S1503" s="77">
        <v>1.65</v>
      </c>
      <c r="T1503" s="77">
        <f>STOCK[[#This Row],[Costo Unitario (USD)]]+STOCK[[#This Row],[Costo Envío (USD)]]+STOCK[[#This Row],[Comisión 10%]]</f>
        <v>16.13</v>
      </c>
      <c r="U1503" s="53">
        <f>STOCK[[#This Row],[Costo total]]*1.5</f>
        <v>24.195</v>
      </c>
      <c r="V1503" s="77">
        <v>28</v>
      </c>
      <c r="W1503" s="77">
        <f>STOCK[[#This Row],[Precio Final]]-STOCK[[#This Row],[Costo total]]</f>
        <v>11.87</v>
      </c>
      <c r="X1503" s="77">
        <f>STOCK[[#This Row],[Ganancia Unitaria]]*STOCK[[#This Row],[Salidas]]</f>
        <v>47.48</v>
      </c>
      <c r="Y1503" s="77"/>
      <c r="Z1503" s="77"/>
      <c r="AA1503" s="54">
        <f>STOCK[[#This Row],[Costo total]]*STOCK[[#This Row],[Entradas]]</f>
        <v>32.26</v>
      </c>
      <c r="AB1503" s="54">
        <f>STOCK[[#This Row],[Stock Actual]]*STOCK[[#This Row],[Costo total]]</f>
        <v>-32.26</v>
      </c>
      <c r="AC1503" s="77"/>
    </row>
    <row r="1504" s="53" customFormat="1" ht="50" customHeight="1" spans="1:29">
      <c r="A1504" s="53" t="s">
        <v>3003</v>
      </c>
      <c r="B1504" s="78"/>
      <c r="C1504" s="77" t="s">
        <v>32</v>
      </c>
      <c r="D1504" s="77" t="s">
        <v>2629</v>
      </c>
      <c r="E1504" s="79" t="s">
        <v>3004</v>
      </c>
      <c r="F1504" s="77" t="s">
        <v>62</v>
      </c>
      <c r="G1504" s="77"/>
      <c r="H1504" s="77">
        <f>STOCK[[#This Row],[Precio Final]]</f>
        <v>25</v>
      </c>
      <c r="I1504" s="82">
        <f>STOCK[[#This Row],[Precio Venta Ideal (x1.5)]]</f>
        <v>23.445</v>
      </c>
      <c r="J1504" s="80">
        <v>1</v>
      </c>
      <c r="K1504" s="80">
        <f>SUMIFS(VENTAS[Cantidad],VENTAS[Código del producto Vendido],STOCK[[#This Row],[Code]])</f>
        <v>0</v>
      </c>
      <c r="L1504" s="80">
        <f>STOCK[[#This Row],[Entradas]]-STOCK[[#This Row],[Salidas]]</f>
        <v>1</v>
      </c>
      <c r="M1504" s="77">
        <f>STOCK[[#This Row],[Precio Final]]*10%</f>
        <v>2.5</v>
      </c>
      <c r="N1504" s="77">
        <v>0</v>
      </c>
      <c r="O1504" s="77">
        <v>0</v>
      </c>
      <c r="P1504" s="77">
        <v>11.48</v>
      </c>
      <c r="Q1504" s="80">
        <v>0</v>
      </c>
      <c r="R1504" s="77">
        <v>0</v>
      </c>
      <c r="S1504" s="77">
        <v>1.65</v>
      </c>
      <c r="T1504" s="77">
        <f>STOCK[[#This Row],[Costo Unitario (USD)]]+STOCK[[#This Row],[Costo Envío (USD)]]+STOCK[[#This Row],[Comisión 10%]]</f>
        <v>15.63</v>
      </c>
      <c r="U1504" s="53">
        <f>STOCK[[#This Row],[Costo total]]*1.5</f>
        <v>23.445</v>
      </c>
      <c r="V1504" s="77">
        <v>25</v>
      </c>
      <c r="W1504" s="77">
        <f>STOCK[[#This Row],[Precio Final]]-STOCK[[#This Row],[Costo total]]</f>
        <v>9.37</v>
      </c>
      <c r="X1504" s="77">
        <f>STOCK[[#This Row],[Ganancia Unitaria]]*STOCK[[#This Row],[Salidas]]</f>
        <v>0</v>
      </c>
      <c r="Y1504" s="77"/>
      <c r="Z1504" s="77"/>
      <c r="AA1504" s="54">
        <f>STOCK[[#This Row],[Costo total]]*STOCK[[#This Row],[Entradas]]</f>
        <v>15.63</v>
      </c>
      <c r="AB1504" s="54">
        <f>STOCK[[#This Row],[Stock Actual]]*STOCK[[#This Row],[Costo total]]</f>
        <v>15.63</v>
      </c>
      <c r="AC1504" s="77"/>
    </row>
    <row r="1505" s="53" customFormat="1" ht="40" customHeight="1" spans="1:29">
      <c r="A1505" s="53" t="s">
        <v>3005</v>
      </c>
      <c r="B1505" s="78"/>
      <c r="C1505" s="77" t="s">
        <v>32</v>
      </c>
      <c r="D1505" s="77" t="s">
        <v>2629</v>
      </c>
      <c r="E1505" s="79" t="s">
        <v>3004</v>
      </c>
      <c r="F1505" s="77" t="s">
        <v>42</v>
      </c>
      <c r="G1505" s="77"/>
      <c r="H1505" s="77">
        <f>STOCK[[#This Row],[Precio Final]]</f>
        <v>25</v>
      </c>
      <c r="I1505" s="82">
        <f>STOCK[[#This Row],[Precio Venta Ideal (x1.5)]]</f>
        <v>23.445</v>
      </c>
      <c r="J1505" s="80">
        <v>1</v>
      </c>
      <c r="K1505" s="80">
        <f>SUMIFS(VENTAS[Cantidad],VENTAS[Código del producto Vendido],STOCK[[#This Row],[Code]])</f>
        <v>1</v>
      </c>
      <c r="L1505" s="80">
        <f>STOCK[[#This Row],[Entradas]]-STOCK[[#This Row],[Salidas]]</f>
        <v>0</v>
      </c>
      <c r="M1505" s="77">
        <f>STOCK[[#This Row],[Precio Final]]*10%</f>
        <v>2.5</v>
      </c>
      <c r="N1505" s="77">
        <v>0</v>
      </c>
      <c r="O1505" s="77">
        <v>0</v>
      </c>
      <c r="P1505" s="77">
        <v>11.48</v>
      </c>
      <c r="Q1505" s="80">
        <v>0</v>
      </c>
      <c r="R1505" s="77">
        <v>0</v>
      </c>
      <c r="S1505" s="77">
        <v>1.65</v>
      </c>
      <c r="T1505" s="77">
        <f>STOCK[[#This Row],[Costo Unitario (USD)]]+STOCK[[#This Row],[Costo Envío (USD)]]+STOCK[[#This Row],[Comisión 10%]]</f>
        <v>15.63</v>
      </c>
      <c r="U1505" s="53">
        <f>STOCK[[#This Row],[Costo total]]*1.5</f>
        <v>23.445</v>
      </c>
      <c r="V1505" s="77">
        <v>25</v>
      </c>
      <c r="W1505" s="77">
        <f>STOCK[[#This Row],[Precio Final]]-STOCK[[#This Row],[Costo total]]</f>
        <v>9.37</v>
      </c>
      <c r="X1505" s="77">
        <f>STOCK[[#This Row],[Ganancia Unitaria]]*STOCK[[#This Row],[Salidas]]</f>
        <v>9.37</v>
      </c>
      <c r="Y1505" s="77"/>
      <c r="Z1505" s="77"/>
      <c r="AA1505" s="54">
        <f>STOCK[[#This Row],[Costo total]]*STOCK[[#This Row],[Entradas]]</f>
        <v>15.63</v>
      </c>
      <c r="AB1505" s="54">
        <f>STOCK[[#This Row],[Stock Actual]]*STOCK[[#This Row],[Costo total]]</f>
        <v>0</v>
      </c>
      <c r="AC1505" s="77"/>
    </row>
    <row r="1506" s="53" customFormat="1" ht="50" customHeight="1" spans="1:29">
      <c r="A1506" s="53" t="s">
        <v>3006</v>
      </c>
      <c r="B1506" s="78"/>
      <c r="C1506" s="77" t="s">
        <v>32</v>
      </c>
      <c r="D1506" s="77" t="s">
        <v>2629</v>
      </c>
      <c r="E1506" s="79" t="s">
        <v>3007</v>
      </c>
      <c r="F1506" s="77" t="s">
        <v>42</v>
      </c>
      <c r="G1506" s="77"/>
      <c r="H1506" s="77">
        <f>STOCK[[#This Row],[Precio Final]]</f>
        <v>25</v>
      </c>
      <c r="I1506" s="82">
        <f>STOCK[[#This Row],[Precio Venta Ideal (x1.5)]]</f>
        <v>15.66</v>
      </c>
      <c r="J1506" s="80">
        <v>1</v>
      </c>
      <c r="K1506" s="80">
        <f>SUMIFS(VENTAS[Cantidad],VENTAS[Código del producto Vendido],STOCK[[#This Row],[Code]])</f>
        <v>0</v>
      </c>
      <c r="L1506" s="80">
        <f>STOCK[[#This Row],[Entradas]]-STOCK[[#This Row],[Salidas]]</f>
        <v>1</v>
      </c>
      <c r="M1506" s="77">
        <f>STOCK[[#This Row],[Precio Final]]*10%</f>
        <v>2.5</v>
      </c>
      <c r="N1506" s="77">
        <v>0</v>
      </c>
      <c r="O1506" s="77">
        <v>0</v>
      </c>
      <c r="P1506" s="77">
        <v>6.29</v>
      </c>
      <c r="Q1506" s="80">
        <v>0</v>
      </c>
      <c r="R1506" s="77">
        <v>0</v>
      </c>
      <c r="S1506" s="77">
        <v>1.65</v>
      </c>
      <c r="T1506" s="77">
        <f>STOCK[[#This Row],[Costo Unitario (USD)]]+STOCK[[#This Row],[Costo Envío (USD)]]+STOCK[[#This Row],[Comisión 10%]]</f>
        <v>10.44</v>
      </c>
      <c r="U1506" s="53">
        <f>STOCK[[#This Row],[Costo total]]*1.5</f>
        <v>15.66</v>
      </c>
      <c r="V1506" s="77">
        <v>25</v>
      </c>
      <c r="W1506" s="77">
        <f>STOCK[[#This Row],[Precio Final]]-STOCK[[#This Row],[Costo total]]</f>
        <v>14.56</v>
      </c>
      <c r="X1506" s="77">
        <f>STOCK[[#This Row],[Ganancia Unitaria]]*STOCK[[#This Row],[Salidas]]</f>
        <v>0</v>
      </c>
      <c r="Y1506" s="77"/>
      <c r="Z1506" s="77"/>
      <c r="AA1506" s="54">
        <f>STOCK[[#This Row],[Costo total]]*STOCK[[#This Row],[Entradas]]</f>
        <v>10.44</v>
      </c>
      <c r="AB1506" s="54">
        <f>STOCK[[#This Row],[Stock Actual]]*STOCK[[#This Row],[Costo total]]</f>
        <v>10.44</v>
      </c>
      <c r="AC1506" s="77"/>
    </row>
    <row r="1507" s="53" customFormat="1" ht="50" customHeight="1" spans="1:29">
      <c r="A1507" s="53" t="s">
        <v>3008</v>
      </c>
      <c r="B1507" s="78"/>
      <c r="C1507" s="77" t="s">
        <v>32</v>
      </c>
      <c r="D1507" s="77" t="s">
        <v>2133</v>
      </c>
      <c r="E1507" s="79" t="s">
        <v>3009</v>
      </c>
      <c r="F1507" s="77" t="s">
        <v>62</v>
      </c>
      <c r="G1507" s="77"/>
      <c r="H1507" s="77">
        <f>STOCK[[#This Row],[Precio Final]]</f>
        <v>40</v>
      </c>
      <c r="I1507" s="82">
        <f>STOCK[[#This Row],[Precio Venta Ideal (x1.5)]]</f>
        <v>26.205</v>
      </c>
      <c r="J1507" s="80">
        <v>2</v>
      </c>
      <c r="K1507" s="80">
        <f>SUMIFS(VENTAS[Cantidad],VENTAS[Código del producto Vendido],STOCK[[#This Row],[Code]])</f>
        <v>2</v>
      </c>
      <c r="L1507" s="80">
        <f>STOCK[[#This Row],[Entradas]]-STOCK[[#This Row],[Salidas]]</f>
        <v>0</v>
      </c>
      <c r="M1507" s="77">
        <f>STOCK[[#This Row],[Precio Final]]*10%</f>
        <v>4</v>
      </c>
      <c r="N1507" s="77">
        <v>0</v>
      </c>
      <c r="O1507" s="77">
        <v>0</v>
      </c>
      <c r="P1507" s="77">
        <v>11.82</v>
      </c>
      <c r="Q1507" s="80">
        <v>0</v>
      </c>
      <c r="R1507" s="77">
        <v>0</v>
      </c>
      <c r="S1507" s="77">
        <v>1.65</v>
      </c>
      <c r="T1507" s="77">
        <f>STOCK[[#This Row],[Costo Unitario (USD)]]+STOCK[[#This Row],[Costo Envío (USD)]]+STOCK[[#This Row],[Comisión 10%]]</f>
        <v>17.47</v>
      </c>
      <c r="U1507" s="53">
        <f>STOCK[[#This Row],[Costo total]]*1.5</f>
        <v>26.205</v>
      </c>
      <c r="V1507" s="77">
        <v>40</v>
      </c>
      <c r="W1507" s="77">
        <f>STOCK[[#This Row],[Precio Final]]-STOCK[[#This Row],[Costo total]]</f>
        <v>22.53</v>
      </c>
      <c r="X1507" s="77">
        <f>STOCK[[#This Row],[Ganancia Unitaria]]*STOCK[[#This Row],[Salidas]]</f>
        <v>45.06</v>
      </c>
      <c r="Y1507" s="77"/>
      <c r="Z1507" s="77"/>
      <c r="AA1507" s="54">
        <f>STOCK[[#This Row],[Costo total]]*STOCK[[#This Row],[Entradas]]</f>
        <v>34.94</v>
      </c>
      <c r="AB1507" s="54">
        <f>STOCK[[#This Row],[Stock Actual]]*STOCK[[#This Row],[Costo total]]</f>
        <v>0</v>
      </c>
      <c r="AC1507" s="77"/>
    </row>
    <row r="1508" s="53" customFormat="1" ht="50" customHeight="1" spans="1:29">
      <c r="A1508" s="53" t="s">
        <v>3010</v>
      </c>
      <c r="B1508" s="78"/>
      <c r="C1508" s="77" t="s">
        <v>32</v>
      </c>
      <c r="D1508" s="77" t="s">
        <v>2845</v>
      </c>
      <c r="E1508" s="79" t="s">
        <v>3011</v>
      </c>
      <c r="F1508" s="77" t="s">
        <v>62</v>
      </c>
      <c r="G1508" s="77"/>
      <c r="H1508" s="77">
        <f>STOCK[[#This Row],[Precio Final]]</f>
        <v>30</v>
      </c>
      <c r="I1508" s="82">
        <f>STOCK[[#This Row],[Precio Venta Ideal (x1.5)]]</f>
        <v>23.445</v>
      </c>
      <c r="J1508" s="80">
        <v>2</v>
      </c>
      <c r="K1508" s="80">
        <f>SUMIFS(VENTAS[Cantidad],VENTAS[Código del producto Vendido],STOCK[[#This Row],[Code]])</f>
        <v>3</v>
      </c>
      <c r="L1508" s="80">
        <f>STOCK[[#This Row],[Entradas]]-STOCK[[#This Row],[Salidas]]</f>
        <v>-1</v>
      </c>
      <c r="M1508" s="77">
        <f>STOCK[[#This Row],[Precio Final]]*10%</f>
        <v>3</v>
      </c>
      <c r="N1508" s="77">
        <v>0</v>
      </c>
      <c r="O1508" s="77">
        <v>0</v>
      </c>
      <c r="P1508" s="77">
        <v>10.98</v>
      </c>
      <c r="Q1508" s="80">
        <v>0</v>
      </c>
      <c r="R1508" s="77">
        <v>0</v>
      </c>
      <c r="S1508" s="77">
        <v>1.65</v>
      </c>
      <c r="T1508" s="77">
        <f>STOCK[[#This Row],[Costo Unitario (USD)]]+STOCK[[#This Row],[Costo Envío (USD)]]+STOCK[[#This Row],[Comisión 10%]]</f>
        <v>15.63</v>
      </c>
      <c r="U1508" s="53">
        <f>STOCK[[#This Row],[Costo total]]*1.5</f>
        <v>23.445</v>
      </c>
      <c r="V1508" s="77">
        <v>30</v>
      </c>
      <c r="W1508" s="77">
        <f>STOCK[[#This Row],[Precio Final]]-STOCK[[#This Row],[Costo total]]</f>
        <v>14.37</v>
      </c>
      <c r="X1508" s="77">
        <f>STOCK[[#This Row],[Ganancia Unitaria]]*STOCK[[#This Row],[Salidas]]</f>
        <v>43.11</v>
      </c>
      <c r="Y1508" s="77"/>
      <c r="Z1508" s="77"/>
      <c r="AA1508" s="54">
        <f>STOCK[[#This Row],[Costo total]]*STOCK[[#This Row],[Entradas]]</f>
        <v>31.26</v>
      </c>
      <c r="AB1508" s="54">
        <f>STOCK[[#This Row],[Stock Actual]]*STOCK[[#This Row],[Costo total]]</f>
        <v>-15.63</v>
      </c>
      <c r="AC1508" s="77"/>
    </row>
    <row r="1509" s="53" customFormat="1" ht="50" customHeight="1" spans="1:29">
      <c r="A1509" s="53" t="s">
        <v>3012</v>
      </c>
      <c r="B1509" s="78"/>
      <c r="C1509" s="77" t="s">
        <v>32</v>
      </c>
      <c r="D1509" s="77" t="s">
        <v>2845</v>
      </c>
      <c r="E1509" s="79" t="s">
        <v>3011</v>
      </c>
      <c r="F1509" s="77" t="s">
        <v>49</v>
      </c>
      <c r="G1509" s="77"/>
      <c r="H1509" s="77">
        <f>STOCK[[#This Row],[Precio Final]]</f>
        <v>30</v>
      </c>
      <c r="I1509" s="82">
        <f>STOCK[[#This Row],[Precio Venta Ideal (x1.5)]]</f>
        <v>23.445</v>
      </c>
      <c r="J1509" s="80">
        <v>2</v>
      </c>
      <c r="K1509" s="80">
        <f>SUMIFS(VENTAS[Cantidad],VENTAS[Código del producto Vendido],STOCK[[#This Row],[Code]])</f>
        <v>1</v>
      </c>
      <c r="L1509" s="80">
        <f>STOCK[[#This Row],[Entradas]]-STOCK[[#This Row],[Salidas]]</f>
        <v>1</v>
      </c>
      <c r="M1509" s="77">
        <f>STOCK[[#This Row],[Precio Final]]*10%</f>
        <v>3</v>
      </c>
      <c r="N1509" s="77">
        <v>0</v>
      </c>
      <c r="O1509" s="77">
        <v>0</v>
      </c>
      <c r="P1509" s="77">
        <v>10.98</v>
      </c>
      <c r="Q1509" s="80">
        <v>0</v>
      </c>
      <c r="R1509" s="77">
        <v>0</v>
      </c>
      <c r="S1509" s="77">
        <v>1.65</v>
      </c>
      <c r="T1509" s="77">
        <f>STOCK[[#This Row],[Costo Unitario (USD)]]+STOCK[[#This Row],[Costo Envío (USD)]]+STOCK[[#This Row],[Comisión 10%]]</f>
        <v>15.63</v>
      </c>
      <c r="U1509" s="53">
        <f>STOCK[[#This Row],[Costo total]]*1.5</f>
        <v>23.445</v>
      </c>
      <c r="V1509" s="83">
        <v>30</v>
      </c>
      <c r="W1509" s="77">
        <f>STOCK[[#This Row],[Precio Final]]-STOCK[[#This Row],[Costo total]]</f>
        <v>14.37</v>
      </c>
      <c r="X1509" s="77">
        <f>STOCK[[#This Row],[Ganancia Unitaria]]*STOCK[[#This Row],[Salidas]]</f>
        <v>14.37</v>
      </c>
      <c r="Y1509" s="77"/>
      <c r="Z1509" s="77"/>
      <c r="AA1509" s="54">
        <f>STOCK[[#This Row],[Costo total]]*STOCK[[#This Row],[Entradas]]</f>
        <v>31.26</v>
      </c>
      <c r="AB1509" s="54">
        <f>STOCK[[#This Row],[Stock Actual]]*STOCK[[#This Row],[Costo total]]</f>
        <v>15.63</v>
      </c>
      <c r="AC1509" s="77"/>
    </row>
    <row r="1510" s="53" customFormat="1" ht="50" customHeight="1" spans="1:29">
      <c r="A1510" s="53" t="s">
        <v>3013</v>
      </c>
      <c r="B1510" s="78"/>
      <c r="C1510" s="77" t="s">
        <v>32</v>
      </c>
      <c r="D1510" s="77" t="s">
        <v>2845</v>
      </c>
      <c r="E1510" s="79" t="s">
        <v>3011</v>
      </c>
      <c r="F1510" s="77" t="s">
        <v>46</v>
      </c>
      <c r="G1510" s="77"/>
      <c r="H1510" s="77">
        <f>STOCK[[#This Row],[Precio Final]]</f>
        <v>30</v>
      </c>
      <c r="I1510" s="82">
        <f>STOCK[[#This Row],[Precio Venta Ideal (x1.5)]]</f>
        <v>23.445</v>
      </c>
      <c r="J1510" s="80">
        <v>2</v>
      </c>
      <c r="K1510" s="80">
        <f>SUMIFS(VENTAS[Cantidad],VENTAS[Código del producto Vendido],STOCK[[#This Row],[Code]])</f>
        <v>4</v>
      </c>
      <c r="L1510" s="80">
        <f>STOCK[[#This Row],[Entradas]]-STOCK[[#This Row],[Salidas]]</f>
        <v>-2</v>
      </c>
      <c r="M1510" s="77">
        <f>STOCK[[#This Row],[Precio Final]]*10%</f>
        <v>3</v>
      </c>
      <c r="N1510" s="77">
        <v>0</v>
      </c>
      <c r="O1510" s="77">
        <v>0</v>
      </c>
      <c r="P1510" s="77">
        <v>10.98</v>
      </c>
      <c r="Q1510" s="80">
        <v>0</v>
      </c>
      <c r="R1510" s="77">
        <v>0</v>
      </c>
      <c r="S1510" s="77">
        <v>1.65</v>
      </c>
      <c r="T1510" s="77">
        <f>STOCK[[#This Row],[Costo Unitario (USD)]]+STOCK[[#This Row],[Costo Envío (USD)]]+STOCK[[#This Row],[Comisión 10%]]</f>
        <v>15.63</v>
      </c>
      <c r="U1510" s="53">
        <f>STOCK[[#This Row],[Costo total]]*1.5</f>
        <v>23.445</v>
      </c>
      <c r="V1510" s="77">
        <v>30</v>
      </c>
      <c r="W1510" s="77">
        <f>STOCK[[#This Row],[Precio Final]]-STOCK[[#This Row],[Costo total]]</f>
        <v>14.37</v>
      </c>
      <c r="X1510" s="77">
        <f>STOCK[[#This Row],[Ganancia Unitaria]]*STOCK[[#This Row],[Salidas]]</f>
        <v>57.48</v>
      </c>
      <c r="Y1510" s="77"/>
      <c r="Z1510" s="77"/>
      <c r="AA1510" s="54">
        <f>STOCK[[#This Row],[Costo total]]*STOCK[[#This Row],[Entradas]]</f>
        <v>31.26</v>
      </c>
      <c r="AB1510" s="54">
        <f>STOCK[[#This Row],[Stock Actual]]*STOCK[[#This Row],[Costo total]]</f>
        <v>-31.26</v>
      </c>
      <c r="AC1510" s="77"/>
    </row>
    <row r="1511" s="53" customFormat="1" ht="50" customHeight="1" spans="1:29">
      <c r="A1511" s="53" t="s">
        <v>3014</v>
      </c>
      <c r="B1511" s="78"/>
      <c r="C1511" s="77" t="s">
        <v>32</v>
      </c>
      <c r="D1511" s="77" t="s">
        <v>2845</v>
      </c>
      <c r="E1511" s="79" t="s">
        <v>3011</v>
      </c>
      <c r="F1511" s="77" t="s">
        <v>3015</v>
      </c>
      <c r="G1511" s="77"/>
      <c r="H1511" s="77">
        <f>STOCK[[#This Row],[Precio Final]]</f>
        <v>30</v>
      </c>
      <c r="I1511" s="82">
        <f>STOCK[[#This Row],[Precio Venta Ideal (x1.5)]]</f>
        <v>23.445</v>
      </c>
      <c r="J1511" s="80">
        <v>3</v>
      </c>
      <c r="K1511" s="80">
        <f>SUMIFS(VENTAS[Cantidad],VENTAS[Código del producto Vendido],STOCK[[#This Row],[Code]])</f>
        <v>6</v>
      </c>
      <c r="L1511" s="80">
        <f>STOCK[[#This Row],[Entradas]]-STOCK[[#This Row],[Salidas]]</f>
        <v>-3</v>
      </c>
      <c r="M1511" s="77">
        <f>STOCK[[#This Row],[Precio Final]]*10%</f>
        <v>3</v>
      </c>
      <c r="N1511" s="77">
        <v>0</v>
      </c>
      <c r="O1511" s="77">
        <v>0</v>
      </c>
      <c r="P1511" s="77">
        <v>10.98</v>
      </c>
      <c r="Q1511" s="80">
        <v>0</v>
      </c>
      <c r="R1511" s="77">
        <v>0</v>
      </c>
      <c r="S1511" s="77">
        <v>1.65</v>
      </c>
      <c r="T1511" s="77">
        <f>STOCK[[#This Row],[Costo Unitario (USD)]]+STOCK[[#This Row],[Costo Envío (USD)]]+STOCK[[#This Row],[Comisión 10%]]</f>
        <v>15.63</v>
      </c>
      <c r="U1511" s="53">
        <f>STOCK[[#This Row],[Costo total]]*1.5</f>
        <v>23.445</v>
      </c>
      <c r="V1511" s="77">
        <v>30</v>
      </c>
      <c r="W1511" s="77">
        <f>STOCK[[#This Row],[Precio Final]]-STOCK[[#This Row],[Costo total]]</f>
        <v>14.37</v>
      </c>
      <c r="X1511" s="77">
        <f>STOCK[[#This Row],[Ganancia Unitaria]]*STOCK[[#This Row],[Salidas]]</f>
        <v>86.22</v>
      </c>
      <c r="Y1511" s="77"/>
      <c r="Z1511" s="77"/>
      <c r="AA1511" s="54">
        <f>STOCK[[#This Row],[Costo total]]*STOCK[[#This Row],[Entradas]]</f>
        <v>46.89</v>
      </c>
      <c r="AB1511" s="54">
        <f>STOCK[[#This Row],[Stock Actual]]*STOCK[[#This Row],[Costo total]]</f>
        <v>-46.89</v>
      </c>
      <c r="AC1511" s="77"/>
    </row>
    <row r="1512" s="53" customFormat="1" ht="50" customHeight="1" spans="1:29">
      <c r="A1512" s="53" t="s">
        <v>3016</v>
      </c>
      <c r="B1512" s="78"/>
      <c r="C1512" s="77" t="s">
        <v>32</v>
      </c>
      <c r="D1512" s="77" t="s">
        <v>2879</v>
      </c>
      <c r="E1512" s="79" t="s">
        <v>3017</v>
      </c>
      <c r="F1512" s="77" t="s">
        <v>46</v>
      </c>
      <c r="G1512" s="77"/>
      <c r="H1512" s="77">
        <f>STOCK[[#This Row],[Precio Final]]</f>
        <v>30</v>
      </c>
      <c r="I1512" s="82">
        <f>STOCK[[#This Row],[Precio Venta Ideal (x1.5)]]</f>
        <v>27.015</v>
      </c>
      <c r="J1512" s="80">
        <v>1</v>
      </c>
      <c r="K1512" s="80">
        <f>SUMIFS(VENTAS[Cantidad],VENTAS[Código del producto Vendido],STOCK[[#This Row],[Code]])</f>
        <v>1</v>
      </c>
      <c r="L1512" s="80">
        <f>STOCK[[#This Row],[Entradas]]-STOCK[[#This Row],[Salidas]]</f>
        <v>0</v>
      </c>
      <c r="M1512" s="77">
        <f>STOCK[[#This Row],[Precio Final]]*10%</f>
        <v>3</v>
      </c>
      <c r="N1512" s="77">
        <v>0</v>
      </c>
      <c r="O1512" s="77">
        <v>0</v>
      </c>
      <c r="P1512" s="77">
        <v>13.36</v>
      </c>
      <c r="Q1512" s="80">
        <v>0</v>
      </c>
      <c r="R1512" s="77">
        <v>0</v>
      </c>
      <c r="S1512" s="77">
        <v>1.65</v>
      </c>
      <c r="T1512" s="77">
        <f>STOCK[[#This Row],[Costo Unitario (USD)]]+STOCK[[#This Row],[Costo Envío (USD)]]+STOCK[[#This Row],[Comisión 10%]]</f>
        <v>18.01</v>
      </c>
      <c r="U1512" s="53">
        <f>STOCK[[#This Row],[Costo total]]*1.5</f>
        <v>27.015</v>
      </c>
      <c r="V1512" s="77">
        <v>30</v>
      </c>
      <c r="W1512" s="77">
        <f>STOCK[[#This Row],[Precio Final]]-STOCK[[#This Row],[Costo total]]</f>
        <v>11.99</v>
      </c>
      <c r="X1512" s="77">
        <f>STOCK[[#This Row],[Ganancia Unitaria]]*STOCK[[#This Row],[Salidas]]</f>
        <v>11.99</v>
      </c>
      <c r="Y1512" s="77"/>
      <c r="Z1512" s="77"/>
      <c r="AA1512" s="54">
        <f>STOCK[[#This Row],[Costo total]]*STOCK[[#This Row],[Entradas]]</f>
        <v>18.01</v>
      </c>
      <c r="AB1512" s="54">
        <f>STOCK[[#This Row],[Stock Actual]]*STOCK[[#This Row],[Costo total]]</f>
        <v>0</v>
      </c>
      <c r="AC1512" s="77"/>
    </row>
    <row r="1513" s="53" customFormat="1" ht="50" customHeight="1" spans="1:29">
      <c r="A1513" s="53" t="s">
        <v>3018</v>
      </c>
      <c r="B1513" s="78"/>
      <c r="C1513" s="77" t="s">
        <v>32</v>
      </c>
      <c r="D1513" s="77" t="s">
        <v>1226</v>
      </c>
      <c r="E1513" s="79" t="s">
        <v>3019</v>
      </c>
      <c r="F1513" s="77" t="s">
        <v>517</v>
      </c>
      <c r="G1513" s="77"/>
      <c r="H1513" s="77">
        <f>STOCK[[#This Row],[Precio Final]]</f>
        <v>40</v>
      </c>
      <c r="I1513" s="82">
        <f>STOCK[[#This Row],[Precio Venta Ideal (x1.5)]]</f>
        <v>23.475</v>
      </c>
      <c r="J1513" s="80">
        <v>2</v>
      </c>
      <c r="K1513" s="80">
        <f>SUMIFS(VENTAS[Cantidad],VENTAS[Código del producto Vendido],STOCK[[#This Row],[Code]])</f>
        <v>1</v>
      </c>
      <c r="L1513" s="80">
        <f>STOCK[[#This Row],[Entradas]]-STOCK[[#This Row],[Salidas]]</f>
        <v>1</v>
      </c>
      <c r="M1513" s="77">
        <f>STOCK[[#This Row],[Precio Final]]*10%</f>
        <v>4</v>
      </c>
      <c r="N1513" s="77">
        <v>0</v>
      </c>
      <c r="O1513" s="77">
        <v>0</v>
      </c>
      <c r="P1513" s="77">
        <v>10</v>
      </c>
      <c r="Q1513" s="80">
        <v>0</v>
      </c>
      <c r="R1513" s="77">
        <v>0</v>
      </c>
      <c r="S1513" s="77">
        <v>1.65</v>
      </c>
      <c r="T1513" s="77">
        <f>STOCK[[#This Row],[Costo Unitario (USD)]]+STOCK[[#This Row],[Costo Envío (USD)]]+STOCK[[#This Row],[Comisión 10%]]</f>
        <v>15.65</v>
      </c>
      <c r="U1513" s="53">
        <f>STOCK[[#This Row],[Costo total]]*1.5</f>
        <v>23.475</v>
      </c>
      <c r="V1513" s="77">
        <v>40</v>
      </c>
      <c r="W1513" s="77">
        <f>STOCK[[#This Row],[Precio Final]]-STOCK[[#This Row],[Costo total]]</f>
        <v>24.35</v>
      </c>
      <c r="X1513" s="77">
        <f>STOCK[[#This Row],[Ganancia Unitaria]]*STOCK[[#This Row],[Salidas]]</f>
        <v>24.35</v>
      </c>
      <c r="Y1513" s="77"/>
      <c r="Z1513" s="77"/>
      <c r="AA1513" s="54">
        <f>STOCK[[#This Row],[Costo total]]*STOCK[[#This Row],[Entradas]]</f>
        <v>31.3</v>
      </c>
      <c r="AB1513" s="54">
        <f>STOCK[[#This Row],[Stock Actual]]*STOCK[[#This Row],[Costo total]]</f>
        <v>15.65</v>
      </c>
      <c r="AC1513" s="77"/>
    </row>
    <row r="1514" s="53" customFormat="1" ht="50" customHeight="1" spans="1:29">
      <c r="A1514" s="53" t="s">
        <v>3020</v>
      </c>
      <c r="B1514" s="78"/>
      <c r="C1514" s="77" t="s">
        <v>32</v>
      </c>
      <c r="D1514" s="77" t="s">
        <v>1226</v>
      </c>
      <c r="E1514" s="79" t="s">
        <v>3019</v>
      </c>
      <c r="F1514" s="77" t="s">
        <v>540</v>
      </c>
      <c r="G1514" s="77"/>
      <c r="H1514" s="77">
        <f>STOCK[[#This Row],[Precio Final]]</f>
        <v>40</v>
      </c>
      <c r="I1514" s="82">
        <f>STOCK[[#This Row],[Precio Venta Ideal (x1.5)]]</f>
        <v>23.475</v>
      </c>
      <c r="J1514" s="80">
        <v>2</v>
      </c>
      <c r="K1514" s="80">
        <f>SUMIFS(VENTAS[Cantidad],VENTAS[Código del producto Vendido],STOCK[[#This Row],[Code]])</f>
        <v>0</v>
      </c>
      <c r="L1514" s="80">
        <f>STOCK[[#This Row],[Entradas]]-STOCK[[#This Row],[Salidas]]</f>
        <v>2</v>
      </c>
      <c r="M1514" s="77">
        <f>STOCK[[#This Row],[Precio Final]]*10%</f>
        <v>4</v>
      </c>
      <c r="N1514" s="77">
        <v>0</v>
      </c>
      <c r="O1514" s="77">
        <v>0</v>
      </c>
      <c r="P1514" s="77">
        <v>10</v>
      </c>
      <c r="Q1514" s="80">
        <v>0</v>
      </c>
      <c r="R1514" s="77">
        <v>0</v>
      </c>
      <c r="S1514" s="77">
        <v>1.65</v>
      </c>
      <c r="T1514" s="77">
        <f>STOCK[[#This Row],[Costo Unitario (USD)]]+STOCK[[#This Row],[Costo Envío (USD)]]+STOCK[[#This Row],[Comisión 10%]]</f>
        <v>15.65</v>
      </c>
      <c r="U1514" s="53">
        <f>STOCK[[#This Row],[Costo total]]*1.5</f>
        <v>23.475</v>
      </c>
      <c r="V1514" s="77">
        <v>40</v>
      </c>
      <c r="W1514" s="77">
        <f>STOCK[[#This Row],[Precio Final]]-STOCK[[#This Row],[Costo total]]</f>
        <v>24.35</v>
      </c>
      <c r="X1514" s="77">
        <f>STOCK[[#This Row],[Ganancia Unitaria]]*STOCK[[#This Row],[Salidas]]</f>
        <v>0</v>
      </c>
      <c r="Y1514" s="77"/>
      <c r="Z1514" s="77"/>
      <c r="AA1514" s="54">
        <f>STOCK[[#This Row],[Costo total]]*STOCK[[#This Row],[Entradas]]</f>
        <v>31.3</v>
      </c>
      <c r="AB1514" s="54">
        <f>STOCK[[#This Row],[Stock Actual]]*STOCK[[#This Row],[Costo total]]</f>
        <v>31.3</v>
      </c>
      <c r="AC1514" s="77"/>
    </row>
    <row r="1515" s="53" customFormat="1" ht="50" customHeight="1" spans="1:29">
      <c r="A1515" s="53" t="s">
        <v>3021</v>
      </c>
      <c r="B1515" s="78"/>
      <c r="C1515" s="77" t="s">
        <v>32</v>
      </c>
      <c r="D1515" s="77" t="s">
        <v>1226</v>
      </c>
      <c r="E1515" s="79" t="s">
        <v>3019</v>
      </c>
      <c r="F1515" s="77" t="s">
        <v>754</v>
      </c>
      <c r="G1515" s="77"/>
      <c r="H1515" s="77">
        <f>STOCK[[#This Row],[Precio Final]]</f>
        <v>40</v>
      </c>
      <c r="I1515" s="82">
        <f>STOCK[[#This Row],[Precio Venta Ideal (x1.5)]]</f>
        <v>23.475</v>
      </c>
      <c r="J1515" s="80">
        <v>2</v>
      </c>
      <c r="K1515" s="80">
        <f>SUMIFS(VENTAS[Cantidad],VENTAS[Código del producto Vendido],STOCK[[#This Row],[Code]])</f>
        <v>0</v>
      </c>
      <c r="L1515" s="80">
        <f>STOCK[[#This Row],[Entradas]]-STOCK[[#This Row],[Salidas]]</f>
        <v>2</v>
      </c>
      <c r="M1515" s="77">
        <f>STOCK[[#This Row],[Precio Final]]*10%</f>
        <v>4</v>
      </c>
      <c r="N1515" s="77">
        <v>0</v>
      </c>
      <c r="O1515" s="77">
        <v>0</v>
      </c>
      <c r="P1515" s="77">
        <v>10</v>
      </c>
      <c r="Q1515" s="80">
        <v>0</v>
      </c>
      <c r="R1515" s="77">
        <v>0</v>
      </c>
      <c r="S1515" s="77">
        <v>1.65</v>
      </c>
      <c r="T1515" s="77">
        <f>STOCK[[#This Row],[Costo Unitario (USD)]]+STOCK[[#This Row],[Costo Envío (USD)]]+STOCK[[#This Row],[Comisión 10%]]</f>
        <v>15.65</v>
      </c>
      <c r="U1515" s="53">
        <f>STOCK[[#This Row],[Costo total]]*1.5</f>
        <v>23.475</v>
      </c>
      <c r="V1515" s="77">
        <v>40</v>
      </c>
      <c r="W1515" s="77">
        <f>STOCK[[#This Row],[Precio Final]]-STOCK[[#This Row],[Costo total]]</f>
        <v>24.35</v>
      </c>
      <c r="X1515" s="77">
        <f>STOCK[[#This Row],[Ganancia Unitaria]]*STOCK[[#This Row],[Salidas]]</f>
        <v>0</v>
      </c>
      <c r="Y1515" s="77"/>
      <c r="Z1515" s="77"/>
      <c r="AA1515" s="54">
        <f>STOCK[[#This Row],[Costo total]]*STOCK[[#This Row],[Entradas]]</f>
        <v>31.3</v>
      </c>
      <c r="AB1515" s="54">
        <f>STOCK[[#This Row],[Stock Actual]]*STOCK[[#This Row],[Costo total]]</f>
        <v>31.3</v>
      </c>
      <c r="AC1515" s="77"/>
    </row>
    <row r="1516" s="53" customFormat="1" ht="50" customHeight="1" spans="1:29">
      <c r="A1516" s="53" t="s">
        <v>3022</v>
      </c>
      <c r="B1516" s="78"/>
      <c r="C1516" s="77" t="s">
        <v>32</v>
      </c>
      <c r="D1516" s="77" t="s">
        <v>2845</v>
      </c>
      <c r="E1516" s="79" t="s">
        <v>3023</v>
      </c>
      <c r="F1516" s="77" t="s">
        <v>40</v>
      </c>
      <c r="G1516" s="77"/>
      <c r="H1516" s="77">
        <f>STOCK[[#This Row],[Precio Final]]</f>
        <v>25</v>
      </c>
      <c r="I1516" s="82">
        <f>STOCK[[#This Row],[Precio Venta Ideal (x1.5)]]</f>
        <v>25.65</v>
      </c>
      <c r="J1516" s="80">
        <v>1</v>
      </c>
      <c r="K1516" s="80">
        <f>SUMIFS(VENTAS[Cantidad],VENTAS[Código del producto Vendido],STOCK[[#This Row],[Code]])</f>
        <v>1</v>
      </c>
      <c r="L1516" s="80">
        <f>STOCK[[#This Row],[Entradas]]-STOCK[[#This Row],[Salidas]]</f>
        <v>0</v>
      </c>
      <c r="M1516" s="77">
        <f>STOCK[[#This Row],[Precio Final]]*10%</f>
        <v>2.5</v>
      </c>
      <c r="N1516" s="77">
        <v>0</v>
      </c>
      <c r="O1516" s="77">
        <v>0</v>
      </c>
      <c r="P1516" s="77">
        <v>13</v>
      </c>
      <c r="Q1516" s="80">
        <v>0</v>
      </c>
      <c r="R1516" s="77">
        <v>0</v>
      </c>
      <c r="S1516" s="77">
        <v>1.6</v>
      </c>
      <c r="T1516" s="77">
        <f>STOCK[[#This Row],[Costo Unitario (USD)]]+STOCK[[#This Row],[Costo Envío (USD)]]+STOCK[[#This Row],[Comisión 10%]]</f>
        <v>17.1</v>
      </c>
      <c r="U1516" s="53">
        <f>STOCK[[#This Row],[Costo total]]*1.5</f>
        <v>25.65</v>
      </c>
      <c r="V1516" s="77">
        <v>25</v>
      </c>
      <c r="W1516" s="77">
        <f>STOCK[[#This Row],[Precio Final]]-STOCK[[#This Row],[Costo total]]</f>
        <v>7.9</v>
      </c>
      <c r="X1516" s="77">
        <f>STOCK[[#This Row],[Ganancia Unitaria]]*STOCK[[#This Row],[Salidas]]</f>
        <v>7.9</v>
      </c>
      <c r="Y1516" s="77"/>
      <c r="Z1516" s="77"/>
      <c r="AA1516" s="54">
        <f>STOCK[[#This Row],[Costo total]]*STOCK[[#This Row],[Entradas]]</f>
        <v>17.1</v>
      </c>
      <c r="AB1516" s="54">
        <f>STOCK[[#This Row],[Stock Actual]]*STOCK[[#This Row],[Costo total]]</f>
        <v>0</v>
      </c>
      <c r="AC1516" s="77"/>
    </row>
    <row r="1517" s="53" customFormat="1" ht="50" customHeight="1" spans="1:29">
      <c r="A1517" s="53" t="s">
        <v>3024</v>
      </c>
      <c r="B1517" s="78"/>
      <c r="C1517" s="77" t="s">
        <v>32</v>
      </c>
      <c r="D1517" s="77" t="s">
        <v>1190</v>
      </c>
      <c r="E1517" s="79" t="s">
        <v>3025</v>
      </c>
      <c r="F1517" s="77" t="s">
        <v>62</v>
      </c>
      <c r="G1517" s="77"/>
      <c r="H1517" s="77">
        <f>STOCK[[#This Row],[Precio Final]]</f>
        <v>18</v>
      </c>
      <c r="I1517" s="82">
        <f>STOCK[[#This Row],[Precio Venta Ideal (x1.5)]]</f>
        <v>16.23</v>
      </c>
      <c r="J1517" s="80">
        <v>2</v>
      </c>
      <c r="K1517" s="80">
        <f>SUMIFS(VENTAS[Cantidad],VENTAS[Código del producto Vendido],STOCK[[#This Row],[Code]])</f>
        <v>0</v>
      </c>
      <c r="L1517" s="80">
        <f>STOCK[[#This Row],[Entradas]]-STOCK[[#This Row],[Salidas]]</f>
        <v>2</v>
      </c>
      <c r="M1517" s="77">
        <f>STOCK[[#This Row],[Precio Final]]*10%</f>
        <v>1.8</v>
      </c>
      <c r="N1517" s="77">
        <v>0</v>
      </c>
      <c r="O1517" s="77">
        <v>0</v>
      </c>
      <c r="P1517" s="77">
        <v>7.42</v>
      </c>
      <c r="Q1517" s="80">
        <v>0</v>
      </c>
      <c r="R1517" s="77">
        <v>0</v>
      </c>
      <c r="S1517" s="77">
        <v>1.6</v>
      </c>
      <c r="T1517" s="77">
        <f>STOCK[[#This Row],[Costo Unitario (USD)]]+STOCK[[#This Row],[Costo Envío (USD)]]+STOCK[[#This Row],[Comisión 10%]]</f>
        <v>10.82</v>
      </c>
      <c r="U1517" s="53">
        <f>STOCK[[#This Row],[Costo total]]*1.5</f>
        <v>16.23</v>
      </c>
      <c r="V1517" s="77">
        <v>18</v>
      </c>
      <c r="W1517" s="77">
        <f>STOCK[[#This Row],[Precio Final]]-STOCK[[#This Row],[Costo total]]</f>
        <v>7.18</v>
      </c>
      <c r="X1517" s="77">
        <f>STOCK[[#This Row],[Ganancia Unitaria]]*STOCK[[#This Row],[Salidas]]</f>
        <v>0</v>
      </c>
      <c r="Y1517" s="77"/>
      <c r="Z1517" s="77"/>
      <c r="AA1517" s="54">
        <f>STOCK[[#This Row],[Costo total]]*STOCK[[#This Row],[Entradas]]</f>
        <v>21.64</v>
      </c>
      <c r="AB1517" s="54">
        <f>STOCK[[#This Row],[Stock Actual]]*STOCK[[#This Row],[Costo total]]</f>
        <v>21.64</v>
      </c>
      <c r="AC1517" s="77"/>
    </row>
    <row r="1518" s="53" customFormat="1" ht="50" customHeight="1" spans="1:29">
      <c r="A1518" s="53" t="s">
        <v>3026</v>
      </c>
      <c r="B1518" s="78"/>
      <c r="C1518" s="77" t="s">
        <v>32</v>
      </c>
      <c r="D1518" s="77" t="s">
        <v>1190</v>
      </c>
      <c r="E1518" s="79" t="s">
        <v>3025</v>
      </c>
      <c r="F1518" s="77" t="s">
        <v>49</v>
      </c>
      <c r="G1518" s="77"/>
      <c r="H1518" s="77">
        <f>STOCK[[#This Row],[Precio Final]]</f>
        <v>18</v>
      </c>
      <c r="I1518" s="82">
        <f>STOCK[[#This Row],[Precio Venta Ideal (x1.5)]]</f>
        <v>16.605</v>
      </c>
      <c r="J1518" s="80">
        <v>2</v>
      </c>
      <c r="K1518" s="80">
        <f>SUMIFS(VENTAS[Cantidad],VENTAS[Código del producto Vendido],STOCK[[#This Row],[Code]])</f>
        <v>0</v>
      </c>
      <c r="L1518" s="80">
        <f>STOCK[[#This Row],[Entradas]]-STOCK[[#This Row],[Salidas]]</f>
        <v>2</v>
      </c>
      <c r="M1518" s="77">
        <f>STOCK[[#This Row],[Precio Final]]*10%</f>
        <v>1.8</v>
      </c>
      <c r="N1518" s="77">
        <v>0</v>
      </c>
      <c r="O1518" s="77">
        <v>0</v>
      </c>
      <c r="P1518" s="77">
        <v>7.67</v>
      </c>
      <c r="Q1518" s="80">
        <v>0</v>
      </c>
      <c r="R1518" s="77">
        <v>0</v>
      </c>
      <c r="S1518" s="77">
        <v>1.6</v>
      </c>
      <c r="T1518" s="77">
        <f>STOCK[[#This Row],[Costo Unitario (USD)]]+STOCK[[#This Row],[Costo Envío (USD)]]+STOCK[[#This Row],[Comisión 10%]]</f>
        <v>11.07</v>
      </c>
      <c r="U1518" s="53">
        <f>STOCK[[#This Row],[Costo total]]*1.5</f>
        <v>16.605</v>
      </c>
      <c r="V1518" s="77">
        <v>18</v>
      </c>
      <c r="W1518" s="77">
        <f>STOCK[[#This Row],[Precio Final]]-STOCK[[#This Row],[Costo total]]</f>
        <v>6.93</v>
      </c>
      <c r="X1518" s="77">
        <f>STOCK[[#This Row],[Ganancia Unitaria]]*STOCK[[#This Row],[Salidas]]</f>
        <v>0</v>
      </c>
      <c r="Y1518" s="77"/>
      <c r="Z1518" s="77"/>
      <c r="AA1518" s="54">
        <f>STOCK[[#This Row],[Costo total]]*STOCK[[#This Row],[Entradas]]</f>
        <v>22.14</v>
      </c>
      <c r="AB1518" s="54">
        <f>STOCK[[#This Row],[Stock Actual]]*STOCK[[#This Row],[Costo total]]</f>
        <v>22.14</v>
      </c>
      <c r="AC1518" s="77"/>
    </row>
    <row r="1519" s="53" customFormat="1" ht="50" customHeight="1" spans="1:29">
      <c r="A1519" s="53" t="s">
        <v>3027</v>
      </c>
      <c r="B1519" s="78"/>
      <c r="C1519" s="77" t="s">
        <v>32</v>
      </c>
      <c r="D1519" s="77" t="s">
        <v>1190</v>
      </c>
      <c r="E1519" s="79" t="s">
        <v>3025</v>
      </c>
      <c r="F1519" s="77" t="s">
        <v>46</v>
      </c>
      <c r="G1519" s="77"/>
      <c r="H1519" s="77">
        <f>STOCK[[#This Row],[Precio Final]]</f>
        <v>18</v>
      </c>
      <c r="I1519" s="82">
        <f>STOCK[[#This Row],[Precio Venta Ideal (x1.5)]]</f>
        <v>17.22</v>
      </c>
      <c r="J1519" s="80">
        <v>2</v>
      </c>
      <c r="K1519" s="80">
        <f>SUMIFS(VENTAS[Cantidad],VENTAS[Código del producto Vendido],STOCK[[#This Row],[Code]])</f>
        <v>0</v>
      </c>
      <c r="L1519" s="80">
        <f>STOCK[[#This Row],[Entradas]]-STOCK[[#This Row],[Salidas]]</f>
        <v>2</v>
      </c>
      <c r="M1519" s="77">
        <f>STOCK[[#This Row],[Precio Final]]*10%</f>
        <v>1.8</v>
      </c>
      <c r="N1519" s="77">
        <v>0</v>
      </c>
      <c r="O1519" s="77">
        <v>0</v>
      </c>
      <c r="P1519" s="77">
        <v>8.08</v>
      </c>
      <c r="Q1519" s="80">
        <v>0</v>
      </c>
      <c r="R1519" s="77">
        <v>0</v>
      </c>
      <c r="S1519" s="77">
        <v>1.6</v>
      </c>
      <c r="T1519" s="77">
        <f>STOCK[[#This Row],[Costo Unitario (USD)]]+STOCK[[#This Row],[Costo Envío (USD)]]+STOCK[[#This Row],[Comisión 10%]]</f>
        <v>11.48</v>
      </c>
      <c r="U1519" s="53">
        <f>STOCK[[#This Row],[Costo total]]*1.5</f>
        <v>17.22</v>
      </c>
      <c r="V1519" s="77">
        <v>18</v>
      </c>
      <c r="W1519" s="77">
        <f>STOCK[[#This Row],[Precio Final]]-STOCK[[#This Row],[Costo total]]</f>
        <v>6.52</v>
      </c>
      <c r="X1519" s="77">
        <f>STOCK[[#This Row],[Ganancia Unitaria]]*STOCK[[#This Row],[Salidas]]</f>
        <v>0</v>
      </c>
      <c r="Y1519" s="77"/>
      <c r="Z1519" s="77"/>
      <c r="AA1519" s="54">
        <f>STOCK[[#This Row],[Costo total]]*STOCK[[#This Row],[Entradas]]</f>
        <v>22.96</v>
      </c>
      <c r="AB1519" s="54">
        <f>STOCK[[#This Row],[Stock Actual]]*STOCK[[#This Row],[Costo total]]</f>
        <v>22.96</v>
      </c>
      <c r="AC1519" s="77"/>
    </row>
    <row r="1520" s="53" customFormat="1" ht="50" customHeight="1" spans="1:29">
      <c r="A1520" s="53" t="s">
        <v>3028</v>
      </c>
      <c r="B1520" s="78"/>
      <c r="C1520" s="77" t="s">
        <v>32</v>
      </c>
      <c r="D1520" s="77" t="s">
        <v>1190</v>
      </c>
      <c r="E1520" s="79" t="s">
        <v>3029</v>
      </c>
      <c r="F1520" s="77" t="s">
        <v>62</v>
      </c>
      <c r="G1520" s="77"/>
      <c r="H1520" s="77">
        <f>STOCK[[#This Row],[Precio Final]]</f>
        <v>18</v>
      </c>
      <c r="I1520" s="82">
        <f>STOCK[[#This Row],[Precio Venta Ideal (x1.5)]]</f>
        <v>16.71</v>
      </c>
      <c r="J1520" s="80">
        <v>1</v>
      </c>
      <c r="K1520" s="80">
        <f>SUMIFS(VENTAS[Cantidad],VENTAS[Código del producto Vendido],STOCK[[#This Row],[Code]])</f>
        <v>0</v>
      </c>
      <c r="L1520" s="80">
        <f>STOCK[[#This Row],[Entradas]]-STOCK[[#This Row],[Salidas]]</f>
        <v>1</v>
      </c>
      <c r="M1520" s="77">
        <f>STOCK[[#This Row],[Precio Final]]*10%</f>
        <v>1.8</v>
      </c>
      <c r="N1520" s="77">
        <v>0</v>
      </c>
      <c r="O1520" s="77">
        <v>0</v>
      </c>
      <c r="P1520" s="77">
        <v>7.74</v>
      </c>
      <c r="Q1520" s="80">
        <v>0</v>
      </c>
      <c r="R1520" s="77">
        <v>0</v>
      </c>
      <c r="S1520" s="77">
        <v>1.6</v>
      </c>
      <c r="T1520" s="77">
        <f>STOCK[[#This Row],[Costo Unitario (USD)]]+STOCK[[#This Row],[Costo Envío (USD)]]+STOCK[[#This Row],[Comisión 10%]]</f>
        <v>11.14</v>
      </c>
      <c r="U1520" s="53">
        <f>STOCK[[#This Row],[Costo total]]*1.5</f>
        <v>16.71</v>
      </c>
      <c r="V1520" s="77">
        <v>18</v>
      </c>
      <c r="W1520" s="77">
        <f>STOCK[[#This Row],[Precio Final]]-STOCK[[#This Row],[Costo total]]</f>
        <v>6.86</v>
      </c>
      <c r="X1520" s="77">
        <f>STOCK[[#This Row],[Ganancia Unitaria]]*STOCK[[#This Row],[Salidas]]</f>
        <v>0</v>
      </c>
      <c r="Y1520" s="77"/>
      <c r="Z1520" s="77"/>
      <c r="AA1520" s="54">
        <f>STOCK[[#This Row],[Costo total]]*STOCK[[#This Row],[Entradas]]</f>
        <v>11.14</v>
      </c>
      <c r="AB1520" s="54">
        <f>STOCK[[#This Row],[Stock Actual]]*STOCK[[#This Row],[Costo total]]</f>
        <v>11.14</v>
      </c>
      <c r="AC1520" s="77"/>
    </row>
    <row r="1521" s="53" customFormat="1" ht="50" customHeight="1" spans="1:29">
      <c r="A1521" s="53" t="s">
        <v>3030</v>
      </c>
      <c r="B1521" s="78"/>
      <c r="C1521" s="77" t="s">
        <v>32</v>
      </c>
      <c r="D1521" s="77" t="s">
        <v>1190</v>
      </c>
      <c r="E1521" s="79" t="s">
        <v>3029</v>
      </c>
      <c r="F1521" s="77" t="s">
        <v>49</v>
      </c>
      <c r="G1521" s="77"/>
      <c r="H1521" s="77">
        <f>STOCK[[#This Row],[Precio Final]]</f>
        <v>18</v>
      </c>
      <c r="I1521" s="82">
        <f>STOCK[[#This Row],[Precio Venta Ideal (x1.5)]]</f>
        <v>16.71</v>
      </c>
      <c r="J1521" s="80">
        <v>1</v>
      </c>
      <c r="K1521" s="80">
        <f>SUMIFS(VENTAS[Cantidad],VENTAS[Código del producto Vendido],STOCK[[#This Row],[Code]])</f>
        <v>0</v>
      </c>
      <c r="L1521" s="80">
        <f>STOCK[[#This Row],[Entradas]]-STOCK[[#This Row],[Salidas]]</f>
        <v>1</v>
      </c>
      <c r="M1521" s="77">
        <f>STOCK[[#This Row],[Precio Final]]*10%</f>
        <v>1.8</v>
      </c>
      <c r="N1521" s="77">
        <v>0</v>
      </c>
      <c r="O1521" s="77">
        <v>0</v>
      </c>
      <c r="P1521" s="77">
        <v>7.74</v>
      </c>
      <c r="Q1521" s="80">
        <v>0</v>
      </c>
      <c r="R1521" s="77">
        <v>0</v>
      </c>
      <c r="S1521" s="77">
        <v>1.6</v>
      </c>
      <c r="T1521" s="77">
        <f>STOCK[[#This Row],[Costo Unitario (USD)]]+STOCK[[#This Row],[Costo Envío (USD)]]+STOCK[[#This Row],[Comisión 10%]]</f>
        <v>11.14</v>
      </c>
      <c r="U1521" s="53">
        <f>STOCK[[#This Row],[Costo total]]*1.5</f>
        <v>16.71</v>
      </c>
      <c r="V1521" s="77">
        <v>18</v>
      </c>
      <c r="W1521" s="77">
        <f>STOCK[[#This Row],[Precio Final]]-STOCK[[#This Row],[Costo total]]</f>
        <v>6.86</v>
      </c>
      <c r="X1521" s="77">
        <f>STOCK[[#This Row],[Ganancia Unitaria]]*STOCK[[#This Row],[Salidas]]</f>
        <v>0</v>
      </c>
      <c r="Y1521" s="77"/>
      <c r="Z1521" s="77"/>
      <c r="AA1521" s="54">
        <f>STOCK[[#This Row],[Costo total]]*STOCK[[#This Row],[Entradas]]</f>
        <v>11.14</v>
      </c>
      <c r="AB1521" s="54">
        <f>STOCK[[#This Row],[Stock Actual]]*STOCK[[#This Row],[Costo total]]</f>
        <v>11.14</v>
      </c>
      <c r="AC1521" s="77"/>
    </row>
    <row r="1522" s="53" customFormat="1" ht="50" customHeight="1" spans="1:29">
      <c r="A1522" s="53" t="s">
        <v>3031</v>
      </c>
      <c r="B1522" s="78"/>
      <c r="C1522" s="77" t="s">
        <v>32</v>
      </c>
      <c r="D1522" s="77" t="s">
        <v>1190</v>
      </c>
      <c r="E1522" s="79" t="s">
        <v>3029</v>
      </c>
      <c r="F1522" s="77" t="s">
        <v>46</v>
      </c>
      <c r="G1522" s="77"/>
      <c r="H1522" s="77">
        <f>STOCK[[#This Row],[Precio Final]]</f>
        <v>18</v>
      </c>
      <c r="I1522" s="82">
        <f>STOCK[[#This Row],[Precio Venta Ideal (x1.5)]]</f>
        <v>16.71</v>
      </c>
      <c r="J1522" s="80">
        <v>1</v>
      </c>
      <c r="K1522" s="80">
        <f>SUMIFS(VENTAS[Cantidad],VENTAS[Código del producto Vendido],STOCK[[#This Row],[Code]])</f>
        <v>0</v>
      </c>
      <c r="L1522" s="80">
        <f>STOCK[[#This Row],[Entradas]]-STOCK[[#This Row],[Salidas]]</f>
        <v>1</v>
      </c>
      <c r="M1522" s="77">
        <f>STOCK[[#This Row],[Precio Final]]*10%</f>
        <v>1.8</v>
      </c>
      <c r="N1522" s="77">
        <v>0</v>
      </c>
      <c r="O1522" s="77">
        <v>0</v>
      </c>
      <c r="P1522" s="77">
        <v>7.74</v>
      </c>
      <c r="Q1522" s="80">
        <v>0</v>
      </c>
      <c r="R1522" s="77">
        <v>0</v>
      </c>
      <c r="S1522" s="77">
        <v>1.6</v>
      </c>
      <c r="T1522" s="77">
        <f>STOCK[[#This Row],[Costo Unitario (USD)]]+STOCK[[#This Row],[Costo Envío (USD)]]+STOCK[[#This Row],[Comisión 10%]]</f>
        <v>11.14</v>
      </c>
      <c r="U1522" s="53">
        <f>STOCK[[#This Row],[Costo total]]*1.5</f>
        <v>16.71</v>
      </c>
      <c r="V1522" s="77">
        <v>18</v>
      </c>
      <c r="W1522" s="77">
        <f>STOCK[[#This Row],[Precio Final]]-STOCK[[#This Row],[Costo total]]</f>
        <v>6.86</v>
      </c>
      <c r="X1522" s="77">
        <f>STOCK[[#This Row],[Ganancia Unitaria]]*STOCK[[#This Row],[Salidas]]</f>
        <v>0</v>
      </c>
      <c r="Y1522" s="77"/>
      <c r="Z1522" s="77"/>
      <c r="AA1522" s="54">
        <f>STOCK[[#This Row],[Costo total]]*STOCK[[#This Row],[Entradas]]</f>
        <v>11.14</v>
      </c>
      <c r="AB1522" s="54">
        <f>STOCK[[#This Row],[Stock Actual]]*STOCK[[#This Row],[Costo total]]</f>
        <v>11.14</v>
      </c>
      <c r="AC1522" s="77"/>
    </row>
    <row r="1523" s="53" customFormat="1" ht="50" customHeight="1" spans="1:29">
      <c r="A1523" s="53" t="s">
        <v>3032</v>
      </c>
      <c r="B1523" s="78"/>
      <c r="C1523" s="77" t="s">
        <v>32</v>
      </c>
      <c r="D1523" s="77" t="s">
        <v>1190</v>
      </c>
      <c r="E1523" s="79" t="s">
        <v>3033</v>
      </c>
      <c r="F1523" s="77" t="s">
        <v>62</v>
      </c>
      <c r="G1523" s="77"/>
      <c r="H1523" s="77">
        <f>STOCK[[#This Row],[Precio Final]]</f>
        <v>18</v>
      </c>
      <c r="I1523" s="82">
        <f>STOCK[[#This Row],[Precio Venta Ideal (x1.5)]]</f>
        <v>17.235</v>
      </c>
      <c r="J1523" s="80">
        <v>2</v>
      </c>
      <c r="K1523" s="80">
        <f>SUMIFS(VENTAS[Cantidad],VENTAS[Código del producto Vendido],STOCK[[#This Row],[Code]])</f>
        <v>0</v>
      </c>
      <c r="L1523" s="80">
        <f>STOCK[[#This Row],[Entradas]]-STOCK[[#This Row],[Salidas]]</f>
        <v>2</v>
      </c>
      <c r="M1523" s="77">
        <f>STOCK[[#This Row],[Precio Final]]*10%</f>
        <v>1.8</v>
      </c>
      <c r="N1523" s="77">
        <v>0</v>
      </c>
      <c r="O1523" s="77">
        <v>0</v>
      </c>
      <c r="P1523" s="77">
        <v>8.09</v>
      </c>
      <c r="Q1523" s="80">
        <v>0</v>
      </c>
      <c r="R1523" s="77">
        <v>0</v>
      </c>
      <c r="S1523" s="77">
        <v>1.6</v>
      </c>
      <c r="T1523" s="77">
        <f>STOCK[[#This Row],[Costo Unitario (USD)]]+STOCK[[#This Row],[Costo Envío (USD)]]+STOCK[[#This Row],[Comisión 10%]]</f>
        <v>11.49</v>
      </c>
      <c r="U1523" s="53">
        <f>STOCK[[#This Row],[Costo total]]*1.5</f>
        <v>17.235</v>
      </c>
      <c r="V1523" s="77">
        <v>18</v>
      </c>
      <c r="W1523" s="77">
        <f>STOCK[[#This Row],[Precio Final]]-STOCK[[#This Row],[Costo total]]</f>
        <v>6.51</v>
      </c>
      <c r="X1523" s="77">
        <f>STOCK[[#This Row],[Ganancia Unitaria]]*STOCK[[#This Row],[Salidas]]</f>
        <v>0</v>
      </c>
      <c r="Y1523" s="77"/>
      <c r="Z1523" s="77"/>
      <c r="AA1523" s="54">
        <f>STOCK[[#This Row],[Costo total]]*STOCK[[#This Row],[Entradas]]</f>
        <v>22.98</v>
      </c>
      <c r="AB1523" s="54">
        <f>STOCK[[#This Row],[Stock Actual]]*STOCK[[#This Row],[Costo total]]</f>
        <v>22.98</v>
      </c>
      <c r="AC1523" s="77"/>
    </row>
    <row r="1524" s="53" customFormat="1" ht="50" customHeight="1" spans="1:29">
      <c r="A1524" s="53" t="s">
        <v>3034</v>
      </c>
      <c r="B1524" s="78"/>
      <c r="C1524" s="77" t="s">
        <v>32</v>
      </c>
      <c r="D1524" s="77" t="s">
        <v>1190</v>
      </c>
      <c r="E1524" s="79" t="s">
        <v>3033</v>
      </c>
      <c r="F1524" s="77" t="s">
        <v>49</v>
      </c>
      <c r="G1524" s="77"/>
      <c r="H1524" s="77">
        <f>STOCK[[#This Row],[Precio Final]]</f>
        <v>18</v>
      </c>
      <c r="I1524" s="82">
        <f>STOCK[[#This Row],[Precio Venta Ideal (x1.5)]]</f>
        <v>17.235</v>
      </c>
      <c r="J1524" s="80">
        <v>2</v>
      </c>
      <c r="K1524" s="80">
        <f>SUMIFS(VENTAS[Cantidad],VENTAS[Código del producto Vendido],STOCK[[#This Row],[Code]])</f>
        <v>0</v>
      </c>
      <c r="L1524" s="80">
        <f>STOCK[[#This Row],[Entradas]]-STOCK[[#This Row],[Salidas]]</f>
        <v>2</v>
      </c>
      <c r="M1524" s="77">
        <f>STOCK[[#This Row],[Precio Final]]*10%</f>
        <v>1.8</v>
      </c>
      <c r="N1524" s="77">
        <v>0</v>
      </c>
      <c r="O1524" s="77">
        <v>0</v>
      </c>
      <c r="P1524" s="77">
        <v>8.09</v>
      </c>
      <c r="Q1524" s="80">
        <v>0</v>
      </c>
      <c r="R1524" s="77">
        <v>0</v>
      </c>
      <c r="S1524" s="77">
        <v>1.6</v>
      </c>
      <c r="T1524" s="77">
        <f>STOCK[[#This Row],[Costo Unitario (USD)]]+STOCK[[#This Row],[Costo Envío (USD)]]+STOCK[[#This Row],[Comisión 10%]]</f>
        <v>11.49</v>
      </c>
      <c r="U1524" s="53">
        <f>STOCK[[#This Row],[Costo total]]*1.5</f>
        <v>17.235</v>
      </c>
      <c r="V1524" s="77">
        <v>18</v>
      </c>
      <c r="W1524" s="77">
        <f>STOCK[[#This Row],[Precio Final]]-STOCK[[#This Row],[Costo total]]</f>
        <v>6.51</v>
      </c>
      <c r="X1524" s="77">
        <f>STOCK[[#This Row],[Ganancia Unitaria]]*STOCK[[#This Row],[Salidas]]</f>
        <v>0</v>
      </c>
      <c r="Y1524" s="77"/>
      <c r="Z1524" s="77"/>
      <c r="AA1524" s="54">
        <f>STOCK[[#This Row],[Costo total]]*STOCK[[#This Row],[Entradas]]</f>
        <v>22.98</v>
      </c>
      <c r="AB1524" s="54">
        <f>STOCK[[#This Row],[Stock Actual]]*STOCK[[#This Row],[Costo total]]</f>
        <v>22.98</v>
      </c>
      <c r="AC1524" s="77"/>
    </row>
    <row r="1525" s="53" customFormat="1" ht="50" customHeight="1" spans="1:29">
      <c r="A1525" s="53" t="s">
        <v>3035</v>
      </c>
      <c r="B1525" s="78"/>
      <c r="C1525" s="77" t="s">
        <v>32</v>
      </c>
      <c r="D1525" s="77" t="s">
        <v>1190</v>
      </c>
      <c r="E1525" s="79" t="s">
        <v>3033</v>
      </c>
      <c r="F1525" s="77" t="s">
        <v>46</v>
      </c>
      <c r="G1525" s="77"/>
      <c r="H1525" s="77">
        <f>STOCK[[#This Row],[Precio Final]]</f>
        <v>18</v>
      </c>
      <c r="I1525" s="82">
        <f>STOCK[[#This Row],[Precio Venta Ideal (x1.5)]]</f>
        <v>17.235</v>
      </c>
      <c r="J1525" s="80">
        <v>2</v>
      </c>
      <c r="K1525" s="80">
        <f>SUMIFS(VENTAS[Cantidad],VENTAS[Código del producto Vendido],STOCK[[#This Row],[Code]])</f>
        <v>0</v>
      </c>
      <c r="L1525" s="80">
        <f>STOCK[[#This Row],[Entradas]]-STOCK[[#This Row],[Salidas]]</f>
        <v>2</v>
      </c>
      <c r="M1525" s="77">
        <f>STOCK[[#This Row],[Precio Final]]*10%</f>
        <v>1.8</v>
      </c>
      <c r="N1525" s="77">
        <v>0</v>
      </c>
      <c r="O1525" s="77">
        <v>0</v>
      </c>
      <c r="P1525" s="77">
        <v>8.09</v>
      </c>
      <c r="Q1525" s="80">
        <v>0</v>
      </c>
      <c r="R1525" s="77">
        <v>0</v>
      </c>
      <c r="S1525" s="77">
        <v>1.6</v>
      </c>
      <c r="T1525" s="77">
        <f>STOCK[[#This Row],[Costo Unitario (USD)]]+STOCK[[#This Row],[Costo Envío (USD)]]+STOCK[[#This Row],[Comisión 10%]]</f>
        <v>11.49</v>
      </c>
      <c r="U1525" s="53">
        <f>STOCK[[#This Row],[Costo total]]*1.5</f>
        <v>17.235</v>
      </c>
      <c r="V1525" s="77">
        <v>18</v>
      </c>
      <c r="W1525" s="77">
        <f>STOCK[[#This Row],[Precio Final]]-STOCK[[#This Row],[Costo total]]</f>
        <v>6.51</v>
      </c>
      <c r="X1525" s="77">
        <f>STOCK[[#This Row],[Ganancia Unitaria]]*STOCK[[#This Row],[Salidas]]</f>
        <v>0</v>
      </c>
      <c r="Y1525" s="77"/>
      <c r="Z1525" s="77"/>
      <c r="AA1525" s="54">
        <f>STOCK[[#This Row],[Costo total]]*STOCK[[#This Row],[Entradas]]</f>
        <v>22.98</v>
      </c>
      <c r="AB1525" s="54">
        <f>STOCK[[#This Row],[Stock Actual]]*STOCK[[#This Row],[Costo total]]</f>
        <v>22.98</v>
      </c>
      <c r="AC1525" s="77"/>
    </row>
    <row r="1526" s="53" customFormat="1" ht="50" customHeight="1" spans="1:29">
      <c r="A1526" s="53" t="s">
        <v>3036</v>
      </c>
      <c r="B1526" s="78"/>
      <c r="C1526" s="77" t="s">
        <v>32</v>
      </c>
      <c r="D1526" s="77" t="s">
        <v>1190</v>
      </c>
      <c r="E1526" s="79" t="s">
        <v>3037</v>
      </c>
      <c r="F1526" s="77" t="s">
        <v>62</v>
      </c>
      <c r="G1526" s="77"/>
      <c r="H1526" s="77">
        <f>STOCK[[#This Row],[Precio Final]]</f>
        <v>18</v>
      </c>
      <c r="I1526" s="82">
        <f>STOCK[[#This Row],[Precio Venta Ideal (x1.5)]]</f>
        <v>17.22</v>
      </c>
      <c r="J1526" s="80">
        <v>2</v>
      </c>
      <c r="K1526" s="80">
        <f>SUMIFS(VENTAS[Cantidad],VENTAS[Código del producto Vendido],STOCK[[#This Row],[Code]])</f>
        <v>0</v>
      </c>
      <c r="L1526" s="80">
        <f>STOCK[[#This Row],[Entradas]]-STOCK[[#This Row],[Salidas]]</f>
        <v>2</v>
      </c>
      <c r="M1526" s="77">
        <f>STOCK[[#This Row],[Precio Final]]*10%</f>
        <v>1.8</v>
      </c>
      <c r="N1526" s="77">
        <v>0</v>
      </c>
      <c r="O1526" s="77">
        <v>0</v>
      </c>
      <c r="P1526" s="77">
        <v>8.08</v>
      </c>
      <c r="Q1526" s="80">
        <v>0</v>
      </c>
      <c r="R1526" s="77">
        <v>0</v>
      </c>
      <c r="S1526" s="77">
        <v>1.6</v>
      </c>
      <c r="T1526" s="77">
        <f>STOCK[[#This Row],[Costo Unitario (USD)]]+STOCK[[#This Row],[Costo Envío (USD)]]+STOCK[[#This Row],[Comisión 10%]]</f>
        <v>11.48</v>
      </c>
      <c r="U1526" s="53">
        <f>STOCK[[#This Row],[Costo total]]*1.5</f>
        <v>17.22</v>
      </c>
      <c r="V1526" s="77">
        <v>18</v>
      </c>
      <c r="W1526" s="77">
        <f>STOCK[[#This Row],[Precio Final]]-STOCK[[#This Row],[Costo total]]</f>
        <v>6.52</v>
      </c>
      <c r="X1526" s="77">
        <f>STOCK[[#This Row],[Ganancia Unitaria]]*STOCK[[#This Row],[Salidas]]</f>
        <v>0</v>
      </c>
      <c r="Y1526" s="77"/>
      <c r="Z1526" s="77"/>
      <c r="AA1526" s="54">
        <f>STOCK[[#This Row],[Costo total]]*STOCK[[#This Row],[Entradas]]</f>
        <v>22.96</v>
      </c>
      <c r="AB1526" s="54">
        <f>STOCK[[#This Row],[Stock Actual]]*STOCK[[#This Row],[Costo total]]</f>
        <v>22.96</v>
      </c>
      <c r="AC1526" s="77"/>
    </row>
    <row r="1527" s="53" customFormat="1" ht="50" customHeight="1" spans="1:29">
      <c r="A1527" s="53" t="s">
        <v>3038</v>
      </c>
      <c r="B1527" s="78"/>
      <c r="C1527" s="77" t="s">
        <v>32</v>
      </c>
      <c r="D1527" s="77" t="s">
        <v>1190</v>
      </c>
      <c r="E1527" s="79" t="s">
        <v>3037</v>
      </c>
      <c r="F1527" s="77" t="s">
        <v>49</v>
      </c>
      <c r="G1527" s="77"/>
      <c r="H1527" s="77">
        <f>STOCK[[#This Row],[Precio Final]]</f>
        <v>18</v>
      </c>
      <c r="I1527" s="82">
        <f>STOCK[[#This Row],[Precio Venta Ideal (x1.5)]]</f>
        <v>17.22</v>
      </c>
      <c r="J1527" s="80">
        <v>2</v>
      </c>
      <c r="K1527" s="80">
        <f>SUMIFS(VENTAS[Cantidad],VENTAS[Código del producto Vendido],STOCK[[#This Row],[Code]])</f>
        <v>0</v>
      </c>
      <c r="L1527" s="80">
        <f>STOCK[[#This Row],[Entradas]]-STOCK[[#This Row],[Salidas]]</f>
        <v>2</v>
      </c>
      <c r="M1527" s="77">
        <f>STOCK[[#This Row],[Precio Final]]*10%</f>
        <v>1.8</v>
      </c>
      <c r="N1527" s="77">
        <v>0</v>
      </c>
      <c r="O1527" s="77">
        <v>0</v>
      </c>
      <c r="P1527" s="77">
        <v>8.08</v>
      </c>
      <c r="Q1527" s="80">
        <v>0</v>
      </c>
      <c r="R1527" s="77">
        <v>0</v>
      </c>
      <c r="S1527" s="77">
        <v>1.6</v>
      </c>
      <c r="T1527" s="77">
        <f>STOCK[[#This Row],[Costo Unitario (USD)]]+STOCK[[#This Row],[Costo Envío (USD)]]+STOCK[[#This Row],[Comisión 10%]]</f>
        <v>11.48</v>
      </c>
      <c r="U1527" s="53">
        <f>STOCK[[#This Row],[Costo total]]*1.5</f>
        <v>17.22</v>
      </c>
      <c r="V1527" s="77">
        <v>18</v>
      </c>
      <c r="W1527" s="77">
        <f>STOCK[[#This Row],[Precio Final]]-STOCK[[#This Row],[Costo total]]</f>
        <v>6.52</v>
      </c>
      <c r="X1527" s="77">
        <f>STOCK[[#This Row],[Ganancia Unitaria]]*STOCK[[#This Row],[Salidas]]</f>
        <v>0</v>
      </c>
      <c r="Y1527" s="77"/>
      <c r="Z1527" s="77"/>
      <c r="AA1527" s="54">
        <f>STOCK[[#This Row],[Costo total]]*STOCK[[#This Row],[Entradas]]</f>
        <v>22.96</v>
      </c>
      <c r="AB1527" s="54">
        <f>STOCK[[#This Row],[Stock Actual]]*STOCK[[#This Row],[Costo total]]</f>
        <v>22.96</v>
      </c>
      <c r="AC1527" s="77"/>
    </row>
    <row r="1528" s="53" customFormat="1" ht="50" customHeight="1" spans="1:29">
      <c r="A1528" s="53" t="s">
        <v>3039</v>
      </c>
      <c r="B1528" s="78"/>
      <c r="C1528" s="77" t="s">
        <v>32</v>
      </c>
      <c r="D1528" s="77" t="s">
        <v>1190</v>
      </c>
      <c r="E1528" s="79" t="s">
        <v>3037</v>
      </c>
      <c r="F1528" s="77" t="s">
        <v>46</v>
      </c>
      <c r="G1528" s="77"/>
      <c r="H1528" s="77">
        <f>STOCK[[#This Row],[Precio Final]]</f>
        <v>18</v>
      </c>
      <c r="I1528" s="82">
        <f>STOCK[[#This Row],[Precio Venta Ideal (x1.5)]]</f>
        <v>17.22</v>
      </c>
      <c r="J1528" s="80">
        <v>2</v>
      </c>
      <c r="K1528" s="80">
        <f>SUMIFS(VENTAS[Cantidad],VENTAS[Código del producto Vendido],STOCK[[#This Row],[Code]])</f>
        <v>1</v>
      </c>
      <c r="L1528" s="80">
        <f>STOCK[[#This Row],[Entradas]]-STOCK[[#This Row],[Salidas]]</f>
        <v>1</v>
      </c>
      <c r="M1528" s="77">
        <f>STOCK[[#This Row],[Precio Final]]*10%</f>
        <v>1.8</v>
      </c>
      <c r="N1528" s="77">
        <v>0</v>
      </c>
      <c r="O1528" s="77">
        <v>0</v>
      </c>
      <c r="P1528" s="77">
        <v>8.08</v>
      </c>
      <c r="Q1528" s="80">
        <v>0</v>
      </c>
      <c r="R1528" s="77">
        <v>0</v>
      </c>
      <c r="S1528" s="77">
        <v>1.6</v>
      </c>
      <c r="T1528" s="77">
        <f>STOCK[[#This Row],[Costo Unitario (USD)]]+STOCK[[#This Row],[Costo Envío (USD)]]+STOCK[[#This Row],[Comisión 10%]]</f>
        <v>11.48</v>
      </c>
      <c r="U1528" s="53">
        <f>STOCK[[#This Row],[Costo total]]*1.5</f>
        <v>17.22</v>
      </c>
      <c r="V1528" s="77">
        <v>18</v>
      </c>
      <c r="W1528" s="77">
        <f>STOCK[[#This Row],[Precio Final]]-STOCK[[#This Row],[Costo total]]</f>
        <v>6.52</v>
      </c>
      <c r="X1528" s="77">
        <f>STOCK[[#This Row],[Ganancia Unitaria]]*STOCK[[#This Row],[Salidas]]</f>
        <v>6.52</v>
      </c>
      <c r="Y1528" s="77"/>
      <c r="Z1528" s="77"/>
      <c r="AA1528" s="54">
        <f>STOCK[[#This Row],[Costo total]]*STOCK[[#This Row],[Entradas]]</f>
        <v>22.96</v>
      </c>
      <c r="AB1528" s="54">
        <f>STOCK[[#This Row],[Stock Actual]]*STOCK[[#This Row],[Costo total]]</f>
        <v>11.48</v>
      </c>
      <c r="AC1528" s="77"/>
    </row>
    <row r="1529" s="53" customFormat="1" ht="50" customHeight="1" spans="1:29">
      <c r="A1529" s="53" t="s">
        <v>3040</v>
      </c>
      <c r="B1529" s="78"/>
      <c r="C1529" s="77" t="s">
        <v>32</v>
      </c>
      <c r="D1529" s="77" t="s">
        <v>2133</v>
      </c>
      <c r="E1529" s="79" t="s">
        <v>3041</v>
      </c>
      <c r="F1529" s="77" t="s">
        <v>62</v>
      </c>
      <c r="G1529" s="77"/>
      <c r="H1529" s="77">
        <f>STOCK[[#This Row],[Precio Final]]</f>
        <v>30</v>
      </c>
      <c r="I1529" s="82">
        <f>STOCK[[#This Row],[Precio Venta Ideal (x1.5)]]</f>
        <v>21.165</v>
      </c>
      <c r="J1529" s="80">
        <v>1</v>
      </c>
      <c r="K1529" s="80">
        <f>SUMIFS(VENTAS[Cantidad],VENTAS[Código del producto Vendido],STOCK[[#This Row],[Code]])</f>
        <v>0</v>
      </c>
      <c r="L1529" s="80">
        <f>STOCK[[#This Row],[Entradas]]-STOCK[[#This Row],[Salidas]]</f>
        <v>1</v>
      </c>
      <c r="M1529" s="77">
        <f>STOCK[[#This Row],[Precio Final]]*10%</f>
        <v>3</v>
      </c>
      <c r="N1529" s="77">
        <v>0</v>
      </c>
      <c r="O1529" s="77">
        <v>0</v>
      </c>
      <c r="P1529" s="77">
        <v>9.51</v>
      </c>
      <c r="Q1529" s="80">
        <v>0</v>
      </c>
      <c r="R1529" s="77">
        <v>0</v>
      </c>
      <c r="S1529" s="77">
        <v>1.6</v>
      </c>
      <c r="T1529" s="77">
        <f>STOCK[[#This Row],[Costo Unitario (USD)]]+STOCK[[#This Row],[Costo Envío (USD)]]+STOCK[[#This Row],[Comisión 10%]]</f>
        <v>14.11</v>
      </c>
      <c r="U1529" s="53">
        <f>STOCK[[#This Row],[Costo total]]*1.5</f>
        <v>21.165</v>
      </c>
      <c r="V1529" s="77">
        <v>30</v>
      </c>
      <c r="W1529" s="77">
        <f>STOCK[[#This Row],[Precio Final]]-STOCK[[#This Row],[Costo total]]</f>
        <v>15.89</v>
      </c>
      <c r="X1529" s="77">
        <f>STOCK[[#This Row],[Ganancia Unitaria]]*STOCK[[#This Row],[Salidas]]</f>
        <v>0</v>
      </c>
      <c r="Y1529" s="77"/>
      <c r="Z1529" s="77"/>
      <c r="AA1529" s="54">
        <f>STOCK[[#This Row],[Costo total]]*STOCK[[#This Row],[Entradas]]</f>
        <v>14.11</v>
      </c>
      <c r="AB1529" s="54">
        <f>STOCK[[#This Row],[Stock Actual]]*STOCK[[#This Row],[Costo total]]</f>
        <v>14.11</v>
      </c>
      <c r="AC1529" s="77"/>
    </row>
    <row r="1530" s="53" customFormat="1" ht="50" customHeight="1" spans="1:30">
      <c r="A1530" s="53" t="s">
        <v>3042</v>
      </c>
      <c r="B1530" s="71" t="str">
        <f>_xlfn.DISPIMG("ID_D1E073E4129E4171A9BB6D3B66D1B537",1)</f>
        <v>=DISPIMG("ID_D1E073E4129E4171A9BB6D3B66D1B537",1)</v>
      </c>
      <c r="C1530" s="53" t="s">
        <v>32</v>
      </c>
      <c r="D1530" s="53" t="s">
        <v>749</v>
      </c>
      <c r="E1530" s="67" t="s">
        <v>3043</v>
      </c>
      <c r="F1530" s="53" t="s">
        <v>1534</v>
      </c>
      <c r="H1530" s="77">
        <f>STOCK[[#This Row],[Precio Final]]</f>
        <v>28</v>
      </c>
      <c r="I1530" s="82">
        <f>STOCK[[#This Row],[Precio Venta Ideal (x1.5)]]</f>
        <v>19.2</v>
      </c>
      <c r="J1530" s="71">
        <v>2</v>
      </c>
      <c r="K1530" s="80">
        <f>SUMIFS(VENTAS[Cantidad],VENTAS[Código del producto Vendido],STOCK[[#This Row],[Code]])</f>
        <v>1</v>
      </c>
      <c r="L1530" s="80">
        <f>STOCK[[#This Row],[Entradas]]-STOCK[[#This Row],[Salidas]]</f>
        <v>1</v>
      </c>
      <c r="M1530" s="77">
        <f>STOCK[[#This Row],[Precio Final]]*10%</f>
        <v>2.8</v>
      </c>
      <c r="N1530" s="53">
        <v>0</v>
      </c>
      <c r="O1530" s="77">
        <v>0</v>
      </c>
      <c r="P1530" s="53">
        <v>10</v>
      </c>
      <c r="Q1530" s="72">
        <v>0</v>
      </c>
      <c r="R1530" s="53">
        <v>0</v>
      </c>
      <c r="S1530" s="54">
        <v>0</v>
      </c>
      <c r="T1530" s="77">
        <f>STOCK[[#This Row],[Costo Unitario (USD)]]+STOCK[[#This Row],[Costo Envío (USD)]]+STOCK[[#This Row],[Comisión 10%]]</f>
        <v>12.8</v>
      </c>
      <c r="U1530" s="53">
        <f>STOCK[[#This Row],[Costo total]]*1.5</f>
        <v>19.2</v>
      </c>
      <c r="V1530" s="53">
        <v>28</v>
      </c>
      <c r="W1530" s="77">
        <f>STOCK[[#This Row],[Precio Final]]-STOCK[[#This Row],[Costo total]]</f>
        <v>15.2</v>
      </c>
      <c r="X1530" s="77">
        <f>STOCK[[#This Row],[Ganancia Unitaria]]*STOCK[[#This Row],[Salidas]]</f>
        <v>15.2</v>
      </c>
      <c r="Y1530" s="77"/>
      <c r="Z1530" s="77"/>
      <c r="AA1530" s="54">
        <f>STOCK[[#This Row],[Costo total]]*STOCK[[#This Row],[Entradas]]</f>
        <v>25.6</v>
      </c>
      <c r="AB1530" s="54">
        <f>STOCK[[#This Row],[Stock Actual]]*STOCK[[#This Row],[Costo total]]</f>
        <v>12.8</v>
      </c>
      <c r="AC1530" s="77"/>
      <c r="AD1530" s="84"/>
    </row>
    <row r="1531" s="53" customFormat="1" ht="50" customHeight="1" spans="1:30">
      <c r="A1531" s="53" t="s">
        <v>3044</v>
      </c>
      <c r="B1531" s="71" t="str">
        <f>_xlfn.DISPIMG("ID_AC221203CCA54983BF820E257DAA06D8",1)</f>
        <v>=DISPIMG("ID_AC221203CCA54983BF820E257DAA06D8",1)</v>
      </c>
      <c r="C1531" s="53" t="s">
        <v>32</v>
      </c>
      <c r="D1531" s="53" t="s">
        <v>749</v>
      </c>
      <c r="E1531" s="67" t="s">
        <v>3045</v>
      </c>
      <c r="F1531" s="53" t="s">
        <v>1534</v>
      </c>
      <c r="H1531" s="77">
        <f>STOCK[[#This Row],[Precio Final]]</f>
        <v>22</v>
      </c>
      <c r="I1531" s="82">
        <f>STOCK[[#This Row],[Precio Venta Ideal (x1.5)]]</f>
        <v>18.3</v>
      </c>
      <c r="J1531" s="71">
        <v>1</v>
      </c>
      <c r="K1531" s="80">
        <f>SUMIFS(VENTAS[Cantidad],VENTAS[Código del producto Vendido],STOCK[[#This Row],[Code]])</f>
        <v>0</v>
      </c>
      <c r="L1531" s="80">
        <f>STOCK[[#This Row],[Entradas]]-STOCK[[#This Row],[Salidas]]</f>
        <v>1</v>
      </c>
      <c r="M1531" s="77">
        <f>STOCK[[#This Row],[Precio Final]]*10%</f>
        <v>2.2</v>
      </c>
      <c r="N1531" s="54">
        <v>0</v>
      </c>
      <c r="O1531" s="77">
        <v>0</v>
      </c>
      <c r="P1531" s="53">
        <v>10</v>
      </c>
      <c r="Q1531" s="71">
        <v>0</v>
      </c>
      <c r="R1531" s="54">
        <v>0</v>
      </c>
      <c r="S1531" s="53">
        <v>0</v>
      </c>
      <c r="T1531" s="77">
        <f>STOCK[[#This Row],[Costo Unitario (USD)]]+STOCK[[#This Row],[Costo Envío (USD)]]+STOCK[[#This Row],[Comisión 10%]]</f>
        <v>12.2</v>
      </c>
      <c r="U1531" s="53">
        <f>STOCK[[#This Row],[Costo total]]*1.5</f>
        <v>18.3</v>
      </c>
      <c r="V1531" s="53">
        <v>22</v>
      </c>
      <c r="W1531" s="77">
        <f>STOCK[[#This Row],[Precio Final]]-STOCK[[#This Row],[Costo total]]</f>
        <v>9.8</v>
      </c>
      <c r="X1531" s="77">
        <f>STOCK[[#This Row],[Ganancia Unitaria]]*STOCK[[#This Row],[Salidas]]</f>
        <v>0</v>
      </c>
      <c r="Y1531" s="77"/>
      <c r="Z1531" s="77"/>
      <c r="AA1531" s="54">
        <f>STOCK[[#This Row],[Costo total]]*STOCK[[#This Row],[Entradas]]</f>
        <v>12.2</v>
      </c>
      <c r="AB1531" s="54">
        <f>STOCK[[#This Row],[Stock Actual]]*STOCK[[#This Row],[Costo total]]</f>
        <v>12.2</v>
      </c>
      <c r="AC1531" s="77"/>
      <c r="AD1531" s="84"/>
    </row>
    <row r="1532" s="53" customFormat="1" ht="50" customHeight="1" spans="1:30">
      <c r="A1532" s="53" t="s">
        <v>3046</v>
      </c>
      <c r="B1532" s="71" t="str">
        <f>_xlfn.DISPIMG("ID_993DE42165354B1EA401FCCCF2F045B5",1)</f>
        <v>=DISPIMG("ID_993DE42165354B1EA401FCCCF2F045B5",1)</v>
      </c>
      <c r="C1532" s="53" t="s">
        <v>32</v>
      </c>
      <c r="D1532" s="53" t="s">
        <v>749</v>
      </c>
      <c r="E1532" s="67" t="s">
        <v>3047</v>
      </c>
      <c r="F1532" s="53" t="s">
        <v>1534</v>
      </c>
      <c r="H1532" s="77">
        <f>STOCK[[#This Row],[Precio Final]]</f>
        <v>22</v>
      </c>
      <c r="I1532" s="82">
        <f>STOCK[[#This Row],[Precio Venta Ideal (x1.5)]]</f>
        <v>18.3</v>
      </c>
      <c r="J1532" s="71">
        <v>1</v>
      </c>
      <c r="K1532" s="80">
        <f>SUMIFS(VENTAS[Cantidad],VENTAS[Código del producto Vendido],STOCK[[#This Row],[Code]])</f>
        <v>0</v>
      </c>
      <c r="L1532" s="80">
        <f>STOCK[[#This Row],[Entradas]]-STOCK[[#This Row],[Salidas]]</f>
        <v>1</v>
      </c>
      <c r="M1532" s="77">
        <f>STOCK[[#This Row],[Precio Final]]*10%</f>
        <v>2.2</v>
      </c>
      <c r="N1532" s="54">
        <v>0</v>
      </c>
      <c r="O1532" s="77">
        <v>0</v>
      </c>
      <c r="P1532" s="53">
        <v>10</v>
      </c>
      <c r="Q1532" s="71">
        <v>0</v>
      </c>
      <c r="R1532" s="53">
        <v>0</v>
      </c>
      <c r="S1532" s="54">
        <v>0</v>
      </c>
      <c r="T1532" s="77">
        <f>STOCK[[#This Row],[Costo Unitario (USD)]]+STOCK[[#This Row],[Costo Envío (USD)]]+STOCK[[#This Row],[Comisión 10%]]</f>
        <v>12.2</v>
      </c>
      <c r="U1532" s="53">
        <f>STOCK[[#This Row],[Costo total]]*1.5</f>
        <v>18.3</v>
      </c>
      <c r="V1532" s="53">
        <v>22</v>
      </c>
      <c r="W1532" s="77">
        <f>STOCK[[#This Row],[Precio Final]]-STOCK[[#This Row],[Costo total]]</f>
        <v>9.8</v>
      </c>
      <c r="X1532" s="77">
        <f>STOCK[[#This Row],[Ganancia Unitaria]]*STOCK[[#This Row],[Salidas]]</f>
        <v>0</v>
      </c>
      <c r="Y1532" s="77"/>
      <c r="Z1532" s="77"/>
      <c r="AA1532" s="54">
        <f>STOCK[[#This Row],[Costo total]]*STOCK[[#This Row],[Entradas]]</f>
        <v>12.2</v>
      </c>
      <c r="AB1532" s="54">
        <f>STOCK[[#This Row],[Stock Actual]]*STOCK[[#This Row],[Costo total]]</f>
        <v>12.2</v>
      </c>
      <c r="AC1532" s="77"/>
      <c r="AD1532" s="84"/>
    </row>
    <row r="1533" s="53" customFormat="1" ht="50" customHeight="1" spans="1:30">
      <c r="A1533" s="53" t="s">
        <v>3048</v>
      </c>
      <c r="B1533" s="71" t="str">
        <f>_xlfn.DISPIMG("ID_0FF41747A0794EE98C5DCDF1FA378C04",1)</f>
        <v>=DISPIMG("ID_0FF41747A0794EE98C5DCDF1FA378C04",1)</v>
      </c>
      <c r="C1533" s="53" t="s">
        <v>32</v>
      </c>
      <c r="D1533" s="53" t="s">
        <v>749</v>
      </c>
      <c r="E1533" s="67" t="s">
        <v>3049</v>
      </c>
      <c r="F1533" s="53" t="s">
        <v>49</v>
      </c>
      <c r="H1533" s="77">
        <f>STOCK[[#This Row],[Precio Final]]</f>
        <v>28</v>
      </c>
      <c r="I1533" s="82">
        <f>STOCK[[#This Row],[Precio Venta Ideal (x1.5)]]</f>
        <v>19.2</v>
      </c>
      <c r="J1533" s="71">
        <v>1</v>
      </c>
      <c r="K1533" s="80">
        <f>SUMIFS(VENTAS[Cantidad],VENTAS[Código del producto Vendido],STOCK[[#This Row],[Code]])</f>
        <v>1</v>
      </c>
      <c r="L1533" s="80">
        <f>STOCK[[#This Row],[Entradas]]-STOCK[[#This Row],[Salidas]]</f>
        <v>0</v>
      </c>
      <c r="M1533" s="77">
        <f>STOCK[[#This Row],[Precio Final]]*10%</f>
        <v>2.8</v>
      </c>
      <c r="N1533" s="53">
        <v>0</v>
      </c>
      <c r="O1533" s="77">
        <v>0</v>
      </c>
      <c r="P1533" s="53">
        <v>10</v>
      </c>
      <c r="Q1533" s="72">
        <v>0</v>
      </c>
      <c r="R1533" s="54">
        <v>0</v>
      </c>
      <c r="S1533" s="54">
        <v>0</v>
      </c>
      <c r="T1533" s="77">
        <f>STOCK[[#This Row],[Costo Unitario (USD)]]+STOCK[[#This Row],[Costo Envío (USD)]]+STOCK[[#This Row],[Comisión 10%]]</f>
        <v>12.8</v>
      </c>
      <c r="U1533" s="53">
        <f>STOCK[[#This Row],[Costo total]]*1.5</f>
        <v>19.2</v>
      </c>
      <c r="V1533" s="53">
        <v>28</v>
      </c>
      <c r="W1533" s="77">
        <f>STOCK[[#This Row],[Precio Final]]-STOCK[[#This Row],[Costo total]]</f>
        <v>15.2</v>
      </c>
      <c r="X1533" s="77">
        <f>STOCK[[#This Row],[Ganancia Unitaria]]*STOCK[[#This Row],[Salidas]]</f>
        <v>15.2</v>
      </c>
      <c r="Y1533" s="77"/>
      <c r="Z1533" s="77"/>
      <c r="AA1533" s="54">
        <f>STOCK[[#This Row],[Costo total]]*STOCK[[#This Row],[Entradas]]</f>
        <v>12.8</v>
      </c>
      <c r="AB1533" s="54">
        <f>STOCK[[#This Row],[Stock Actual]]*STOCK[[#This Row],[Costo total]]</f>
        <v>0</v>
      </c>
      <c r="AC1533" s="77"/>
      <c r="AD1533" s="84"/>
    </row>
    <row r="1534" s="53" customFormat="1" ht="50" customHeight="1" spans="1:30">
      <c r="A1534" s="53" t="s">
        <v>3050</v>
      </c>
      <c r="B1534" s="71" t="str">
        <f>_xlfn.DISPIMG("ID_211C81173A9244828AAC5353B2385B31",1)</f>
        <v>=DISPIMG("ID_211C81173A9244828AAC5353B2385B31",1)</v>
      </c>
      <c r="C1534" s="53" t="s">
        <v>32</v>
      </c>
      <c r="D1534" s="53" t="s">
        <v>749</v>
      </c>
      <c r="E1534" s="67" t="s">
        <v>3049</v>
      </c>
      <c r="F1534" s="53" t="s">
        <v>62</v>
      </c>
      <c r="H1534" s="77">
        <f>STOCK[[#This Row],[Precio Final]]</f>
        <v>28</v>
      </c>
      <c r="I1534" s="82">
        <f>STOCK[[#This Row],[Precio Venta Ideal (x1.5)]]</f>
        <v>19.2</v>
      </c>
      <c r="J1534" s="71">
        <v>1</v>
      </c>
      <c r="K1534" s="80">
        <f>SUMIFS(VENTAS[Cantidad],VENTAS[Código del producto Vendido],STOCK[[#This Row],[Code]])</f>
        <v>1</v>
      </c>
      <c r="L1534" s="80">
        <f>STOCK[[#This Row],[Entradas]]-STOCK[[#This Row],[Salidas]]</f>
        <v>0</v>
      </c>
      <c r="M1534" s="77">
        <f>STOCK[[#This Row],[Precio Final]]*10%</f>
        <v>2.8</v>
      </c>
      <c r="N1534" s="54">
        <v>0</v>
      </c>
      <c r="O1534" s="77">
        <v>0</v>
      </c>
      <c r="P1534" s="53">
        <v>10</v>
      </c>
      <c r="Q1534" s="71">
        <v>0</v>
      </c>
      <c r="R1534" s="53">
        <v>0</v>
      </c>
      <c r="S1534" s="53">
        <v>0</v>
      </c>
      <c r="T1534" s="77">
        <f>STOCK[[#This Row],[Costo Unitario (USD)]]+STOCK[[#This Row],[Costo Envío (USD)]]+STOCK[[#This Row],[Comisión 10%]]</f>
        <v>12.8</v>
      </c>
      <c r="U1534" s="53">
        <f>STOCK[[#This Row],[Costo total]]*1.5</f>
        <v>19.2</v>
      </c>
      <c r="V1534" s="53">
        <v>28</v>
      </c>
      <c r="W1534" s="77">
        <f>STOCK[[#This Row],[Precio Final]]-STOCK[[#This Row],[Costo total]]</f>
        <v>15.2</v>
      </c>
      <c r="X1534" s="77">
        <f>STOCK[[#This Row],[Ganancia Unitaria]]*STOCK[[#This Row],[Salidas]]</f>
        <v>15.2</v>
      </c>
      <c r="Y1534" s="77"/>
      <c r="Z1534" s="77"/>
      <c r="AA1534" s="54">
        <f>STOCK[[#This Row],[Costo total]]*STOCK[[#This Row],[Entradas]]</f>
        <v>12.8</v>
      </c>
      <c r="AB1534" s="54">
        <f>STOCK[[#This Row],[Stock Actual]]*STOCK[[#This Row],[Costo total]]</f>
        <v>0</v>
      </c>
      <c r="AC1534" s="77"/>
      <c r="AD1534" s="84"/>
    </row>
    <row r="1535" s="53" customFormat="1" ht="50" customHeight="1" spans="1:30">
      <c r="A1535" s="53" t="s">
        <v>3051</v>
      </c>
      <c r="B1535" s="71" t="str">
        <f>_xlfn.DISPIMG("ID_CEC879C0EFD145C5A9BB614C361D7625",1)</f>
        <v>=DISPIMG("ID_CEC879C0EFD145C5A9BB614C361D7625",1)</v>
      </c>
      <c r="C1535" s="53" t="s">
        <v>32</v>
      </c>
      <c r="D1535" s="53" t="s">
        <v>749</v>
      </c>
      <c r="E1535" s="67" t="s">
        <v>3052</v>
      </c>
      <c r="F1535" s="53" t="s">
        <v>1534</v>
      </c>
      <c r="H1535" s="77">
        <f>STOCK[[#This Row],[Precio Final]]</f>
        <v>25</v>
      </c>
      <c r="I1535" s="82">
        <f>STOCK[[#This Row],[Precio Venta Ideal (x1.5)]]</f>
        <v>18.75</v>
      </c>
      <c r="J1535" s="71">
        <v>1</v>
      </c>
      <c r="K1535" s="80">
        <f>SUMIFS(VENTAS[Cantidad],VENTAS[Código del producto Vendido],STOCK[[#This Row],[Code]])</f>
        <v>0</v>
      </c>
      <c r="L1535" s="80">
        <f>STOCK[[#This Row],[Entradas]]-STOCK[[#This Row],[Salidas]]</f>
        <v>1</v>
      </c>
      <c r="M1535" s="77">
        <f>STOCK[[#This Row],[Precio Final]]*10%</f>
        <v>2.5</v>
      </c>
      <c r="N1535" s="53">
        <v>0</v>
      </c>
      <c r="O1535" s="77">
        <v>0</v>
      </c>
      <c r="P1535" s="53">
        <v>10</v>
      </c>
      <c r="Q1535" s="71">
        <v>0</v>
      </c>
      <c r="R1535" s="54">
        <v>0</v>
      </c>
      <c r="S1535" s="54">
        <v>0</v>
      </c>
      <c r="T1535" s="77">
        <f>STOCK[[#This Row],[Costo Unitario (USD)]]+STOCK[[#This Row],[Costo Envío (USD)]]+STOCK[[#This Row],[Comisión 10%]]</f>
        <v>12.5</v>
      </c>
      <c r="U1535" s="53">
        <f>STOCK[[#This Row],[Costo total]]*1.5</f>
        <v>18.75</v>
      </c>
      <c r="V1535" s="53">
        <v>25</v>
      </c>
      <c r="W1535" s="77">
        <f>STOCK[[#This Row],[Precio Final]]-STOCK[[#This Row],[Costo total]]</f>
        <v>12.5</v>
      </c>
      <c r="X1535" s="77">
        <f>STOCK[[#This Row],[Ganancia Unitaria]]*STOCK[[#This Row],[Salidas]]</f>
        <v>0</v>
      </c>
      <c r="Y1535" s="77"/>
      <c r="Z1535" s="77"/>
      <c r="AA1535" s="54">
        <f>STOCK[[#This Row],[Costo total]]*STOCK[[#This Row],[Entradas]]</f>
        <v>12.5</v>
      </c>
      <c r="AB1535" s="54">
        <f>STOCK[[#This Row],[Stock Actual]]*STOCK[[#This Row],[Costo total]]</f>
        <v>12.5</v>
      </c>
      <c r="AC1535" s="77"/>
      <c r="AD1535" s="84"/>
    </row>
    <row r="1536" s="53" customFormat="1" ht="50" customHeight="1" spans="1:30">
      <c r="A1536" s="53" t="s">
        <v>3053</v>
      </c>
      <c r="B1536" s="71" t="str">
        <f>_xlfn.DISPIMG("ID_77562D2FB091404BBDC136380EDDC670",1)</f>
        <v>=DISPIMG("ID_77562D2FB091404BBDC136380EDDC670",1)</v>
      </c>
      <c r="C1536" s="53" t="s">
        <v>32</v>
      </c>
      <c r="D1536" s="53" t="s">
        <v>749</v>
      </c>
      <c r="E1536" s="67" t="s">
        <v>3054</v>
      </c>
      <c r="F1536" s="53" t="s">
        <v>42</v>
      </c>
      <c r="H1536" s="77">
        <f>STOCK[[#This Row],[Precio Final]]</f>
        <v>22</v>
      </c>
      <c r="I1536" s="82">
        <f>STOCK[[#This Row],[Precio Venta Ideal (x1.5)]]</f>
        <v>18.3</v>
      </c>
      <c r="J1536" s="71">
        <v>2</v>
      </c>
      <c r="K1536" s="80">
        <f>SUMIFS(VENTAS[Cantidad],VENTAS[Código del producto Vendido],STOCK[[#This Row],[Code]])</f>
        <v>0</v>
      </c>
      <c r="L1536" s="80">
        <f>STOCK[[#This Row],[Entradas]]-STOCK[[#This Row],[Salidas]]</f>
        <v>2</v>
      </c>
      <c r="M1536" s="77">
        <f>STOCK[[#This Row],[Precio Final]]*10%</f>
        <v>2.2</v>
      </c>
      <c r="N1536" s="54">
        <v>0</v>
      </c>
      <c r="O1536" s="77">
        <v>0</v>
      </c>
      <c r="P1536" s="53">
        <v>10</v>
      </c>
      <c r="Q1536" s="72">
        <v>0</v>
      </c>
      <c r="R1536" s="53">
        <v>0</v>
      </c>
      <c r="S1536" s="54">
        <v>0</v>
      </c>
      <c r="T1536" s="77">
        <f>STOCK[[#This Row],[Costo Unitario (USD)]]+STOCK[[#This Row],[Costo Envío (USD)]]+STOCK[[#This Row],[Comisión 10%]]</f>
        <v>12.2</v>
      </c>
      <c r="U1536" s="53">
        <f>STOCK[[#This Row],[Costo total]]*1.5</f>
        <v>18.3</v>
      </c>
      <c r="V1536" s="53">
        <v>22</v>
      </c>
      <c r="W1536" s="77">
        <f>STOCK[[#This Row],[Precio Final]]-STOCK[[#This Row],[Costo total]]</f>
        <v>9.8</v>
      </c>
      <c r="X1536" s="77">
        <f>STOCK[[#This Row],[Ganancia Unitaria]]*STOCK[[#This Row],[Salidas]]</f>
        <v>0</v>
      </c>
      <c r="Y1536" s="77"/>
      <c r="Z1536" s="77"/>
      <c r="AA1536" s="54">
        <f>STOCK[[#This Row],[Costo total]]*STOCK[[#This Row],[Entradas]]</f>
        <v>24.4</v>
      </c>
      <c r="AB1536" s="54">
        <f>STOCK[[#This Row],[Stock Actual]]*STOCK[[#This Row],[Costo total]]</f>
        <v>24.4</v>
      </c>
      <c r="AC1536" s="77"/>
      <c r="AD1536" s="84"/>
    </row>
    <row r="1537" s="53" customFormat="1" ht="50" customHeight="1" spans="1:30">
      <c r="A1537" s="53" t="s">
        <v>3055</v>
      </c>
      <c r="B1537" s="71" t="str">
        <f>_xlfn.DISPIMG("ID_95BDB41B40814921ADDFD45140CB4D91",1)</f>
        <v>=DISPIMG("ID_95BDB41B40814921ADDFD45140CB4D91",1)</v>
      </c>
      <c r="C1537" s="53" t="s">
        <v>32</v>
      </c>
      <c r="D1537" s="53" t="s">
        <v>749</v>
      </c>
      <c r="E1537" s="67" t="s">
        <v>3054</v>
      </c>
      <c r="F1537" s="53" t="s">
        <v>46</v>
      </c>
      <c r="H1537" s="77">
        <f>STOCK[[#This Row],[Precio Final]]</f>
        <v>22</v>
      </c>
      <c r="I1537" s="82">
        <f>STOCK[[#This Row],[Precio Venta Ideal (x1.5)]]</f>
        <v>18.3</v>
      </c>
      <c r="J1537" s="71">
        <v>1</v>
      </c>
      <c r="K1537" s="80">
        <f>SUMIFS(VENTAS[Cantidad],VENTAS[Código del producto Vendido],STOCK[[#This Row],[Code]])</f>
        <v>0</v>
      </c>
      <c r="L1537" s="80">
        <f>STOCK[[#This Row],[Entradas]]-STOCK[[#This Row],[Salidas]]</f>
        <v>1</v>
      </c>
      <c r="M1537" s="77">
        <f>STOCK[[#This Row],[Precio Final]]*10%</f>
        <v>2.2</v>
      </c>
      <c r="N1537" s="54">
        <v>0</v>
      </c>
      <c r="O1537" s="77">
        <v>0</v>
      </c>
      <c r="P1537" s="53">
        <v>10</v>
      </c>
      <c r="Q1537" s="71">
        <v>0</v>
      </c>
      <c r="R1537" s="54">
        <v>0</v>
      </c>
      <c r="S1537" s="53">
        <v>0</v>
      </c>
      <c r="T1537" s="77">
        <f>STOCK[[#This Row],[Costo Unitario (USD)]]+STOCK[[#This Row],[Costo Envío (USD)]]+STOCK[[#This Row],[Comisión 10%]]</f>
        <v>12.2</v>
      </c>
      <c r="U1537" s="53">
        <f>STOCK[[#This Row],[Costo total]]*1.5</f>
        <v>18.3</v>
      </c>
      <c r="V1537" s="53">
        <v>22</v>
      </c>
      <c r="W1537" s="77">
        <f>STOCK[[#This Row],[Precio Final]]-STOCK[[#This Row],[Costo total]]</f>
        <v>9.8</v>
      </c>
      <c r="X1537" s="77">
        <f>STOCK[[#This Row],[Ganancia Unitaria]]*STOCK[[#This Row],[Salidas]]</f>
        <v>0</v>
      </c>
      <c r="Y1537" s="77"/>
      <c r="Z1537" s="77"/>
      <c r="AA1537" s="54">
        <f>STOCK[[#This Row],[Costo total]]*STOCK[[#This Row],[Entradas]]</f>
        <v>12.2</v>
      </c>
      <c r="AB1537" s="54">
        <f>STOCK[[#This Row],[Stock Actual]]*STOCK[[#This Row],[Costo total]]</f>
        <v>12.2</v>
      </c>
      <c r="AC1537" s="77"/>
      <c r="AD1537" s="84"/>
    </row>
    <row r="1538" s="53" customFormat="1" ht="50" customHeight="1" spans="1:30">
      <c r="A1538" s="53" t="s">
        <v>3056</v>
      </c>
      <c r="B1538" s="71" t="str">
        <f>_xlfn.DISPIMG("ID_155C3A022F474F2A990DD77E86CB57AD",1)</f>
        <v>=DISPIMG("ID_155C3A022F474F2A990DD77E86CB57AD",1)</v>
      </c>
      <c r="C1538" s="53" t="s">
        <v>32</v>
      </c>
      <c r="D1538" s="53" t="s">
        <v>749</v>
      </c>
      <c r="E1538" s="67" t="s">
        <v>3052</v>
      </c>
      <c r="F1538" s="53" t="s">
        <v>49</v>
      </c>
      <c r="H1538" s="77">
        <f>STOCK[[#This Row],[Precio Final]]</f>
        <v>25</v>
      </c>
      <c r="I1538" s="82">
        <f>STOCK[[#This Row],[Precio Venta Ideal (x1.5)]]</f>
        <v>18.75</v>
      </c>
      <c r="J1538" s="71">
        <v>1</v>
      </c>
      <c r="K1538" s="80">
        <f>SUMIFS(VENTAS[Cantidad],VENTAS[Código del producto Vendido],STOCK[[#This Row],[Code]])</f>
        <v>0</v>
      </c>
      <c r="L1538" s="80">
        <f>STOCK[[#This Row],[Entradas]]-STOCK[[#This Row],[Salidas]]</f>
        <v>1</v>
      </c>
      <c r="M1538" s="77">
        <f>STOCK[[#This Row],[Precio Final]]*10%</f>
        <v>2.5</v>
      </c>
      <c r="N1538" s="53">
        <v>0</v>
      </c>
      <c r="O1538" s="77">
        <v>0</v>
      </c>
      <c r="P1538" s="53">
        <v>10</v>
      </c>
      <c r="Q1538" s="71">
        <v>0</v>
      </c>
      <c r="R1538" s="53">
        <v>0</v>
      </c>
      <c r="S1538" s="54">
        <v>0</v>
      </c>
      <c r="T1538" s="77">
        <f>STOCK[[#This Row],[Costo Unitario (USD)]]+STOCK[[#This Row],[Costo Envío (USD)]]+STOCK[[#This Row],[Comisión 10%]]</f>
        <v>12.5</v>
      </c>
      <c r="U1538" s="53">
        <f>STOCK[[#This Row],[Costo total]]*1.5</f>
        <v>18.75</v>
      </c>
      <c r="V1538" s="53">
        <v>25</v>
      </c>
      <c r="W1538" s="77">
        <f>STOCK[[#This Row],[Precio Final]]-STOCK[[#This Row],[Costo total]]</f>
        <v>12.5</v>
      </c>
      <c r="X1538" s="77">
        <f>STOCK[[#This Row],[Ganancia Unitaria]]*STOCK[[#This Row],[Salidas]]</f>
        <v>0</v>
      </c>
      <c r="Y1538" s="77"/>
      <c r="Z1538" s="77"/>
      <c r="AA1538" s="54">
        <f>STOCK[[#This Row],[Costo total]]*STOCK[[#This Row],[Entradas]]</f>
        <v>12.5</v>
      </c>
      <c r="AB1538" s="54">
        <f>STOCK[[#This Row],[Stock Actual]]*STOCK[[#This Row],[Costo total]]</f>
        <v>12.5</v>
      </c>
      <c r="AC1538" s="77"/>
      <c r="AD1538" s="84"/>
    </row>
    <row r="1539" s="53" customFormat="1" ht="50" customHeight="1" spans="1:30">
      <c r="A1539" s="53" t="s">
        <v>3057</v>
      </c>
      <c r="B1539" s="71" t="str">
        <f>_xlfn.DISPIMG("ID_7FBA60068A874CDB82993402BC5DEF69",1)</f>
        <v>=DISPIMG("ID_7FBA60068A874CDB82993402BC5DEF69",1)</v>
      </c>
      <c r="C1539" s="53" t="s">
        <v>32</v>
      </c>
      <c r="D1539" s="53" t="s">
        <v>749</v>
      </c>
      <c r="E1539" s="67" t="s">
        <v>3058</v>
      </c>
      <c r="F1539" s="53" t="s">
        <v>49</v>
      </c>
      <c r="H1539" s="77">
        <f>STOCK[[#This Row],[Precio Final]]</f>
        <v>20</v>
      </c>
      <c r="I1539" s="82">
        <f>STOCK[[#This Row],[Precio Venta Ideal (x1.5)]]</f>
        <v>18</v>
      </c>
      <c r="J1539" s="71">
        <v>2</v>
      </c>
      <c r="K1539" s="80">
        <f>SUMIFS(VENTAS[Cantidad],VENTAS[Código del producto Vendido],STOCK[[#This Row],[Code]])</f>
        <v>0</v>
      </c>
      <c r="L1539" s="80">
        <f>STOCK[[#This Row],[Entradas]]-STOCK[[#This Row],[Salidas]]</f>
        <v>2</v>
      </c>
      <c r="M1539" s="77">
        <f>STOCK[[#This Row],[Precio Final]]*10%</f>
        <v>2</v>
      </c>
      <c r="N1539" s="54">
        <v>0</v>
      </c>
      <c r="O1539" s="77">
        <v>0</v>
      </c>
      <c r="P1539" s="53">
        <v>10</v>
      </c>
      <c r="Q1539" s="72">
        <v>0</v>
      </c>
      <c r="R1539" s="54">
        <v>0</v>
      </c>
      <c r="S1539" s="54">
        <v>0</v>
      </c>
      <c r="T1539" s="77">
        <f>STOCK[[#This Row],[Costo Unitario (USD)]]+STOCK[[#This Row],[Costo Envío (USD)]]+STOCK[[#This Row],[Comisión 10%]]</f>
        <v>12</v>
      </c>
      <c r="U1539" s="53">
        <f>STOCK[[#This Row],[Costo total]]*1.5</f>
        <v>18</v>
      </c>
      <c r="V1539" s="53">
        <v>20</v>
      </c>
      <c r="W1539" s="77">
        <f>STOCK[[#This Row],[Precio Final]]-STOCK[[#This Row],[Costo total]]</f>
        <v>8</v>
      </c>
      <c r="X1539" s="77">
        <f>STOCK[[#This Row],[Ganancia Unitaria]]*STOCK[[#This Row],[Salidas]]</f>
        <v>0</v>
      </c>
      <c r="Y1539" s="77"/>
      <c r="Z1539" s="77"/>
      <c r="AA1539" s="54">
        <f>STOCK[[#This Row],[Costo total]]*STOCK[[#This Row],[Entradas]]</f>
        <v>24</v>
      </c>
      <c r="AB1539" s="54">
        <f>STOCK[[#This Row],[Stock Actual]]*STOCK[[#This Row],[Costo total]]</f>
        <v>24</v>
      </c>
      <c r="AC1539" s="77"/>
      <c r="AD1539" s="84"/>
    </row>
    <row r="1540" s="53" customFormat="1" ht="50" customHeight="1" spans="1:30">
      <c r="A1540" s="53" t="s">
        <v>3059</v>
      </c>
      <c r="B1540" s="71" t="str">
        <f>_xlfn.DISPIMG("ID_E147D2FEB55342439B78D68CD73568BA",1)</f>
        <v>=DISPIMG("ID_E147D2FEB55342439B78D68CD73568BA",1)</v>
      </c>
      <c r="C1540" s="53" t="s">
        <v>32</v>
      </c>
      <c r="D1540" s="53" t="s">
        <v>1388</v>
      </c>
      <c r="E1540" s="67" t="s">
        <v>3060</v>
      </c>
      <c r="F1540" s="53" t="s">
        <v>92</v>
      </c>
      <c r="H1540" s="77">
        <f>STOCK[[#This Row],[Precio Final]]</f>
        <v>35</v>
      </c>
      <c r="I1540" s="82">
        <f>STOCK[[#This Row],[Precio Venta Ideal (x1.5)]]</f>
        <v>20.25</v>
      </c>
      <c r="J1540" s="71">
        <v>1</v>
      </c>
      <c r="K1540" s="80">
        <f>SUMIFS(VENTAS[Cantidad],VENTAS[Código del producto Vendido],STOCK[[#This Row],[Code]])</f>
        <v>1</v>
      </c>
      <c r="L1540" s="80">
        <f>STOCK[[#This Row],[Entradas]]-STOCK[[#This Row],[Salidas]]</f>
        <v>0</v>
      </c>
      <c r="M1540" s="77">
        <f>STOCK[[#This Row],[Precio Final]]*10%</f>
        <v>3.5</v>
      </c>
      <c r="N1540" s="53">
        <v>0</v>
      </c>
      <c r="O1540" s="77">
        <v>0</v>
      </c>
      <c r="P1540" s="53">
        <v>10</v>
      </c>
      <c r="Q1540" s="71">
        <v>0</v>
      </c>
      <c r="R1540" s="54">
        <v>0</v>
      </c>
      <c r="S1540" s="53">
        <v>0</v>
      </c>
      <c r="T1540" s="77">
        <f>STOCK[[#This Row],[Costo Unitario (USD)]]+STOCK[[#This Row],[Costo Envío (USD)]]+STOCK[[#This Row],[Comisión 10%]]</f>
        <v>13.5</v>
      </c>
      <c r="U1540" s="53">
        <f>STOCK[[#This Row],[Costo total]]*1.5</f>
        <v>20.25</v>
      </c>
      <c r="V1540" s="53">
        <v>35</v>
      </c>
      <c r="W1540" s="77">
        <f>STOCK[[#This Row],[Precio Final]]-STOCK[[#This Row],[Costo total]]</f>
        <v>21.5</v>
      </c>
      <c r="X1540" s="77">
        <f>STOCK[[#This Row],[Ganancia Unitaria]]*STOCK[[#This Row],[Salidas]]</f>
        <v>21.5</v>
      </c>
      <c r="Y1540" s="77"/>
      <c r="Z1540" s="77"/>
      <c r="AA1540" s="54">
        <f>STOCK[[#This Row],[Costo total]]*STOCK[[#This Row],[Entradas]]</f>
        <v>13.5</v>
      </c>
      <c r="AB1540" s="54">
        <f>STOCK[[#This Row],[Stock Actual]]*STOCK[[#This Row],[Costo total]]</f>
        <v>0</v>
      </c>
      <c r="AC1540" s="77"/>
      <c r="AD1540" s="84"/>
    </row>
    <row r="1541" s="53" customFormat="1" ht="50" customHeight="1" spans="1:30">
      <c r="A1541" s="53" t="s">
        <v>3061</v>
      </c>
      <c r="B1541" s="71" t="str">
        <f>_xlfn.DISPIMG("ID_331F02D25F0A44B3BA958E8D17162AD4",1)</f>
        <v>=DISPIMG("ID_331F02D25F0A44B3BA958E8D17162AD4",1)</v>
      </c>
      <c r="C1541" s="53" t="s">
        <v>32</v>
      </c>
      <c r="D1541" s="53" t="s">
        <v>1388</v>
      </c>
      <c r="E1541" s="67" t="s">
        <v>3062</v>
      </c>
      <c r="F1541" s="53" t="s">
        <v>62</v>
      </c>
      <c r="H1541" s="77">
        <f>STOCK[[#This Row],[Precio Final]]</f>
        <v>30</v>
      </c>
      <c r="I1541" s="82">
        <f>STOCK[[#This Row],[Precio Venta Ideal (x1.5)]]</f>
        <v>19.5</v>
      </c>
      <c r="J1541" s="71">
        <v>1</v>
      </c>
      <c r="K1541" s="80">
        <f>SUMIFS(VENTAS[Cantidad],VENTAS[Código del producto Vendido],STOCK[[#This Row],[Code]])</f>
        <v>0</v>
      </c>
      <c r="L1541" s="80">
        <f>STOCK[[#This Row],[Entradas]]-STOCK[[#This Row],[Salidas]]</f>
        <v>1</v>
      </c>
      <c r="M1541" s="77">
        <f>STOCK[[#This Row],[Precio Final]]*10%</f>
        <v>3</v>
      </c>
      <c r="N1541" s="53">
        <v>0</v>
      </c>
      <c r="O1541" s="77">
        <v>0</v>
      </c>
      <c r="P1541" s="53">
        <v>10</v>
      </c>
      <c r="Q1541" s="71">
        <v>0</v>
      </c>
      <c r="R1541" s="53">
        <v>0</v>
      </c>
      <c r="S1541" s="53">
        <v>0</v>
      </c>
      <c r="T1541" s="77">
        <f>STOCK[[#This Row],[Costo Unitario (USD)]]+STOCK[[#This Row],[Costo Envío (USD)]]+STOCK[[#This Row],[Comisión 10%]]</f>
        <v>13</v>
      </c>
      <c r="U1541" s="53">
        <f>STOCK[[#This Row],[Costo total]]*1.5</f>
        <v>19.5</v>
      </c>
      <c r="V1541" s="53">
        <v>30</v>
      </c>
      <c r="W1541" s="77">
        <f>STOCK[[#This Row],[Precio Final]]-STOCK[[#This Row],[Costo total]]</f>
        <v>17</v>
      </c>
      <c r="X1541" s="77">
        <f>STOCK[[#This Row],[Ganancia Unitaria]]*STOCK[[#This Row],[Salidas]]</f>
        <v>0</v>
      </c>
      <c r="Y1541" s="77"/>
      <c r="Z1541" s="77"/>
      <c r="AA1541" s="54">
        <f>STOCK[[#This Row],[Costo total]]*STOCK[[#This Row],[Entradas]]</f>
        <v>13</v>
      </c>
      <c r="AB1541" s="54">
        <f>STOCK[[#This Row],[Stock Actual]]*STOCK[[#This Row],[Costo total]]</f>
        <v>13</v>
      </c>
      <c r="AC1541" s="77"/>
      <c r="AD1541" s="84"/>
    </row>
    <row r="1542" s="53" customFormat="1" ht="50" customHeight="1" spans="1:30">
      <c r="A1542" s="53" t="s">
        <v>3063</v>
      </c>
      <c r="B1542" s="71" t="str">
        <f>_xlfn.DISPIMG("ID_C8E00973D2C44AA99B70C7D6EAFA12E9",1)</f>
        <v>=DISPIMG("ID_C8E00973D2C44AA99B70C7D6EAFA12E9",1)</v>
      </c>
      <c r="C1542" s="53" t="s">
        <v>32</v>
      </c>
      <c r="D1542" s="53" t="s">
        <v>1388</v>
      </c>
      <c r="E1542" s="67" t="s">
        <v>3064</v>
      </c>
      <c r="F1542" s="53" t="s">
        <v>46</v>
      </c>
      <c r="H1542" s="77">
        <f>STOCK[[#This Row],[Precio Final]]</f>
        <v>30</v>
      </c>
      <c r="I1542" s="82">
        <f>STOCK[[#This Row],[Precio Venta Ideal (x1.5)]]</f>
        <v>22.5</v>
      </c>
      <c r="J1542" s="71">
        <v>1</v>
      </c>
      <c r="K1542" s="80">
        <f>SUMIFS(VENTAS[Cantidad],VENTAS[Código del producto Vendido],STOCK[[#This Row],[Code]])</f>
        <v>0</v>
      </c>
      <c r="L1542" s="80">
        <f>STOCK[[#This Row],[Entradas]]-STOCK[[#This Row],[Salidas]]</f>
        <v>1</v>
      </c>
      <c r="M1542" s="77">
        <f>STOCK[[#This Row],[Precio Final]]*10%</f>
        <v>3</v>
      </c>
      <c r="N1542" s="54">
        <v>0</v>
      </c>
      <c r="O1542" s="77">
        <v>0</v>
      </c>
      <c r="P1542" s="53">
        <v>12</v>
      </c>
      <c r="Q1542" s="71">
        <v>0</v>
      </c>
      <c r="R1542" s="53">
        <v>0</v>
      </c>
      <c r="S1542" s="54">
        <v>0</v>
      </c>
      <c r="T1542" s="77">
        <f>STOCK[[#This Row],[Costo Unitario (USD)]]+STOCK[[#This Row],[Costo Envío (USD)]]+STOCK[[#This Row],[Comisión 10%]]</f>
        <v>15</v>
      </c>
      <c r="U1542" s="53">
        <f>STOCK[[#This Row],[Costo total]]*1.5</f>
        <v>22.5</v>
      </c>
      <c r="V1542" s="53">
        <v>30</v>
      </c>
      <c r="W1542" s="77">
        <f>STOCK[[#This Row],[Precio Final]]-STOCK[[#This Row],[Costo total]]</f>
        <v>15</v>
      </c>
      <c r="X1542" s="77">
        <f>STOCK[[#This Row],[Ganancia Unitaria]]*STOCK[[#This Row],[Salidas]]</f>
        <v>0</v>
      </c>
      <c r="Y1542" s="77"/>
      <c r="Z1542" s="77"/>
      <c r="AA1542" s="54">
        <f>STOCK[[#This Row],[Costo total]]*STOCK[[#This Row],[Entradas]]</f>
        <v>15</v>
      </c>
      <c r="AB1542" s="54">
        <f>STOCK[[#This Row],[Stock Actual]]*STOCK[[#This Row],[Costo total]]</f>
        <v>15</v>
      </c>
      <c r="AC1542" s="77"/>
      <c r="AD1542" s="84"/>
    </row>
    <row r="1543" s="53" customFormat="1" ht="50" customHeight="1" spans="1:30">
      <c r="A1543" s="53" t="s">
        <v>3065</v>
      </c>
      <c r="B1543" s="53" t="s">
        <v>1345</v>
      </c>
      <c r="C1543" s="53" t="s">
        <v>32</v>
      </c>
      <c r="D1543" s="53" t="s">
        <v>780</v>
      </c>
      <c r="E1543" s="67" t="s">
        <v>3066</v>
      </c>
      <c r="F1543" s="53" t="s">
        <v>46</v>
      </c>
      <c r="G1543" s="53" t="s">
        <v>62</v>
      </c>
      <c r="H1543" s="77">
        <f>STOCK[[#This Row],[Precio Final]]</f>
        <v>35</v>
      </c>
      <c r="I1543" s="82">
        <f>STOCK[[#This Row],[Precio Venta Ideal (x1.5)]]</f>
        <v>20.25</v>
      </c>
      <c r="J1543" s="71">
        <v>1</v>
      </c>
      <c r="K1543" s="80">
        <f>SUMIFS(VENTAS[Cantidad],VENTAS[Código del producto Vendido],STOCK[[#This Row],[Code]])</f>
        <v>0</v>
      </c>
      <c r="L1543" s="80">
        <f>STOCK[[#This Row],[Entradas]]-STOCK[[#This Row],[Salidas]]</f>
        <v>1</v>
      </c>
      <c r="M1543" s="77">
        <f>STOCK[[#This Row],[Precio Final]]*10%</f>
        <v>3.5</v>
      </c>
      <c r="N1543" s="53">
        <v>0</v>
      </c>
      <c r="O1543" s="77">
        <v>0</v>
      </c>
      <c r="P1543" s="53">
        <v>10</v>
      </c>
      <c r="Q1543" s="72">
        <v>0</v>
      </c>
      <c r="R1543" s="54">
        <v>0</v>
      </c>
      <c r="S1543" s="54">
        <v>0</v>
      </c>
      <c r="T1543" s="77">
        <f>STOCK[[#This Row],[Costo Unitario (USD)]]+STOCK[[#This Row],[Costo Envío (USD)]]+STOCK[[#This Row],[Comisión 10%]]</f>
        <v>13.5</v>
      </c>
      <c r="U1543" s="53">
        <f>STOCK[[#This Row],[Costo total]]*1.5</f>
        <v>20.25</v>
      </c>
      <c r="V1543" s="53">
        <v>35</v>
      </c>
      <c r="W1543" s="77">
        <f>STOCK[[#This Row],[Precio Final]]-STOCK[[#This Row],[Costo total]]</f>
        <v>21.5</v>
      </c>
      <c r="X1543" s="77">
        <f>STOCK[[#This Row],[Ganancia Unitaria]]*STOCK[[#This Row],[Salidas]]</f>
        <v>0</v>
      </c>
      <c r="Y1543" s="77"/>
      <c r="Z1543" s="77"/>
      <c r="AA1543" s="54">
        <f>STOCK[[#This Row],[Costo total]]*STOCK[[#This Row],[Entradas]]</f>
        <v>13.5</v>
      </c>
      <c r="AB1543" s="54">
        <f>STOCK[[#This Row],[Stock Actual]]*STOCK[[#This Row],[Costo total]]</f>
        <v>13.5</v>
      </c>
      <c r="AC1543" s="77"/>
      <c r="AD1543" s="84"/>
    </row>
    <row r="1544" s="53" customFormat="1" ht="50" customHeight="1" spans="1:30">
      <c r="A1544" s="53" t="s">
        <v>3067</v>
      </c>
      <c r="B1544" s="71" t="str">
        <f>_xlfn.DISPIMG("ID_061452DA8F694CDB87AE347AEBFE0C0A",1)</f>
        <v>=DISPIMG("ID_061452DA8F694CDB87AE347AEBFE0C0A",1)</v>
      </c>
      <c r="C1544" s="53" t="s">
        <v>32</v>
      </c>
      <c r="D1544" s="53" t="s">
        <v>1388</v>
      </c>
      <c r="E1544" s="67" t="s">
        <v>3068</v>
      </c>
      <c r="F1544" s="53" t="s">
        <v>49</v>
      </c>
      <c r="H1544" s="77">
        <f>STOCK[[#This Row],[Precio Final]]</f>
        <v>30</v>
      </c>
      <c r="I1544" s="82">
        <f>STOCK[[#This Row],[Precio Venta Ideal (x1.5)]]</f>
        <v>22.5</v>
      </c>
      <c r="J1544" s="71">
        <v>1</v>
      </c>
      <c r="K1544" s="80">
        <f>SUMIFS(VENTAS[Cantidad],VENTAS[Código del producto Vendido],STOCK[[#This Row],[Code]])</f>
        <v>1</v>
      </c>
      <c r="L1544" s="80">
        <f>STOCK[[#This Row],[Entradas]]-STOCK[[#This Row],[Salidas]]</f>
        <v>0</v>
      </c>
      <c r="M1544" s="77">
        <f>STOCK[[#This Row],[Precio Final]]*10%</f>
        <v>3</v>
      </c>
      <c r="N1544" s="54">
        <v>0</v>
      </c>
      <c r="O1544" s="77">
        <v>0</v>
      </c>
      <c r="P1544" s="53">
        <v>12</v>
      </c>
      <c r="Q1544" s="71">
        <v>0</v>
      </c>
      <c r="R1544" s="53">
        <v>0</v>
      </c>
      <c r="S1544" s="53">
        <v>0</v>
      </c>
      <c r="T1544" s="77">
        <f>STOCK[[#This Row],[Costo Unitario (USD)]]+STOCK[[#This Row],[Costo Envío (USD)]]+STOCK[[#This Row],[Comisión 10%]]</f>
        <v>15</v>
      </c>
      <c r="U1544" s="53">
        <f>STOCK[[#This Row],[Costo total]]*1.5</f>
        <v>22.5</v>
      </c>
      <c r="V1544" s="53">
        <v>30</v>
      </c>
      <c r="W1544" s="77">
        <f>STOCK[[#This Row],[Precio Final]]-STOCK[[#This Row],[Costo total]]</f>
        <v>15</v>
      </c>
      <c r="X1544" s="77">
        <f>STOCK[[#This Row],[Ganancia Unitaria]]*STOCK[[#This Row],[Salidas]]</f>
        <v>15</v>
      </c>
      <c r="Y1544" s="77"/>
      <c r="Z1544" s="77"/>
      <c r="AA1544" s="54">
        <f>STOCK[[#This Row],[Costo total]]*STOCK[[#This Row],[Entradas]]</f>
        <v>15</v>
      </c>
      <c r="AB1544" s="54">
        <f>STOCK[[#This Row],[Stock Actual]]*STOCK[[#This Row],[Costo total]]</f>
        <v>0</v>
      </c>
      <c r="AC1544" s="77"/>
      <c r="AD1544" s="84"/>
    </row>
    <row r="1545" s="53" customFormat="1" ht="50" customHeight="1" spans="1:30">
      <c r="A1545" s="53" t="s">
        <v>3069</v>
      </c>
      <c r="B1545" s="71" t="str">
        <f>_xlfn.DISPIMG("ID_236FDEE0D44C44AE9993C59484124512",1)</f>
        <v>=DISPIMG("ID_236FDEE0D44C44AE9993C59484124512",1)</v>
      </c>
      <c r="C1545" s="53" t="s">
        <v>32</v>
      </c>
      <c r="D1545" s="53" t="s">
        <v>1388</v>
      </c>
      <c r="E1545" s="67" t="s">
        <v>3070</v>
      </c>
      <c r="F1545" s="53" t="s">
        <v>49</v>
      </c>
      <c r="H1545" s="77">
        <f>STOCK[[#This Row],[Precio Final]]</f>
        <v>30</v>
      </c>
      <c r="I1545" s="82">
        <f>STOCK[[#This Row],[Precio Venta Ideal (x1.5)]]</f>
        <v>22.5</v>
      </c>
      <c r="J1545" s="71">
        <v>2</v>
      </c>
      <c r="K1545" s="80">
        <f>SUMIFS(VENTAS[Cantidad],VENTAS[Código del producto Vendido],STOCK[[#This Row],[Code]])</f>
        <v>0</v>
      </c>
      <c r="L1545" s="80">
        <f>STOCK[[#This Row],[Entradas]]-STOCK[[#This Row],[Salidas]]</f>
        <v>2</v>
      </c>
      <c r="M1545" s="77">
        <f>STOCK[[#This Row],[Precio Final]]*10%</f>
        <v>3</v>
      </c>
      <c r="N1545" s="54">
        <v>0</v>
      </c>
      <c r="O1545" s="77">
        <v>0</v>
      </c>
      <c r="P1545" s="53">
        <v>12</v>
      </c>
      <c r="Q1545" s="71">
        <v>0</v>
      </c>
      <c r="R1545" s="54">
        <v>0</v>
      </c>
      <c r="S1545" s="54">
        <v>0</v>
      </c>
      <c r="T1545" s="77">
        <f>STOCK[[#This Row],[Costo Unitario (USD)]]+STOCK[[#This Row],[Costo Envío (USD)]]+STOCK[[#This Row],[Comisión 10%]]</f>
        <v>15</v>
      </c>
      <c r="U1545" s="53">
        <f>STOCK[[#This Row],[Costo total]]*1.5</f>
        <v>22.5</v>
      </c>
      <c r="V1545" s="53">
        <v>30</v>
      </c>
      <c r="W1545" s="77">
        <f>STOCK[[#This Row],[Precio Final]]-STOCK[[#This Row],[Costo total]]</f>
        <v>15</v>
      </c>
      <c r="X1545" s="77">
        <f>STOCK[[#This Row],[Ganancia Unitaria]]*STOCK[[#This Row],[Salidas]]</f>
        <v>0</v>
      </c>
      <c r="Y1545" s="77"/>
      <c r="Z1545" s="77"/>
      <c r="AA1545" s="54">
        <f>STOCK[[#This Row],[Costo total]]*STOCK[[#This Row],[Entradas]]</f>
        <v>30</v>
      </c>
      <c r="AB1545" s="54">
        <f>STOCK[[#This Row],[Stock Actual]]*STOCK[[#This Row],[Costo total]]</f>
        <v>30</v>
      </c>
      <c r="AC1545" s="77"/>
      <c r="AD1545" s="84"/>
    </row>
    <row r="1546" s="53" customFormat="1" ht="50" customHeight="1" spans="1:30">
      <c r="A1546" s="53" t="s">
        <v>3071</v>
      </c>
      <c r="B1546" s="71" t="str">
        <f>_xlfn.DISPIMG("ID_C90935565D5E4AF5AC176886EF0D4DF7",1)</f>
        <v>=DISPIMG("ID_C90935565D5E4AF5AC176886EF0D4DF7",1)</v>
      </c>
      <c r="C1546" s="53" t="s">
        <v>32</v>
      </c>
      <c r="D1546" s="53" t="s">
        <v>735</v>
      </c>
      <c r="E1546" s="67" t="s">
        <v>3072</v>
      </c>
      <c r="F1546" s="53" t="s">
        <v>42</v>
      </c>
      <c r="H1546" s="77">
        <f>STOCK[[#This Row],[Precio Final]]</f>
        <v>28</v>
      </c>
      <c r="I1546" s="82">
        <f>STOCK[[#This Row],[Precio Venta Ideal (x1.5)]]</f>
        <v>26.7</v>
      </c>
      <c r="J1546" s="71">
        <v>1</v>
      </c>
      <c r="K1546" s="80">
        <f>SUMIFS(VENTAS[Cantidad],VENTAS[Código del producto Vendido],STOCK[[#This Row],[Code]])</f>
        <v>0</v>
      </c>
      <c r="L1546" s="80">
        <f>STOCK[[#This Row],[Entradas]]-STOCK[[#This Row],[Salidas]]</f>
        <v>1</v>
      </c>
      <c r="M1546" s="77">
        <f>STOCK[[#This Row],[Precio Final]]*10%</f>
        <v>2.8</v>
      </c>
      <c r="N1546" s="53">
        <v>0</v>
      </c>
      <c r="O1546" s="77">
        <v>0</v>
      </c>
      <c r="P1546" s="53">
        <v>15</v>
      </c>
      <c r="Q1546" s="72">
        <v>0</v>
      </c>
      <c r="R1546" s="53">
        <v>0</v>
      </c>
      <c r="S1546" s="54">
        <v>0</v>
      </c>
      <c r="T1546" s="77">
        <f>STOCK[[#This Row],[Costo Unitario (USD)]]+STOCK[[#This Row],[Costo Envío (USD)]]+STOCK[[#This Row],[Comisión 10%]]</f>
        <v>17.8</v>
      </c>
      <c r="U1546" s="53">
        <f>STOCK[[#This Row],[Costo total]]*1.5</f>
        <v>26.7</v>
      </c>
      <c r="V1546" s="53">
        <v>28</v>
      </c>
      <c r="W1546" s="77">
        <f>STOCK[[#This Row],[Precio Final]]-STOCK[[#This Row],[Costo total]]</f>
        <v>10.2</v>
      </c>
      <c r="X1546" s="77">
        <f>STOCK[[#This Row],[Ganancia Unitaria]]*STOCK[[#This Row],[Salidas]]</f>
        <v>0</v>
      </c>
      <c r="Y1546" s="77"/>
      <c r="Z1546" s="77"/>
      <c r="AA1546" s="54">
        <f>STOCK[[#This Row],[Costo total]]*STOCK[[#This Row],[Entradas]]</f>
        <v>17.8</v>
      </c>
      <c r="AB1546" s="54">
        <f>STOCK[[#This Row],[Stock Actual]]*STOCK[[#This Row],[Costo total]]</f>
        <v>17.8</v>
      </c>
      <c r="AC1546" s="77"/>
      <c r="AD1546" s="84"/>
    </row>
    <row r="1547" s="53" customFormat="1" ht="50" customHeight="1" spans="1:30">
      <c r="A1547" s="53" t="s">
        <v>3073</v>
      </c>
      <c r="B1547" s="53" t="s">
        <v>1345</v>
      </c>
      <c r="C1547" s="53" t="s">
        <v>32</v>
      </c>
      <c r="D1547" s="53" t="s">
        <v>1388</v>
      </c>
      <c r="E1547" s="67" t="s">
        <v>3074</v>
      </c>
      <c r="F1547" s="53" t="s">
        <v>49</v>
      </c>
      <c r="H1547" s="77">
        <f>STOCK[[#This Row],[Precio Final]]</f>
        <v>35</v>
      </c>
      <c r="I1547" s="82">
        <f>STOCK[[#This Row],[Precio Venta Ideal (x1.5)]]</f>
        <v>20.25</v>
      </c>
      <c r="J1547" s="71">
        <v>1</v>
      </c>
      <c r="K1547" s="80">
        <f>SUMIFS(VENTAS[Cantidad],VENTAS[Código del producto Vendido],STOCK[[#This Row],[Code]])</f>
        <v>0</v>
      </c>
      <c r="L1547" s="80">
        <f>STOCK[[#This Row],[Entradas]]-STOCK[[#This Row],[Salidas]]</f>
        <v>1</v>
      </c>
      <c r="M1547" s="77">
        <f>STOCK[[#This Row],[Precio Final]]*10%</f>
        <v>3.5</v>
      </c>
      <c r="N1547" s="54">
        <v>0</v>
      </c>
      <c r="O1547" s="77">
        <v>0</v>
      </c>
      <c r="P1547" s="53">
        <v>10</v>
      </c>
      <c r="Q1547" s="71">
        <v>0</v>
      </c>
      <c r="R1547" s="54">
        <v>0</v>
      </c>
      <c r="S1547" s="53">
        <v>0</v>
      </c>
      <c r="T1547" s="77">
        <f>STOCK[[#This Row],[Costo Unitario (USD)]]+STOCK[[#This Row],[Costo Envío (USD)]]+STOCK[[#This Row],[Comisión 10%]]</f>
        <v>13.5</v>
      </c>
      <c r="U1547" s="53">
        <f>STOCK[[#This Row],[Costo total]]*1.5</f>
        <v>20.25</v>
      </c>
      <c r="V1547" s="53">
        <v>35</v>
      </c>
      <c r="W1547" s="77">
        <f>STOCK[[#This Row],[Precio Final]]-STOCK[[#This Row],[Costo total]]</f>
        <v>21.5</v>
      </c>
      <c r="X1547" s="77">
        <f>STOCK[[#This Row],[Ganancia Unitaria]]*STOCK[[#This Row],[Salidas]]</f>
        <v>0</v>
      </c>
      <c r="Y1547" s="77"/>
      <c r="Z1547" s="77"/>
      <c r="AA1547" s="54">
        <f>STOCK[[#This Row],[Costo total]]*STOCK[[#This Row],[Entradas]]</f>
        <v>13.5</v>
      </c>
      <c r="AB1547" s="54">
        <f>STOCK[[#This Row],[Stock Actual]]*STOCK[[#This Row],[Costo total]]</f>
        <v>13.5</v>
      </c>
      <c r="AC1547" s="77"/>
      <c r="AD1547" s="84"/>
    </row>
    <row r="1548" s="53" customFormat="1" ht="50" customHeight="1" spans="5:30">
      <c r="E1548" s="67"/>
      <c r="H1548" s="77"/>
      <c r="I1548" s="82"/>
      <c r="J1548" s="71"/>
      <c r="K1548" s="80"/>
      <c r="L1548" s="80"/>
      <c r="M1548" s="77"/>
      <c r="O1548" s="77"/>
      <c r="Q1548" s="71"/>
      <c r="S1548" s="54"/>
      <c r="T1548" s="77"/>
      <c r="W1548" s="77"/>
      <c r="X1548" s="77"/>
      <c r="Y1548" s="77"/>
      <c r="Z1548" s="77"/>
      <c r="AA1548" s="54">
        <f>STOCK[[#This Row],[Costo total]]*STOCK[[#This Row],[Entradas]]</f>
        <v>0</v>
      </c>
      <c r="AB1548" s="54">
        <f>STOCK[[#This Row],[Stock Actual]]*STOCK[[#This Row],[Costo total]]</f>
        <v>0</v>
      </c>
      <c r="AC1548" s="77"/>
      <c r="AD1548" s="84"/>
    </row>
    <row r="1549" s="53" customFormat="1" ht="50" customHeight="1" spans="1:30">
      <c r="A1549" s="53" t="s">
        <v>3075</v>
      </c>
      <c r="B1549" s="71" t="str">
        <f>_xlfn.DISPIMG("ID_08DEA944CCB84E22963C11C45A954510",1)</f>
        <v>=DISPIMG("ID_08DEA944CCB84E22963C11C45A954510",1)</v>
      </c>
      <c r="C1549" s="53" t="s">
        <v>32</v>
      </c>
      <c r="D1549" s="53" t="s">
        <v>735</v>
      </c>
      <c r="E1549" s="67" t="s">
        <v>3076</v>
      </c>
      <c r="F1549" s="53" t="s">
        <v>46</v>
      </c>
      <c r="H1549" s="77">
        <f>STOCK[[#This Row],[Precio Final]]</f>
        <v>30</v>
      </c>
      <c r="I1549" s="82">
        <f>STOCK[[#This Row],[Precio Venta Ideal (x1.5)]]</f>
        <v>16.5</v>
      </c>
      <c r="J1549" s="71">
        <v>1</v>
      </c>
      <c r="K1549" s="80">
        <f>SUMIFS(VENTAS[Cantidad],VENTAS[Código del producto Vendido],STOCK[[#This Row],[Code]])</f>
        <v>1</v>
      </c>
      <c r="L1549" s="80">
        <f>STOCK[[#This Row],[Entradas]]-STOCK[[#This Row],[Salidas]]</f>
        <v>0</v>
      </c>
      <c r="M1549" s="77">
        <f>STOCK[[#This Row],[Precio Final]]*10%</f>
        <v>3</v>
      </c>
      <c r="N1549" s="54">
        <v>0</v>
      </c>
      <c r="O1549" s="77">
        <v>0</v>
      </c>
      <c r="P1549" s="53">
        <v>8</v>
      </c>
      <c r="Q1549" s="71">
        <v>0</v>
      </c>
      <c r="R1549" s="53">
        <v>0</v>
      </c>
      <c r="S1549" s="53">
        <v>0</v>
      </c>
      <c r="T1549" s="77">
        <f>STOCK[[#This Row],[Costo Unitario (USD)]]+STOCK[[#This Row],[Costo Envío (USD)]]+STOCK[[#This Row],[Comisión 10%]]</f>
        <v>11</v>
      </c>
      <c r="U1549" s="53">
        <f>STOCK[[#This Row],[Costo total]]*1.5</f>
        <v>16.5</v>
      </c>
      <c r="V1549" s="53">
        <v>30</v>
      </c>
      <c r="W1549" s="77">
        <f>STOCK[[#This Row],[Precio Final]]-STOCK[[#This Row],[Costo total]]</f>
        <v>19</v>
      </c>
      <c r="X1549" s="77">
        <f>STOCK[[#This Row],[Ganancia Unitaria]]*STOCK[[#This Row],[Salidas]]</f>
        <v>19</v>
      </c>
      <c r="Y1549" s="77"/>
      <c r="Z1549" s="77"/>
      <c r="AA1549" s="54">
        <f>STOCK[[#This Row],[Costo total]]*STOCK[[#This Row],[Entradas]]</f>
        <v>11</v>
      </c>
      <c r="AB1549" s="54">
        <f>STOCK[[#This Row],[Stock Actual]]*STOCK[[#This Row],[Costo total]]</f>
        <v>0</v>
      </c>
      <c r="AC1549" s="77"/>
      <c r="AD1549" s="84"/>
    </row>
    <row r="1550" s="53" customFormat="1" ht="50" customHeight="1" spans="1:30">
      <c r="A1550" s="53" t="s">
        <v>3077</v>
      </c>
      <c r="B1550" s="71" t="str">
        <f>_xlfn.DISPIMG("ID_A91DFB2CBB434112A64908E008E8E85E",1)</f>
        <v>=DISPIMG("ID_A91DFB2CBB434112A64908E008E8E85E",1)</v>
      </c>
      <c r="C1550" s="53" t="s">
        <v>32</v>
      </c>
      <c r="D1550" s="53" t="s">
        <v>735</v>
      </c>
      <c r="E1550" s="67" t="s">
        <v>3078</v>
      </c>
      <c r="F1550" s="53" t="s">
        <v>46</v>
      </c>
      <c r="H1550" s="77">
        <f>STOCK[[#This Row],[Precio Final]]</f>
        <v>35</v>
      </c>
      <c r="I1550" s="82">
        <f>STOCK[[#This Row],[Precio Venta Ideal (x1.5)]]</f>
        <v>17.25</v>
      </c>
      <c r="J1550" s="71">
        <v>1</v>
      </c>
      <c r="K1550" s="80">
        <f>SUMIFS(VENTAS[Cantidad],VENTAS[Código del producto Vendido],STOCK[[#This Row],[Code]])</f>
        <v>0</v>
      </c>
      <c r="L1550" s="80">
        <f>STOCK[[#This Row],[Entradas]]-STOCK[[#This Row],[Salidas]]</f>
        <v>1</v>
      </c>
      <c r="M1550" s="77">
        <f>STOCK[[#This Row],[Precio Final]]*10%</f>
        <v>3.5</v>
      </c>
      <c r="N1550" s="53">
        <v>0</v>
      </c>
      <c r="O1550" s="77">
        <v>0</v>
      </c>
      <c r="P1550" s="53">
        <v>8</v>
      </c>
      <c r="Q1550" s="71">
        <v>0</v>
      </c>
      <c r="R1550" s="54">
        <v>0</v>
      </c>
      <c r="S1550" s="54">
        <v>0</v>
      </c>
      <c r="T1550" s="77">
        <f>STOCK[[#This Row],[Costo Unitario (USD)]]+STOCK[[#This Row],[Costo Envío (USD)]]+STOCK[[#This Row],[Comisión 10%]]</f>
        <v>11.5</v>
      </c>
      <c r="U1550" s="53">
        <f>STOCK[[#This Row],[Costo total]]*1.5</f>
        <v>17.25</v>
      </c>
      <c r="V1550" s="53">
        <v>35</v>
      </c>
      <c r="W1550" s="77">
        <f>STOCK[[#This Row],[Precio Final]]-STOCK[[#This Row],[Costo total]]</f>
        <v>23.5</v>
      </c>
      <c r="X1550" s="77">
        <f>STOCK[[#This Row],[Ganancia Unitaria]]*STOCK[[#This Row],[Salidas]]</f>
        <v>0</v>
      </c>
      <c r="Y1550" s="77"/>
      <c r="Z1550" s="77"/>
      <c r="AA1550" s="54">
        <f>STOCK[[#This Row],[Costo total]]*STOCK[[#This Row],[Entradas]]</f>
        <v>11.5</v>
      </c>
      <c r="AB1550" s="54">
        <f>STOCK[[#This Row],[Stock Actual]]*STOCK[[#This Row],[Costo total]]</f>
        <v>11.5</v>
      </c>
      <c r="AC1550" s="77"/>
      <c r="AD1550" s="84"/>
    </row>
    <row r="1551" s="53" customFormat="1" ht="50" customHeight="1" spans="1:30">
      <c r="A1551" s="53" t="s">
        <v>3079</v>
      </c>
      <c r="B1551" s="71" t="str">
        <f>_xlfn.DISPIMG("ID_C05C05881E274DF5803BEC4F6C227727",1)</f>
        <v>=DISPIMG("ID_C05C05881E274DF5803BEC4F6C227727",1)</v>
      </c>
      <c r="C1551" s="53" t="s">
        <v>32</v>
      </c>
      <c r="D1551" s="53" t="s">
        <v>735</v>
      </c>
      <c r="E1551" s="67" t="s">
        <v>3080</v>
      </c>
      <c r="F1551" s="53" t="s">
        <v>49</v>
      </c>
      <c r="H1551" s="77">
        <f>STOCK[[#This Row],[Precio Final]]</f>
        <v>30</v>
      </c>
      <c r="I1551" s="82">
        <f>STOCK[[#This Row],[Precio Venta Ideal (x1.5)]]</f>
        <v>16.5</v>
      </c>
      <c r="J1551" s="71">
        <v>1</v>
      </c>
      <c r="K1551" s="80">
        <f>SUMIFS(VENTAS[Cantidad],VENTAS[Código del producto Vendido],STOCK[[#This Row],[Code]])</f>
        <v>0</v>
      </c>
      <c r="L1551" s="80">
        <f>STOCK[[#This Row],[Entradas]]-STOCK[[#This Row],[Salidas]]</f>
        <v>1</v>
      </c>
      <c r="M1551" s="77">
        <f>STOCK[[#This Row],[Precio Final]]*10%</f>
        <v>3</v>
      </c>
      <c r="N1551" s="54">
        <v>0</v>
      </c>
      <c r="O1551" s="77">
        <v>0</v>
      </c>
      <c r="P1551" s="53">
        <v>8</v>
      </c>
      <c r="Q1551" s="72">
        <v>0</v>
      </c>
      <c r="R1551" s="53">
        <v>0</v>
      </c>
      <c r="S1551" s="54">
        <v>0</v>
      </c>
      <c r="T1551" s="77">
        <f>STOCK[[#This Row],[Costo Unitario (USD)]]+STOCK[[#This Row],[Costo Envío (USD)]]+STOCK[[#This Row],[Comisión 10%]]</f>
        <v>11</v>
      </c>
      <c r="U1551" s="53">
        <f>STOCK[[#This Row],[Costo total]]*1.5</f>
        <v>16.5</v>
      </c>
      <c r="V1551" s="53">
        <v>30</v>
      </c>
      <c r="W1551" s="77">
        <f>STOCK[[#This Row],[Precio Final]]-STOCK[[#This Row],[Costo total]]</f>
        <v>19</v>
      </c>
      <c r="X1551" s="77">
        <f>STOCK[[#This Row],[Ganancia Unitaria]]*STOCK[[#This Row],[Salidas]]</f>
        <v>0</v>
      </c>
      <c r="Y1551" s="77"/>
      <c r="Z1551" s="77"/>
      <c r="AA1551" s="54">
        <f>STOCK[[#This Row],[Costo total]]*STOCK[[#This Row],[Entradas]]</f>
        <v>11</v>
      </c>
      <c r="AB1551" s="54">
        <f>STOCK[[#This Row],[Stock Actual]]*STOCK[[#This Row],[Costo total]]</f>
        <v>11</v>
      </c>
      <c r="AC1551" s="77"/>
      <c r="AD1551" s="84"/>
    </row>
    <row r="1552" s="53" customFormat="1" ht="50" customHeight="1" spans="1:30">
      <c r="A1552" s="53" t="s">
        <v>3081</v>
      </c>
      <c r="B1552" s="71" t="str">
        <f>_xlfn.DISPIMG("ID_6C1C0962176A4D4BB45C4944FB24CA50",1)</f>
        <v>=DISPIMG("ID_6C1C0962176A4D4BB45C4944FB24CA50",1)</v>
      </c>
      <c r="C1552" s="53" t="s">
        <v>32</v>
      </c>
      <c r="D1552" s="53" t="s">
        <v>735</v>
      </c>
      <c r="E1552" s="67" t="s">
        <v>3082</v>
      </c>
      <c r="F1552" s="53" t="s">
        <v>62</v>
      </c>
      <c r="H1552" s="77">
        <f>STOCK[[#This Row],[Precio Final]]</f>
        <v>20</v>
      </c>
      <c r="I1552" s="82">
        <f>STOCK[[#This Row],[Precio Venta Ideal (x1.5)]]</f>
        <v>15</v>
      </c>
      <c r="J1552" s="71">
        <v>1</v>
      </c>
      <c r="K1552" s="80">
        <f>SUMIFS(VENTAS[Cantidad],VENTAS[Código del producto Vendido],STOCK[[#This Row],[Code]])</f>
        <v>0</v>
      </c>
      <c r="L1552" s="80">
        <f>STOCK[[#This Row],[Entradas]]-STOCK[[#This Row],[Salidas]]</f>
        <v>1</v>
      </c>
      <c r="M1552" s="77">
        <f>STOCK[[#This Row],[Precio Final]]*10%</f>
        <v>2</v>
      </c>
      <c r="N1552" s="53">
        <v>0</v>
      </c>
      <c r="O1552" s="77">
        <v>0</v>
      </c>
      <c r="P1552" s="53">
        <v>8</v>
      </c>
      <c r="Q1552" s="71">
        <v>0</v>
      </c>
      <c r="R1552" s="54">
        <v>0</v>
      </c>
      <c r="S1552" s="53">
        <v>0</v>
      </c>
      <c r="T1552" s="77">
        <f>STOCK[[#This Row],[Costo Unitario (USD)]]+STOCK[[#This Row],[Costo Envío (USD)]]+STOCK[[#This Row],[Comisión 10%]]</f>
        <v>10</v>
      </c>
      <c r="U1552" s="53">
        <f>STOCK[[#This Row],[Costo total]]*1.5</f>
        <v>15</v>
      </c>
      <c r="V1552" s="53">
        <v>20</v>
      </c>
      <c r="W1552" s="77">
        <f>STOCK[[#This Row],[Precio Final]]-STOCK[[#This Row],[Costo total]]</f>
        <v>10</v>
      </c>
      <c r="X1552" s="77">
        <f>STOCK[[#This Row],[Ganancia Unitaria]]*STOCK[[#This Row],[Salidas]]</f>
        <v>0</v>
      </c>
      <c r="Y1552" s="77"/>
      <c r="Z1552" s="77"/>
      <c r="AA1552" s="54">
        <f>STOCK[[#This Row],[Costo total]]*STOCK[[#This Row],[Entradas]]</f>
        <v>10</v>
      </c>
      <c r="AB1552" s="54">
        <f>STOCK[[#This Row],[Stock Actual]]*STOCK[[#This Row],[Costo total]]</f>
        <v>10</v>
      </c>
      <c r="AC1552" s="77"/>
      <c r="AD1552" s="84"/>
    </row>
    <row r="1553" s="53" customFormat="1" ht="50" customHeight="1" spans="1:30">
      <c r="A1553" s="53" t="s">
        <v>3083</v>
      </c>
      <c r="B1553" s="71" t="str">
        <f>_xlfn.DISPIMG("ID_983CBCE8D4A04C1791520403A9BA8D8D",1)</f>
        <v>=DISPIMG("ID_983CBCE8D4A04C1791520403A9BA8D8D",1)</v>
      </c>
      <c r="C1553" s="53" t="s">
        <v>32</v>
      </c>
      <c r="D1553" s="53" t="s">
        <v>735</v>
      </c>
      <c r="E1553" s="67" t="s">
        <v>3084</v>
      </c>
      <c r="F1553" s="53" t="s">
        <v>62</v>
      </c>
      <c r="H1553" s="77">
        <f>STOCK[[#This Row],[Precio Final]]</f>
        <v>20</v>
      </c>
      <c r="I1553" s="82">
        <f>STOCK[[#This Row],[Precio Venta Ideal (x1.5)]]</f>
        <v>15</v>
      </c>
      <c r="J1553" s="71">
        <v>1</v>
      </c>
      <c r="K1553" s="80">
        <f>SUMIFS(VENTAS[Cantidad],VENTAS[Código del producto Vendido],STOCK[[#This Row],[Code]])</f>
        <v>0</v>
      </c>
      <c r="L1553" s="80">
        <f>STOCK[[#This Row],[Entradas]]-STOCK[[#This Row],[Salidas]]</f>
        <v>1</v>
      </c>
      <c r="M1553" s="77">
        <f>STOCK[[#This Row],[Precio Final]]*10%</f>
        <v>2</v>
      </c>
      <c r="N1553" s="53">
        <v>0</v>
      </c>
      <c r="O1553" s="77">
        <v>0</v>
      </c>
      <c r="P1553" s="53">
        <v>8</v>
      </c>
      <c r="Q1553" s="71">
        <v>0</v>
      </c>
      <c r="R1553" s="53">
        <v>0</v>
      </c>
      <c r="S1553" s="53">
        <v>0</v>
      </c>
      <c r="T1553" s="77">
        <f>STOCK[[#This Row],[Costo Unitario (USD)]]+STOCK[[#This Row],[Costo Envío (USD)]]+STOCK[[#This Row],[Comisión 10%]]</f>
        <v>10</v>
      </c>
      <c r="U1553" s="53">
        <f>STOCK[[#This Row],[Costo total]]*1.5</f>
        <v>15</v>
      </c>
      <c r="V1553" s="53">
        <v>20</v>
      </c>
      <c r="W1553" s="77">
        <f>STOCK[[#This Row],[Precio Final]]-STOCK[[#This Row],[Costo total]]</f>
        <v>10</v>
      </c>
      <c r="X1553" s="77">
        <f>STOCK[[#This Row],[Ganancia Unitaria]]*STOCK[[#This Row],[Salidas]]</f>
        <v>0</v>
      </c>
      <c r="Y1553" s="77"/>
      <c r="Z1553" s="77"/>
      <c r="AA1553" s="54">
        <f>STOCK[[#This Row],[Costo total]]*STOCK[[#This Row],[Entradas]]</f>
        <v>10</v>
      </c>
      <c r="AB1553" s="54">
        <f>STOCK[[#This Row],[Stock Actual]]*STOCK[[#This Row],[Costo total]]</f>
        <v>10</v>
      </c>
      <c r="AC1553" s="77"/>
      <c r="AD1553" s="84"/>
    </row>
    <row r="1554" s="53" customFormat="1" ht="50" customHeight="1" spans="1:30">
      <c r="A1554" s="53" t="s">
        <v>3085</v>
      </c>
      <c r="B1554" s="71" t="str">
        <f>_xlfn.DISPIMG("ID_A226EDE5909E4F87B1E614E6A87D6A8A",1)</f>
        <v>=DISPIMG("ID_A226EDE5909E4F87B1E614E6A87D6A8A",1)</v>
      </c>
      <c r="C1554" s="53" t="s">
        <v>32</v>
      </c>
      <c r="D1554" s="53" t="s">
        <v>735</v>
      </c>
      <c r="E1554" s="67" t="s">
        <v>3086</v>
      </c>
      <c r="F1554" s="53" t="s">
        <v>49</v>
      </c>
      <c r="H1554" s="77">
        <f>STOCK[[#This Row],[Precio Final]]</f>
        <v>25</v>
      </c>
      <c r="I1554" s="82">
        <f>STOCK[[#This Row],[Precio Venta Ideal (x1.5)]]</f>
        <v>15.75</v>
      </c>
      <c r="J1554" s="71">
        <v>1</v>
      </c>
      <c r="K1554" s="80">
        <f>SUMIFS(VENTAS[Cantidad],VENTAS[Código del producto Vendido],STOCK[[#This Row],[Code]])</f>
        <v>0</v>
      </c>
      <c r="L1554" s="80">
        <f>STOCK[[#This Row],[Entradas]]-STOCK[[#This Row],[Salidas]]</f>
        <v>1</v>
      </c>
      <c r="M1554" s="77">
        <f>STOCK[[#This Row],[Precio Final]]*10%</f>
        <v>2.5</v>
      </c>
      <c r="N1554" s="54">
        <v>0</v>
      </c>
      <c r="O1554" s="77">
        <v>0</v>
      </c>
      <c r="P1554" s="53">
        <v>8</v>
      </c>
      <c r="Q1554" s="71">
        <v>0</v>
      </c>
      <c r="R1554" s="54">
        <v>0</v>
      </c>
      <c r="S1554" s="54">
        <v>0</v>
      </c>
      <c r="T1554" s="77">
        <f>STOCK[[#This Row],[Costo Unitario (USD)]]+STOCK[[#This Row],[Costo Envío (USD)]]+STOCK[[#This Row],[Comisión 10%]]</f>
        <v>10.5</v>
      </c>
      <c r="U1554" s="53">
        <f>STOCK[[#This Row],[Costo total]]*1.5</f>
        <v>15.75</v>
      </c>
      <c r="V1554" s="53">
        <v>25</v>
      </c>
      <c r="W1554" s="77">
        <f>STOCK[[#This Row],[Precio Final]]-STOCK[[#This Row],[Costo total]]</f>
        <v>14.5</v>
      </c>
      <c r="X1554" s="77">
        <f>STOCK[[#This Row],[Ganancia Unitaria]]*STOCK[[#This Row],[Salidas]]</f>
        <v>0</v>
      </c>
      <c r="Y1554" s="77"/>
      <c r="Z1554" s="77"/>
      <c r="AA1554" s="54">
        <f>STOCK[[#This Row],[Costo total]]*STOCK[[#This Row],[Entradas]]</f>
        <v>10.5</v>
      </c>
      <c r="AB1554" s="54">
        <f>STOCK[[#This Row],[Stock Actual]]*STOCK[[#This Row],[Costo total]]</f>
        <v>10.5</v>
      </c>
      <c r="AC1554" s="77"/>
      <c r="AD1554" s="84"/>
    </row>
    <row r="1555" s="53" customFormat="1" ht="50" customHeight="1" spans="1:30">
      <c r="A1555" s="53" t="s">
        <v>3087</v>
      </c>
      <c r="B1555" s="71" t="str">
        <f>_xlfn.DISPIMG("ID_EED211429BA64BACA72B7F2FF9873304",1)</f>
        <v>=DISPIMG("ID_EED211429BA64BACA72B7F2FF9873304",1)</v>
      </c>
      <c r="C1555" s="53" t="s">
        <v>32</v>
      </c>
      <c r="D1555" s="53" t="s">
        <v>780</v>
      </c>
      <c r="E1555" s="67" t="s">
        <v>3088</v>
      </c>
      <c r="F1555" s="53" t="s">
        <v>46</v>
      </c>
      <c r="H1555" s="77">
        <f>STOCK[[#This Row],[Precio Final]]</f>
        <v>22</v>
      </c>
      <c r="I1555" s="82">
        <f>STOCK[[#This Row],[Precio Venta Ideal (x1.5)]]</f>
        <v>15.3</v>
      </c>
      <c r="J1555" s="71">
        <v>1</v>
      </c>
      <c r="K1555" s="80">
        <f>SUMIFS(VENTAS[Cantidad],VENTAS[Código del producto Vendido],STOCK[[#This Row],[Code]])</f>
        <v>0</v>
      </c>
      <c r="L1555" s="80">
        <f>STOCK[[#This Row],[Entradas]]-STOCK[[#This Row],[Salidas]]</f>
        <v>1</v>
      </c>
      <c r="M1555" s="77">
        <f>STOCK[[#This Row],[Precio Final]]*10%</f>
        <v>2.2</v>
      </c>
      <c r="N1555" s="53">
        <v>0</v>
      </c>
      <c r="O1555" s="77">
        <v>0</v>
      </c>
      <c r="P1555" s="53">
        <v>8</v>
      </c>
      <c r="Q1555" s="72">
        <v>0</v>
      </c>
      <c r="R1555" s="53">
        <v>0</v>
      </c>
      <c r="S1555" s="54">
        <v>0</v>
      </c>
      <c r="T1555" s="77">
        <f>STOCK[[#This Row],[Costo Unitario (USD)]]+STOCK[[#This Row],[Costo Envío (USD)]]+STOCK[[#This Row],[Comisión 10%]]</f>
        <v>10.2</v>
      </c>
      <c r="U1555" s="53">
        <f>STOCK[[#This Row],[Costo total]]*1.5</f>
        <v>15.3</v>
      </c>
      <c r="V1555" s="53">
        <v>22</v>
      </c>
      <c r="W1555" s="77">
        <f>STOCK[[#This Row],[Precio Final]]-STOCK[[#This Row],[Costo total]]</f>
        <v>11.8</v>
      </c>
      <c r="X1555" s="77">
        <f>STOCK[[#This Row],[Ganancia Unitaria]]*STOCK[[#This Row],[Salidas]]</f>
        <v>0</v>
      </c>
      <c r="Y1555" s="77"/>
      <c r="Z1555" s="77"/>
      <c r="AA1555" s="54">
        <f>STOCK[[#This Row],[Costo total]]*STOCK[[#This Row],[Entradas]]</f>
        <v>10.2</v>
      </c>
      <c r="AB1555" s="54">
        <f>STOCK[[#This Row],[Stock Actual]]*STOCK[[#This Row],[Costo total]]</f>
        <v>10.2</v>
      </c>
      <c r="AC1555" s="77"/>
      <c r="AD1555" s="84"/>
    </row>
    <row r="1556" s="53" customFormat="1" ht="50" customHeight="1" spans="1:30">
      <c r="A1556" s="53" t="s">
        <v>3089</v>
      </c>
      <c r="B1556" s="71" t="str">
        <f>_xlfn.DISPIMG("ID_D60116D6E0C0406A8C0F939D86334CF9",1)</f>
        <v>=DISPIMG("ID_D60116D6E0C0406A8C0F939D86334CF9",1)</v>
      </c>
      <c r="C1556" s="53" t="s">
        <v>32</v>
      </c>
      <c r="D1556" s="53" t="s">
        <v>780</v>
      </c>
      <c r="E1556" s="67" t="s">
        <v>3090</v>
      </c>
      <c r="F1556" s="53" t="s">
        <v>46</v>
      </c>
      <c r="H1556" s="77">
        <f>STOCK[[#This Row],[Precio Final]]</f>
        <v>22</v>
      </c>
      <c r="I1556" s="82">
        <f>STOCK[[#This Row],[Precio Venta Ideal (x1.5)]]</f>
        <v>15.3</v>
      </c>
      <c r="J1556" s="71">
        <v>1</v>
      </c>
      <c r="K1556" s="80">
        <f>SUMIFS(VENTAS[Cantidad],VENTAS[Código del producto Vendido],STOCK[[#This Row],[Code]])</f>
        <v>1</v>
      </c>
      <c r="L1556" s="80">
        <f>STOCK[[#This Row],[Entradas]]-STOCK[[#This Row],[Salidas]]</f>
        <v>0</v>
      </c>
      <c r="M1556" s="77">
        <f>STOCK[[#This Row],[Precio Final]]*10%</f>
        <v>2.2</v>
      </c>
      <c r="N1556" s="54">
        <v>0</v>
      </c>
      <c r="O1556" s="77">
        <v>0</v>
      </c>
      <c r="P1556" s="53">
        <v>8</v>
      </c>
      <c r="Q1556" s="71">
        <v>0</v>
      </c>
      <c r="R1556" s="54">
        <v>0</v>
      </c>
      <c r="S1556" s="53">
        <v>0</v>
      </c>
      <c r="T1556" s="77">
        <f>STOCK[[#This Row],[Costo Unitario (USD)]]+STOCK[[#This Row],[Costo Envío (USD)]]+STOCK[[#This Row],[Comisión 10%]]</f>
        <v>10.2</v>
      </c>
      <c r="U1556" s="53">
        <f>STOCK[[#This Row],[Costo total]]*1.5</f>
        <v>15.3</v>
      </c>
      <c r="V1556" s="53">
        <v>22</v>
      </c>
      <c r="W1556" s="77">
        <f>STOCK[[#This Row],[Precio Final]]-STOCK[[#This Row],[Costo total]]</f>
        <v>11.8</v>
      </c>
      <c r="X1556" s="77">
        <f>STOCK[[#This Row],[Ganancia Unitaria]]*STOCK[[#This Row],[Salidas]]</f>
        <v>11.8</v>
      </c>
      <c r="Y1556" s="77"/>
      <c r="Z1556" s="77"/>
      <c r="AA1556" s="54">
        <f>STOCK[[#This Row],[Costo total]]*STOCK[[#This Row],[Entradas]]</f>
        <v>10.2</v>
      </c>
      <c r="AB1556" s="54">
        <f>STOCK[[#This Row],[Stock Actual]]*STOCK[[#This Row],[Costo total]]</f>
        <v>0</v>
      </c>
      <c r="AC1556" s="77"/>
      <c r="AD1556" s="84"/>
    </row>
    <row r="1557" s="53" customFormat="1" ht="50" customHeight="1" spans="1:30">
      <c r="A1557" s="53" t="s">
        <v>3091</v>
      </c>
      <c r="B1557" s="71" t="str">
        <f>_xlfn.DISPIMG("ID_611E317D4601404D973F1AA71F19BB1B",1)</f>
        <v>=DISPIMG("ID_611E317D4601404D973F1AA71F19BB1B",1)</v>
      </c>
      <c r="C1557" s="53" t="s">
        <v>32</v>
      </c>
      <c r="D1557" s="53" t="s">
        <v>780</v>
      </c>
      <c r="E1557" s="67" t="s">
        <v>3090</v>
      </c>
      <c r="F1557" s="53" t="s">
        <v>42</v>
      </c>
      <c r="H1557" s="77">
        <f>STOCK[[#This Row],[Precio Final]]</f>
        <v>22</v>
      </c>
      <c r="I1557" s="82">
        <f>STOCK[[#This Row],[Precio Venta Ideal (x1.5)]]</f>
        <v>15.3</v>
      </c>
      <c r="J1557" s="71">
        <v>1</v>
      </c>
      <c r="K1557" s="80">
        <f>SUMIFS(VENTAS[Cantidad],VENTAS[Código del producto Vendido],STOCK[[#This Row],[Code]])</f>
        <v>0</v>
      </c>
      <c r="L1557" s="80">
        <f>STOCK[[#This Row],[Entradas]]-STOCK[[#This Row],[Salidas]]</f>
        <v>1</v>
      </c>
      <c r="M1557" s="77">
        <f>STOCK[[#This Row],[Precio Final]]*10%</f>
        <v>2.2</v>
      </c>
      <c r="N1557" s="54">
        <v>0</v>
      </c>
      <c r="O1557" s="77">
        <v>0</v>
      </c>
      <c r="P1557" s="53">
        <v>8</v>
      </c>
      <c r="Q1557" s="71">
        <v>0</v>
      </c>
      <c r="R1557" s="53">
        <v>0</v>
      </c>
      <c r="S1557" s="54">
        <v>0</v>
      </c>
      <c r="T1557" s="77">
        <f>STOCK[[#This Row],[Costo Unitario (USD)]]+STOCK[[#This Row],[Costo Envío (USD)]]+STOCK[[#This Row],[Comisión 10%]]</f>
        <v>10.2</v>
      </c>
      <c r="U1557" s="53">
        <f>STOCK[[#This Row],[Costo total]]*1.5</f>
        <v>15.3</v>
      </c>
      <c r="V1557" s="53">
        <v>22</v>
      </c>
      <c r="W1557" s="77">
        <f>STOCK[[#This Row],[Precio Final]]-STOCK[[#This Row],[Costo total]]</f>
        <v>11.8</v>
      </c>
      <c r="X1557" s="77">
        <f>STOCK[[#This Row],[Ganancia Unitaria]]*STOCK[[#This Row],[Salidas]]</f>
        <v>0</v>
      </c>
      <c r="Y1557" s="77"/>
      <c r="Z1557" s="77"/>
      <c r="AA1557" s="54">
        <f>STOCK[[#This Row],[Costo total]]*STOCK[[#This Row],[Entradas]]</f>
        <v>10.2</v>
      </c>
      <c r="AB1557" s="54">
        <f>STOCK[[#This Row],[Stock Actual]]*STOCK[[#This Row],[Costo total]]</f>
        <v>10.2</v>
      </c>
      <c r="AC1557" s="77"/>
      <c r="AD1557" s="84"/>
    </row>
    <row r="1558" s="53" customFormat="1" ht="50" customHeight="1" spans="1:30">
      <c r="A1558" s="53" t="s">
        <v>3092</v>
      </c>
      <c r="B1558" s="71" t="str">
        <f>_xlfn.DISPIMG("ID_2F46D2B8CA1649B9AE80B0FC68C14A3A",1)</f>
        <v>=DISPIMG("ID_2F46D2B8CA1649B9AE80B0FC68C14A3A",1)</v>
      </c>
      <c r="C1558" s="53" t="s">
        <v>32</v>
      </c>
      <c r="D1558" s="53" t="s">
        <v>780</v>
      </c>
      <c r="E1558" s="67" t="s">
        <v>3093</v>
      </c>
      <c r="F1558" s="53" t="s">
        <v>49</v>
      </c>
      <c r="H1558" s="77">
        <f>STOCK[[#This Row],[Precio Final]]</f>
        <v>22</v>
      </c>
      <c r="I1558" s="82">
        <f>STOCK[[#This Row],[Precio Venta Ideal (x1.5)]]</f>
        <v>15.3</v>
      </c>
      <c r="J1558" s="71">
        <v>1</v>
      </c>
      <c r="K1558" s="80">
        <f>SUMIFS(VENTAS[Cantidad],VENTAS[Código del producto Vendido],STOCK[[#This Row],[Code]])</f>
        <v>0</v>
      </c>
      <c r="L1558" s="80">
        <f>STOCK[[#This Row],[Entradas]]-STOCK[[#This Row],[Salidas]]</f>
        <v>1</v>
      </c>
      <c r="M1558" s="77">
        <f>STOCK[[#This Row],[Precio Final]]*10%</f>
        <v>2.2</v>
      </c>
      <c r="N1558" s="53">
        <v>0</v>
      </c>
      <c r="O1558" s="77">
        <v>0</v>
      </c>
      <c r="P1558" s="53">
        <v>8</v>
      </c>
      <c r="Q1558" s="72">
        <v>0</v>
      </c>
      <c r="R1558" s="54">
        <v>0</v>
      </c>
      <c r="S1558" s="54">
        <v>0</v>
      </c>
      <c r="T1558" s="77">
        <f>STOCK[[#This Row],[Costo Unitario (USD)]]+STOCK[[#This Row],[Costo Envío (USD)]]+STOCK[[#This Row],[Comisión 10%]]</f>
        <v>10.2</v>
      </c>
      <c r="U1558" s="53">
        <f>STOCK[[#This Row],[Costo total]]*1.5</f>
        <v>15.3</v>
      </c>
      <c r="V1558" s="53">
        <v>22</v>
      </c>
      <c r="W1558" s="77">
        <f>STOCK[[#This Row],[Precio Final]]-STOCK[[#This Row],[Costo total]]</f>
        <v>11.8</v>
      </c>
      <c r="X1558" s="77">
        <f>STOCK[[#This Row],[Ganancia Unitaria]]*STOCK[[#This Row],[Salidas]]</f>
        <v>0</v>
      </c>
      <c r="Y1558" s="77"/>
      <c r="Z1558" s="77"/>
      <c r="AA1558" s="54">
        <f>STOCK[[#This Row],[Costo total]]*STOCK[[#This Row],[Entradas]]</f>
        <v>10.2</v>
      </c>
      <c r="AB1558" s="54">
        <f>STOCK[[#This Row],[Stock Actual]]*STOCK[[#This Row],[Costo total]]</f>
        <v>10.2</v>
      </c>
      <c r="AC1558" s="77"/>
      <c r="AD1558" s="84"/>
    </row>
    <row r="1559" s="53" customFormat="1" ht="50" customHeight="1" spans="1:30">
      <c r="A1559" s="53" t="s">
        <v>3094</v>
      </c>
      <c r="B1559" s="71" t="str">
        <f>_xlfn.DISPIMG("ID_FBD24FC94EB94F35BE3094CDBAF42CDD",1)</f>
        <v>=DISPIMG("ID_FBD24FC94EB94F35BE3094CDBAF42CDD",1)</v>
      </c>
      <c r="C1559" s="53" t="s">
        <v>32</v>
      </c>
      <c r="D1559" s="53" t="s">
        <v>780</v>
      </c>
      <c r="E1559" s="67" t="s">
        <v>3095</v>
      </c>
      <c r="F1559" s="53" t="s">
        <v>46</v>
      </c>
      <c r="H1559" s="77">
        <f>STOCK[[#This Row],[Precio Final]]</f>
        <v>22</v>
      </c>
      <c r="I1559" s="82">
        <f>STOCK[[#This Row],[Precio Venta Ideal (x1.5)]]</f>
        <v>15.3</v>
      </c>
      <c r="J1559" s="71">
        <v>1</v>
      </c>
      <c r="K1559" s="80">
        <f>SUMIFS(VENTAS[Cantidad],VENTAS[Código del producto Vendido],STOCK[[#This Row],[Code]])</f>
        <v>0</v>
      </c>
      <c r="L1559" s="80">
        <f>STOCK[[#This Row],[Entradas]]-STOCK[[#This Row],[Salidas]]</f>
        <v>1</v>
      </c>
      <c r="M1559" s="77">
        <f>STOCK[[#This Row],[Precio Final]]*10%</f>
        <v>2.2</v>
      </c>
      <c r="N1559" s="54">
        <v>0</v>
      </c>
      <c r="O1559" s="77">
        <v>0</v>
      </c>
      <c r="P1559" s="53">
        <v>8</v>
      </c>
      <c r="Q1559" s="71">
        <v>0</v>
      </c>
      <c r="R1559" s="53">
        <v>0</v>
      </c>
      <c r="S1559" s="53">
        <v>0</v>
      </c>
      <c r="T1559" s="77">
        <f>STOCK[[#This Row],[Costo Unitario (USD)]]+STOCK[[#This Row],[Costo Envío (USD)]]+STOCK[[#This Row],[Comisión 10%]]</f>
        <v>10.2</v>
      </c>
      <c r="U1559" s="53">
        <f>STOCK[[#This Row],[Costo total]]*1.5</f>
        <v>15.3</v>
      </c>
      <c r="V1559" s="53">
        <v>22</v>
      </c>
      <c r="W1559" s="77">
        <f>STOCK[[#This Row],[Precio Final]]-STOCK[[#This Row],[Costo total]]</f>
        <v>11.8</v>
      </c>
      <c r="X1559" s="77">
        <f>STOCK[[#This Row],[Ganancia Unitaria]]*STOCK[[#This Row],[Salidas]]</f>
        <v>0</v>
      </c>
      <c r="Y1559" s="77"/>
      <c r="Z1559" s="77"/>
      <c r="AA1559" s="54">
        <f>STOCK[[#This Row],[Costo total]]*STOCK[[#This Row],[Entradas]]</f>
        <v>10.2</v>
      </c>
      <c r="AB1559" s="54">
        <f>STOCK[[#This Row],[Stock Actual]]*STOCK[[#This Row],[Costo total]]</f>
        <v>10.2</v>
      </c>
      <c r="AC1559" s="77"/>
      <c r="AD1559" s="84"/>
    </row>
    <row r="1560" s="53" customFormat="1" ht="50" customHeight="1" spans="1:30">
      <c r="A1560" s="53" t="s">
        <v>3096</v>
      </c>
      <c r="B1560" s="71" t="str">
        <f>_xlfn.DISPIMG("ID_07AD7DA15D69462BADBED3B2588A0DA3",1)</f>
        <v>=DISPIMG("ID_07AD7DA15D69462BADBED3B2588A0DA3",1)</v>
      </c>
      <c r="C1560" s="53" t="s">
        <v>32</v>
      </c>
      <c r="D1560" s="53" t="s">
        <v>780</v>
      </c>
      <c r="E1560" s="67" t="s">
        <v>3097</v>
      </c>
      <c r="F1560" s="53" t="s">
        <v>49</v>
      </c>
      <c r="H1560" s="77">
        <f>STOCK[[#This Row],[Precio Final]]</f>
        <v>22</v>
      </c>
      <c r="I1560" s="82">
        <f>STOCK[[#This Row],[Precio Venta Ideal (x1.5)]]</f>
        <v>15.3</v>
      </c>
      <c r="J1560" s="71">
        <v>1</v>
      </c>
      <c r="K1560" s="80">
        <f>SUMIFS(VENTAS[Cantidad],VENTAS[Código del producto Vendido],STOCK[[#This Row],[Code]])</f>
        <v>0</v>
      </c>
      <c r="L1560" s="80">
        <f>STOCK[[#This Row],[Entradas]]-STOCK[[#This Row],[Salidas]]</f>
        <v>1</v>
      </c>
      <c r="M1560" s="77">
        <f>STOCK[[#This Row],[Precio Final]]*10%</f>
        <v>2.2</v>
      </c>
      <c r="N1560" s="53">
        <v>0</v>
      </c>
      <c r="O1560" s="77">
        <v>0</v>
      </c>
      <c r="P1560" s="53">
        <v>8</v>
      </c>
      <c r="Q1560" s="71">
        <v>0</v>
      </c>
      <c r="R1560" s="53">
        <v>0</v>
      </c>
      <c r="S1560" s="53">
        <v>0</v>
      </c>
      <c r="T1560" s="77">
        <f>STOCK[[#This Row],[Costo Unitario (USD)]]+STOCK[[#This Row],[Costo Envío (USD)]]+STOCK[[#This Row],[Comisión 10%]]</f>
        <v>10.2</v>
      </c>
      <c r="U1560" s="53">
        <f>STOCK[[#This Row],[Costo total]]*1.5</f>
        <v>15.3</v>
      </c>
      <c r="V1560" s="53">
        <v>22</v>
      </c>
      <c r="W1560" s="77">
        <f>STOCK[[#This Row],[Precio Final]]-STOCK[[#This Row],[Costo total]]</f>
        <v>11.8</v>
      </c>
      <c r="X1560" s="77">
        <f>STOCK[[#This Row],[Ganancia Unitaria]]*STOCK[[#This Row],[Salidas]]</f>
        <v>0</v>
      </c>
      <c r="Y1560" s="77"/>
      <c r="Z1560" s="77"/>
      <c r="AA1560" s="54">
        <f>STOCK[[#This Row],[Costo total]]*STOCK[[#This Row],[Entradas]]</f>
        <v>10.2</v>
      </c>
      <c r="AB1560" s="54">
        <f>STOCK[[#This Row],[Stock Actual]]*STOCK[[#This Row],[Costo total]]</f>
        <v>10.2</v>
      </c>
      <c r="AC1560" s="77"/>
      <c r="AD1560" s="84"/>
    </row>
    <row r="1561" s="53" customFormat="1" ht="50" customHeight="1" spans="1:30">
      <c r="A1561" s="53" t="s">
        <v>3098</v>
      </c>
      <c r="C1561" s="53" t="s">
        <v>32</v>
      </c>
      <c r="D1561" s="53" t="s">
        <v>780</v>
      </c>
      <c r="E1561" s="67" t="s">
        <v>3099</v>
      </c>
      <c r="F1561" s="53" t="s">
        <v>62</v>
      </c>
      <c r="H1561" s="77">
        <f>STOCK[[#This Row],[Precio Final]]</f>
        <v>15</v>
      </c>
      <c r="I1561" s="82">
        <f>STOCK[[#This Row],[Precio Venta Ideal (x1.5)]]</f>
        <v>14.25</v>
      </c>
      <c r="J1561" s="71">
        <v>1</v>
      </c>
      <c r="K1561" s="80">
        <f>SUMIFS(VENTAS[Cantidad],VENTAS[Código del producto Vendido],STOCK[[#This Row],[Code]])</f>
        <v>1</v>
      </c>
      <c r="L1561" s="80">
        <f>STOCK[[#This Row],[Entradas]]-STOCK[[#This Row],[Salidas]]</f>
        <v>0</v>
      </c>
      <c r="M1561" s="77">
        <f>STOCK[[#This Row],[Precio Final]]*10%</f>
        <v>1.5</v>
      </c>
      <c r="N1561" s="53">
        <v>0</v>
      </c>
      <c r="O1561" s="77">
        <v>0</v>
      </c>
      <c r="P1561" s="53">
        <v>8</v>
      </c>
      <c r="Q1561" s="71">
        <v>0</v>
      </c>
      <c r="R1561" s="54">
        <v>0</v>
      </c>
      <c r="S1561" s="54">
        <v>0</v>
      </c>
      <c r="T1561" s="77">
        <f>STOCK[[#This Row],[Costo Unitario (USD)]]+STOCK[[#This Row],[Costo Envío (USD)]]+STOCK[[#This Row],[Comisión 10%]]</f>
        <v>9.5</v>
      </c>
      <c r="U1561" s="53">
        <f>STOCK[[#This Row],[Costo total]]*1.5</f>
        <v>14.25</v>
      </c>
      <c r="V1561" s="53">
        <v>15</v>
      </c>
      <c r="W1561" s="77">
        <f>STOCK[[#This Row],[Precio Final]]-STOCK[[#This Row],[Costo total]]</f>
        <v>5.5</v>
      </c>
      <c r="X1561" s="77">
        <f>STOCK[[#This Row],[Ganancia Unitaria]]*STOCK[[#This Row],[Salidas]]</f>
        <v>5.5</v>
      </c>
      <c r="Y1561" s="77"/>
      <c r="Z1561" s="77"/>
      <c r="AA1561" s="54">
        <f>STOCK[[#This Row],[Costo total]]*STOCK[[#This Row],[Entradas]]</f>
        <v>9.5</v>
      </c>
      <c r="AB1561" s="54">
        <f>STOCK[[#This Row],[Stock Actual]]*STOCK[[#This Row],[Costo total]]</f>
        <v>0</v>
      </c>
      <c r="AC1561" s="77"/>
      <c r="AD1561" s="84"/>
    </row>
    <row r="1562" s="53" customFormat="1" ht="50" customHeight="1" spans="1:30">
      <c r="A1562" s="53" t="s">
        <v>3100</v>
      </c>
      <c r="C1562" s="53" t="s">
        <v>32</v>
      </c>
      <c r="D1562" s="53" t="s">
        <v>3101</v>
      </c>
      <c r="E1562" s="67" t="s">
        <v>3102</v>
      </c>
      <c r="F1562" s="53" t="s">
        <v>49</v>
      </c>
      <c r="H1562" s="77">
        <f>STOCK[[#This Row],[Precio Final]]</f>
        <v>12</v>
      </c>
      <c r="I1562" s="82">
        <f>STOCK[[#This Row],[Precio Venta Ideal (x1.5)]]</f>
        <v>13.8</v>
      </c>
      <c r="J1562" s="71">
        <v>3</v>
      </c>
      <c r="K1562" s="80">
        <f>SUMIFS(VENTAS[Cantidad],VENTAS[Código del producto Vendido],STOCK[[#This Row],[Code]])</f>
        <v>0</v>
      </c>
      <c r="L1562" s="80">
        <f>STOCK[[#This Row],[Entradas]]-STOCK[[#This Row],[Salidas]]</f>
        <v>3</v>
      </c>
      <c r="M1562" s="77">
        <f>STOCK[[#This Row],[Precio Final]]*10%</f>
        <v>1.2</v>
      </c>
      <c r="N1562" s="54">
        <v>0</v>
      </c>
      <c r="O1562" s="77">
        <v>0</v>
      </c>
      <c r="P1562" s="53">
        <v>8</v>
      </c>
      <c r="Q1562" s="72">
        <v>0</v>
      </c>
      <c r="R1562" s="53">
        <v>0</v>
      </c>
      <c r="S1562" s="54">
        <v>0</v>
      </c>
      <c r="T1562" s="77">
        <f>STOCK[[#This Row],[Costo Unitario (USD)]]+STOCK[[#This Row],[Costo Envío (USD)]]+STOCK[[#This Row],[Comisión 10%]]</f>
        <v>9.2</v>
      </c>
      <c r="U1562" s="53">
        <f>STOCK[[#This Row],[Costo total]]*1.5</f>
        <v>13.8</v>
      </c>
      <c r="V1562" s="53">
        <v>12</v>
      </c>
      <c r="W1562" s="77">
        <f>STOCK[[#This Row],[Precio Final]]-STOCK[[#This Row],[Costo total]]</f>
        <v>2.8</v>
      </c>
      <c r="X1562" s="77">
        <f>STOCK[[#This Row],[Ganancia Unitaria]]*STOCK[[#This Row],[Salidas]]</f>
        <v>0</v>
      </c>
      <c r="Y1562" s="77"/>
      <c r="Z1562" s="77"/>
      <c r="AA1562" s="54">
        <f>STOCK[[#This Row],[Costo total]]*STOCK[[#This Row],[Entradas]]</f>
        <v>27.6</v>
      </c>
      <c r="AB1562" s="54">
        <f>STOCK[[#This Row],[Stock Actual]]*STOCK[[#This Row],[Costo total]]</f>
        <v>27.6</v>
      </c>
      <c r="AC1562" s="77"/>
      <c r="AD1562" s="84"/>
    </row>
    <row r="1563" s="53" customFormat="1" ht="50" customHeight="1" spans="1:30">
      <c r="A1563" s="53" t="s">
        <v>3103</v>
      </c>
      <c r="C1563" s="53" t="s">
        <v>32</v>
      </c>
      <c r="D1563" s="53" t="s">
        <v>3101</v>
      </c>
      <c r="E1563" s="67" t="s">
        <v>3104</v>
      </c>
      <c r="F1563" s="53" t="s">
        <v>62</v>
      </c>
      <c r="H1563" s="77">
        <f>STOCK[[#This Row],[Precio Final]]</f>
        <v>12</v>
      </c>
      <c r="I1563" s="82">
        <f>STOCK[[#This Row],[Precio Venta Ideal (x1.5)]]</f>
        <v>13.8</v>
      </c>
      <c r="J1563" s="71">
        <v>0</v>
      </c>
      <c r="K1563" s="80">
        <f>SUMIFS(VENTAS[Cantidad],VENTAS[Código del producto Vendido],STOCK[[#This Row],[Code]])</f>
        <v>0</v>
      </c>
      <c r="L1563" s="80">
        <f>STOCK[[#This Row],[Entradas]]-STOCK[[#This Row],[Salidas]]</f>
        <v>0</v>
      </c>
      <c r="M1563" s="77">
        <f>STOCK[[#This Row],[Precio Final]]*10%</f>
        <v>1.2</v>
      </c>
      <c r="N1563" s="54">
        <v>0</v>
      </c>
      <c r="O1563" s="77">
        <v>0</v>
      </c>
      <c r="P1563" s="53">
        <v>8</v>
      </c>
      <c r="Q1563" s="71">
        <v>0</v>
      </c>
      <c r="R1563" s="54">
        <v>0</v>
      </c>
      <c r="S1563" s="53">
        <v>0</v>
      </c>
      <c r="T1563" s="77">
        <f>STOCK[[#This Row],[Costo Unitario (USD)]]+STOCK[[#This Row],[Costo Envío (USD)]]+STOCK[[#This Row],[Comisión 10%]]</f>
        <v>9.2</v>
      </c>
      <c r="U1563" s="53">
        <f>STOCK[[#This Row],[Costo total]]*1.5</f>
        <v>13.8</v>
      </c>
      <c r="V1563" s="53">
        <v>12</v>
      </c>
      <c r="W1563" s="77">
        <f>STOCK[[#This Row],[Precio Final]]-STOCK[[#This Row],[Costo total]]</f>
        <v>2.8</v>
      </c>
      <c r="X1563" s="77">
        <f>STOCK[[#This Row],[Ganancia Unitaria]]*STOCK[[#This Row],[Salidas]]</f>
        <v>0</v>
      </c>
      <c r="Y1563" s="77"/>
      <c r="Z1563" s="77"/>
      <c r="AA1563" s="54">
        <f>STOCK[[#This Row],[Costo total]]*STOCK[[#This Row],[Entradas]]</f>
        <v>0</v>
      </c>
      <c r="AB1563" s="54">
        <f>STOCK[[#This Row],[Stock Actual]]*STOCK[[#This Row],[Costo total]]</f>
        <v>0</v>
      </c>
      <c r="AC1563" s="77"/>
      <c r="AD1563" s="84"/>
    </row>
    <row r="1564" s="53" customFormat="1" ht="50" customHeight="1" spans="1:30">
      <c r="A1564" s="53" t="s">
        <v>3105</v>
      </c>
      <c r="C1564" s="53" t="s">
        <v>32</v>
      </c>
      <c r="D1564" s="53" t="s">
        <v>780</v>
      </c>
      <c r="E1564" s="67" t="s">
        <v>3106</v>
      </c>
      <c r="F1564" s="53" t="s">
        <v>42</v>
      </c>
      <c r="H1564" s="77">
        <f>STOCK[[#This Row],[Precio Final]]</f>
        <v>15</v>
      </c>
      <c r="I1564" s="82">
        <f>STOCK[[#This Row],[Precio Venta Ideal (x1.5)]]</f>
        <v>14.25</v>
      </c>
      <c r="J1564" s="71">
        <v>1</v>
      </c>
      <c r="K1564" s="80">
        <f>SUMIFS(VENTAS[Cantidad],VENTAS[Código del producto Vendido],STOCK[[#This Row],[Code]])</f>
        <v>1</v>
      </c>
      <c r="L1564" s="80">
        <f>STOCK[[#This Row],[Entradas]]-STOCK[[#This Row],[Salidas]]</f>
        <v>0</v>
      </c>
      <c r="M1564" s="77">
        <f>STOCK[[#This Row],[Precio Final]]*10%</f>
        <v>1.5</v>
      </c>
      <c r="N1564" s="53">
        <v>0</v>
      </c>
      <c r="O1564" s="77">
        <v>0</v>
      </c>
      <c r="P1564" s="53">
        <v>8</v>
      </c>
      <c r="Q1564" s="71">
        <v>0</v>
      </c>
      <c r="R1564" s="53">
        <v>0</v>
      </c>
      <c r="S1564" s="54">
        <v>0</v>
      </c>
      <c r="T1564" s="77">
        <f>STOCK[[#This Row],[Costo Unitario (USD)]]+STOCK[[#This Row],[Costo Envío (USD)]]+STOCK[[#This Row],[Comisión 10%]]</f>
        <v>9.5</v>
      </c>
      <c r="U1564" s="53">
        <f>STOCK[[#This Row],[Costo total]]*1.5</f>
        <v>14.25</v>
      </c>
      <c r="V1564" s="53">
        <v>15</v>
      </c>
      <c r="W1564" s="77">
        <f>STOCK[[#This Row],[Precio Final]]-STOCK[[#This Row],[Costo total]]</f>
        <v>5.5</v>
      </c>
      <c r="X1564" s="77">
        <f>STOCK[[#This Row],[Ganancia Unitaria]]*STOCK[[#This Row],[Salidas]]</f>
        <v>5.5</v>
      </c>
      <c r="Y1564" s="77"/>
      <c r="Z1564" s="77"/>
      <c r="AA1564" s="54">
        <f>STOCK[[#This Row],[Costo total]]*STOCK[[#This Row],[Entradas]]</f>
        <v>9.5</v>
      </c>
      <c r="AB1564" s="54">
        <f>STOCK[[#This Row],[Stock Actual]]*STOCK[[#This Row],[Costo total]]</f>
        <v>0</v>
      </c>
      <c r="AC1564" s="77"/>
      <c r="AD1564" s="84"/>
    </row>
    <row r="1565" s="53" customFormat="1" ht="50" customHeight="1" spans="1:30">
      <c r="A1565" s="53" t="s">
        <v>3107</v>
      </c>
      <c r="C1565" s="53" t="s">
        <v>32</v>
      </c>
      <c r="D1565" s="53" t="s">
        <v>780</v>
      </c>
      <c r="E1565" s="67" t="s">
        <v>3108</v>
      </c>
      <c r="F1565" s="53" t="s">
        <v>62</v>
      </c>
      <c r="H1565" s="77">
        <f>STOCK[[#This Row],[Precio Final]]</f>
        <v>15</v>
      </c>
      <c r="I1565" s="82">
        <f>STOCK[[#This Row],[Precio Venta Ideal (x1.5)]]</f>
        <v>14.25</v>
      </c>
      <c r="J1565" s="71">
        <v>1</v>
      </c>
      <c r="K1565" s="80">
        <f>SUMIFS(VENTAS[Cantidad],VENTAS[Código del producto Vendido],STOCK[[#This Row],[Code]])</f>
        <v>0</v>
      </c>
      <c r="L1565" s="80">
        <f>STOCK[[#This Row],[Entradas]]-STOCK[[#This Row],[Salidas]]</f>
        <v>1</v>
      </c>
      <c r="M1565" s="77">
        <f>STOCK[[#This Row],[Precio Final]]*10%</f>
        <v>1.5</v>
      </c>
      <c r="N1565" s="54">
        <v>0</v>
      </c>
      <c r="O1565" s="77">
        <v>0</v>
      </c>
      <c r="P1565" s="53">
        <v>8</v>
      </c>
      <c r="Q1565" s="72">
        <v>0</v>
      </c>
      <c r="R1565" s="54">
        <v>0</v>
      </c>
      <c r="S1565" s="54">
        <v>0</v>
      </c>
      <c r="T1565" s="77">
        <f>STOCK[[#This Row],[Costo Unitario (USD)]]+STOCK[[#This Row],[Costo Envío (USD)]]+STOCK[[#This Row],[Comisión 10%]]</f>
        <v>9.5</v>
      </c>
      <c r="U1565" s="53">
        <f>STOCK[[#This Row],[Costo total]]*1.5</f>
        <v>14.25</v>
      </c>
      <c r="V1565" s="53">
        <v>15</v>
      </c>
      <c r="W1565" s="77">
        <f>STOCK[[#This Row],[Precio Final]]-STOCK[[#This Row],[Costo total]]</f>
        <v>5.5</v>
      </c>
      <c r="X1565" s="77">
        <f>STOCK[[#This Row],[Ganancia Unitaria]]*STOCK[[#This Row],[Salidas]]</f>
        <v>0</v>
      </c>
      <c r="Y1565" s="77"/>
      <c r="Z1565" s="77"/>
      <c r="AA1565" s="54">
        <f>STOCK[[#This Row],[Costo total]]*STOCK[[#This Row],[Entradas]]</f>
        <v>9.5</v>
      </c>
      <c r="AB1565" s="54">
        <f>STOCK[[#This Row],[Stock Actual]]*STOCK[[#This Row],[Costo total]]</f>
        <v>9.5</v>
      </c>
      <c r="AC1565" s="77"/>
      <c r="AD1565" s="84"/>
    </row>
    <row r="1566" s="53" customFormat="1" ht="50" customHeight="1" spans="1:30">
      <c r="A1566" s="53" t="s">
        <v>3109</v>
      </c>
      <c r="C1566" s="53" t="s">
        <v>32</v>
      </c>
      <c r="D1566" s="53" t="s">
        <v>780</v>
      </c>
      <c r="E1566" s="67" t="s">
        <v>3110</v>
      </c>
      <c r="F1566" s="53" t="s">
        <v>49</v>
      </c>
      <c r="H1566" s="77">
        <f>STOCK[[#This Row],[Precio Final]]</f>
        <v>15</v>
      </c>
      <c r="I1566" s="82">
        <f>STOCK[[#This Row],[Precio Venta Ideal (x1.5)]]</f>
        <v>14.25</v>
      </c>
      <c r="J1566" s="71">
        <v>1</v>
      </c>
      <c r="K1566" s="80">
        <f>SUMIFS(VENTAS[Cantidad],VENTAS[Código del producto Vendido],STOCK[[#This Row],[Code]])</f>
        <v>0</v>
      </c>
      <c r="L1566" s="80">
        <f>STOCK[[#This Row],[Entradas]]-STOCK[[#This Row],[Salidas]]</f>
        <v>1</v>
      </c>
      <c r="M1566" s="77">
        <f>STOCK[[#This Row],[Precio Final]]*10%</f>
        <v>1.5</v>
      </c>
      <c r="N1566" s="53">
        <v>0</v>
      </c>
      <c r="O1566" s="77">
        <v>0</v>
      </c>
      <c r="P1566" s="53">
        <v>8</v>
      </c>
      <c r="Q1566" s="71">
        <v>0</v>
      </c>
      <c r="R1566" s="53">
        <v>0</v>
      </c>
      <c r="S1566" s="53">
        <v>0</v>
      </c>
      <c r="T1566" s="77">
        <f>STOCK[[#This Row],[Costo Unitario (USD)]]+STOCK[[#This Row],[Costo Envío (USD)]]+STOCK[[#This Row],[Comisión 10%]]</f>
        <v>9.5</v>
      </c>
      <c r="U1566" s="53">
        <f>STOCK[[#This Row],[Costo total]]*1.5</f>
        <v>14.25</v>
      </c>
      <c r="V1566" s="53">
        <v>15</v>
      </c>
      <c r="W1566" s="77">
        <f>STOCK[[#This Row],[Precio Final]]-STOCK[[#This Row],[Costo total]]</f>
        <v>5.5</v>
      </c>
      <c r="X1566" s="77">
        <f>STOCK[[#This Row],[Ganancia Unitaria]]*STOCK[[#This Row],[Salidas]]</f>
        <v>0</v>
      </c>
      <c r="Y1566" s="77"/>
      <c r="Z1566" s="77"/>
      <c r="AA1566" s="54">
        <f>STOCK[[#This Row],[Costo total]]*STOCK[[#This Row],[Entradas]]</f>
        <v>9.5</v>
      </c>
      <c r="AB1566" s="54">
        <f>STOCK[[#This Row],[Stock Actual]]*STOCK[[#This Row],[Costo total]]</f>
        <v>9.5</v>
      </c>
      <c r="AC1566" s="77"/>
      <c r="AD1566" s="84"/>
    </row>
    <row r="1567" s="53" customFormat="1" ht="50" customHeight="1" spans="1:30">
      <c r="A1567" s="53" t="s">
        <v>3111</v>
      </c>
      <c r="C1567" s="53" t="s">
        <v>32</v>
      </c>
      <c r="D1567" s="53" t="s">
        <v>780</v>
      </c>
      <c r="E1567" s="67" t="s">
        <v>3112</v>
      </c>
      <c r="F1567" s="53" t="s">
        <v>46</v>
      </c>
      <c r="H1567" s="77">
        <f>STOCK[[#This Row],[Precio Final]]</f>
        <v>15</v>
      </c>
      <c r="I1567" s="82">
        <f>STOCK[[#This Row],[Precio Venta Ideal (x1.5)]]</f>
        <v>14.25</v>
      </c>
      <c r="J1567" s="71">
        <v>2</v>
      </c>
      <c r="K1567" s="80">
        <f>SUMIFS(VENTAS[Cantidad],VENTAS[Código del producto Vendido],STOCK[[#This Row],[Code]])</f>
        <v>2</v>
      </c>
      <c r="L1567" s="80">
        <f>STOCK[[#This Row],[Entradas]]-STOCK[[#This Row],[Salidas]]</f>
        <v>0</v>
      </c>
      <c r="M1567" s="77">
        <f>STOCK[[#This Row],[Precio Final]]*10%</f>
        <v>1.5</v>
      </c>
      <c r="N1567" s="54">
        <v>0</v>
      </c>
      <c r="O1567" s="77">
        <v>0</v>
      </c>
      <c r="P1567" s="53">
        <v>8</v>
      </c>
      <c r="Q1567" s="71">
        <v>0</v>
      </c>
      <c r="R1567" s="54">
        <v>0</v>
      </c>
      <c r="S1567" s="54">
        <v>0</v>
      </c>
      <c r="T1567" s="77">
        <f>STOCK[[#This Row],[Costo Unitario (USD)]]+STOCK[[#This Row],[Costo Envío (USD)]]+STOCK[[#This Row],[Comisión 10%]]</f>
        <v>9.5</v>
      </c>
      <c r="U1567" s="53">
        <f>STOCK[[#This Row],[Costo total]]*1.5</f>
        <v>14.25</v>
      </c>
      <c r="V1567" s="53">
        <v>15</v>
      </c>
      <c r="W1567" s="77">
        <f>STOCK[[#This Row],[Precio Final]]-STOCK[[#This Row],[Costo total]]</f>
        <v>5.5</v>
      </c>
      <c r="X1567" s="77">
        <f>STOCK[[#This Row],[Ganancia Unitaria]]*STOCK[[#This Row],[Salidas]]</f>
        <v>11</v>
      </c>
      <c r="Y1567" s="77"/>
      <c r="Z1567" s="77"/>
      <c r="AA1567" s="54">
        <f>STOCK[[#This Row],[Costo total]]*STOCK[[#This Row],[Entradas]]</f>
        <v>19</v>
      </c>
      <c r="AB1567" s="54">
        <f>STOCK[[#This Row],[Stock Actual]]*STOCK[[#This Row],[Costo total]]</f>
        <v>0</v>
      </c>
      <c r="AC1567" s="77"/>
      <c r="AD1567" s="84"/>
    </row>
    <row r="1568" s="53" customFormat="1" ht="50" customHeight="1" spans="1:30">
      <c r="A1568" s="53" t="s">
        <v>3113</v>
      </c>
      <c r="C1568" s="53" t="s">
        <v>32</v>
      </c>
      <c r="D1568" s="53" t="s">
        <v>780</v>
      </c>
      <c r="E1568" s="67" t="s">
        <v>3114</v>
      </c>
      <c r="F1568" s="53" t="s">
        <v>49</v>
      </c>
      <c r="H1568" s="77">
        <f>STOCK[[#This Row],[Precio Final]]</f>
        <v>15</v>
      </c>
      <c r="I1568" s="82">
        <f>STOCK[[#This Row],[Precio Venta Ideal (x1.5)]]</f>
        <v>14.25</v>
      </c>
      <c r="J1568" s="71">
        <v>1</v>
      </c>
      <c r="K1568" s="80">
        <f>SUMIFS(VENTAS[Cantidad],VENTAS[Código del producto Vendido],STOCK[[#This Row],[Code]])</f>
        <v>0</v>
      </c>
      <c r="L1568" s="80">
        <f>STOCK[[#This Row],[Entradas]]-STOCK[[#This Row],[Salidas]]</f>
        <v>1</v>
      </c>
      <c r="M1568" s="77">
        <f>STOCK[[#This Row],[Precio Final]]*10%</f>
        <v>1.5</v>
      </c>
      <c r="N1568" s="54">
        <v>0</v>
      </c>
      <c r="O1568" s="77">
        <v>0</v>
      </c>
      <c r="P1568" s="53">
        <v>8</v>
      </c>
      <c r="Q1568" s="72">
        <v>0</v>
      </c>
      <c r="R1568" s="53">
        <v>0</v>
      </c>
      <c r="S1568" s="54">
        <v>0</v>
      </c>
      <c r="T1568" s="77">
        <f>STOCK[[#This Row],[Costo Unitario (USD)]]+STOCK[[#This Row],[Costo Envío (USD)]]+STOCK[[#This Row],[Comisión 10%]]</f>
        <v>9.5</v>
      </c>
      <c r="U1568" s="53">
        <f>STOCK[[#This Row],[Costo total]]*1.5</f>
        <v>14.25</v>
      </c>
      <c r="V1568" s="53">
        <v>15</v>
      </c>
      <c r="W1568" s="77">
        <f>STOCK[[#This Row],[Precio Final]]-STOCK[[#This Row],[Costo total]]</f>
        <v>5.5</v>
      </c>
      <c r="X1568" s="77">
        <f>STOCK[[#This Row],[Ganancia Unitaria]]*STOCK[[#This Row],[Salidas]]</f>
        <v>0</v>
      </c>
      <c r="Y1568" s="77"/>
      <c r="Z1568" s="77"/>
      <c r="AA1568" s="54">
        <f>STOCK[[#This Row],[Costo total]]*STOCK[[#This Row],[Entradas]]</f>
        <v>9.5</v>
      </c>
      <c r="AB1568" s="54">
        <f>STOCK[[#This Row],[Stock Actual]]*STOCK[[#This Row],[Costo total]]</f>
        <v>9.5</v>
      </c>
      <c r="AC1568" s="77"/>
      <c r="AD1568" s="84"/>
    </row>
    <row r="1569" s="53" customFormat="1" ht="50" customHeight="1" spans="1:30">
      <c r="A1569" s="53" t="s">
        <v>3115</v>
      </c>
      <c r="C1569" s="53" t="s">
        <v>32</v>
      </c>
      <c r="D1569" s="53" t="s">
        <v>780</v>
      </c>
      <c r="E1569" s="67" t="s">
        <v>3116</v>
      </c>
      <c r="F1569" s="53" t="s">
        <v>62</v>
      </c>
      <c r="H1569" s="77">
        <f>STOCK[[#This Row],[Precio Final]]</f>
        <v>15</v>
      </c>
      <c r="I1569" s="82">
        <f>STOCK[[#This Row],[Precio Venta Ideal (x1.5)]]</f>
        <v>14.25</v>
      </c>
      <c r="J1569" s="71">
        <v>1</v>
      </c>
      <c r="K1569" s="80">
        <f>SUMIFS(VENTAS[Cantidad],VENTAS[Código del producto Vendido],STOCK[[#This Row],[Code]])</f>
        <v>0</v>
      </c>
      <c r="L1569" s="80">
        <f>STOCK[[#This Row],[Entradas]]-STOCK[[#This Row],[Salidas]]</f>
        <v>1</v>
      </c>
      <c r="M1569" s="77">
        <f>STOCK[[#This Row],[Precio Final]]*10%</f>
        <v>1.5</v>
      </c>
      <c r="N1569" s="53">
        <v>0</v>
      </c>
      <c r="O1569" s="77">
        <v>0</v>
      </c>
      <c r="P1569" s="53">
        <v>8</v>
      </c>
      <c r="Q1569" s="71">
        <v>0</v>
      </c>
      <c r="R1569" s="54">
        <v>0</v>
      </c>
      <c r="S1569" s="53">
        <v>0</v>
      </c>
      <c r="T1569" s="77">
        <f>STOCK[[#This Row],[Costo Unitario (USD)]]+STOCK[[#This Row],[Costo Envío (USD)]]+STOCK[[#This Row],[Comisión 10%]]</f>
        <v>9.5</v>
      </c>
      <c r="U1569" s="53">
        <f>STOCK[[#This Row],[Costo total]]*1.5</f>
        <v>14.25</v>
      </c>
      <c r="V1569" s="53">
        <v>15</v>
      </c>
      <c r="W1569" s="77">
        <f>STOCK[[#This Row],[Precio Final]]-STOCK[[#This Row],[Costo total]]</f>
        <v>5.5</v>
      </c>
      <c r="X1569" s="77">
        <f>STOCK[[#This Row],[Ganancia Unitaria]]*STOCK[[#This Row],[Salidas]]</f>
        <v>0</v>
      </c>
      <c r="Y1569" s="77"/>
      <c r="Z1569" s="77"/>
      <c r="AA1569" s="54">
        <f>STOCK[[#This Row],[Costo total]]*STOCK[[#This Row],[Entradas]]</f>
        <v>9.5</v>
      </c>
      <c r="AB1569" s="54">
        <f>STOCK[[#This Row],[Stock Actual]]*STOCK[[#This Row],[Costo total]]</f>
        <v>9.5</v>
      </c>
      <c r="AC1569" s="77"/>
      <c r="AD1569" s="84"/>
    </row>
    <row r="1570" s="53" customFormat="1" ht="50" customHeight="1" spans="1:30">
      <c r="A1570" s="53" t="s">
        <v>3117</v>
      </c>
      <c r="C1570" s="53" t="s">
        <v>32</v>
      </c>
      <c r="D1570" s="53" t="s">
        <v>780</v>
      </c>
      <c r="E1570" s="67" t="s">
        <v>3116</v>
      </c>
      <c r="F1570" s="53" t="s">
        <v>49</v>
      </c>
      <c r="H1570" s="77">
        <f>STOCK[[#This Row],[Precio Final]]</f>
        <v>15</v>
      </c>
      <c r="I1570" s="82">
        <f>STOCK[[#This Row],[Precio Venta Ideal (x1.5)]]</f>
        <v>14.25</v>
      </c>
      <c r="J1570" s="71">
        <v>1</v>
      </c>
      <c r="K1570" s="80">
        <f>SUMIFS(VENTAS[Cantidad],VENTAS[Código del producto Vendido],STOCK[[#This Row],[Code]])</f>
        <v>1</v>
      </c>
      <c r="L1570" s="80">
        <f>STOCK[[#This Row],[Entradas]]-STOCK[[#This Row],[Salidas]]</f>
        <v>0</v>
      </c>
      <c r="M1570" s="77">
        <f>STOCK[[#This Row],[Precio Final]]*10%</f>
        <v>1.5</v>
      </c>
      <c r="N1570" s="54">
        <v>0</v>
      </c>
      <c r="O1570" s="77">
        <v>0</v>
      </c>
      <c r="P1570" s="53">
        <v>8</v>
      </c>
      <c r="Q1570" s="71">
        <v>0</v>
      </c>
      <c r="R1570" s="53">
        <v>0</v>
      </c>
      <c r="S1570" s="54">
        <v>0</v>
      </c>
      <c r="T1570" s="77">
        <f>STOCK[[#This Row],[Costo Unitario (USD)]]+STOCK[[#This Row],[Costo Envío (USD)]]+STOCK[[#This Row],[Comisión 10%]]</f>
        <v>9.5</v>
      </c>
      <c r="U1570" s="53">
        <f>STOCK[[#This Row],[Costo total]]*1.5</f>
        <v>14.25</v>
      </c>
      <c r="V1570" s="53">
        <v>15</v>
      </c>
      <c r="W1570" s="77">
        <f>STOCK[[#This Row],[Precio Final]]-STOCK[[#This Row],[Costo total]]</f>
        <v>5.5</v>
      </c>
      <c r="X1570" s="77">
        <f>STOCK[[#This Row],[Ganancia Unitaria]]*STOCK[[#This Row],[Salidas]]</f>
        <v>5.5</v>
      </c>
      <c r="Y1570" s="77"/>
      <c r="Z1570" s="77"/>
      <c r="AA1570" s="54">
        <f>STOCK[[#This Row],[Costo total]]*STOCK[[#This Row],[Entradas]]</f>
        <v>9.5</v>
      </c>
      <c r="AB1570" s="54">
        <f>STOCK[[#This Row],[Stock Actual]]*STOCK[[#This Row],[Costo total]]</f>
        <v>0</v>
      </c>
      <c r="AC1570" s="77"/>
      <c r="AD1570" s="84"/>
    </row>
    <row r="1571" s="53" customFormat="1" ht="50" customHeight="1" spans="1:30">
      <c r="A1571" s="53" t="s">
        <v>3118</v>
      </c>
      <c r="B1571" s="53" t="s">
        <v>1345</v>
      </c>
      <c r="C1571" s="53" t="s">
        <v>32</v>
      </c>
      <c r="D1571" s="53" t="s">
        <v>780</v>
      </c>
      <c r="E1571" s="67" t="s">
        <v>3119</v>
      </c>
      <c r="F1571" s="53" t="s">
        <v>46</v>
      </c>
      <c r="H1571" s="77">
        <f>STOCK[[#This Row],[Precio Final]]</f>
        <v>15</v>
      </c>
      <c r="I1571" s="82">
        <f>STOCK[[#This Row],[Precio Venta Ideal (x1.5)]]</f>
        <v>14.25</v>
      </c>
      <c r="J1571" s="71">
        <v>1</v>
      </c>
      <c r="K1571" s="80">
        <f>SUMIFS(VENTAS[Cantidad],VENTAS[Código del producto Vendido],STOCK[[#This Row],[Code]])</f>
        <v>0</v>
      </c>
      <c r="L1571" s="80">
        <f>STOCK[[#This Row],[Entradas]]-STOCK[[#This Row],[Salidas]]</f>
        <v>1</v>
      </c>
      <c r="M1571" s="77">
        <f>STOCK[[#This Row],[Precio Final]]*10%</f>
        <v>1.5</v>
      </c>
      <c r="N1571" s="53">
        <v>0</v>
      </c>
      <c r="O1571" s="77">
        <v>0</v>
      </c>
      <c r="P1571" s="53">
        <v>8</v>
      </c>
      <c r="Q1571" s="72">
        <v>0</v>
      </c>
      <c r="R1571" s="54">
        <v>0</v>
      </c>
      <c r="S1571" s="54">
        <v>0</v>
      </c>
      <c r="T1571" s="77">
        <f>STOCK[[#This Row],[Costo Unitario (USD)]]+STOCK[[#This Row],[Costo Envío (USD)]]+STOCK[[#This Row],[Comisión 10%]]</f>
        <v>9.5</v>
      </c>
      <c r="U1571" s="53">
        <f>STOCK[[#This Row],[Costo total]]*1.5</f>
        <v>14.25</v>
      </c>
      <c r="V1571" s="53">
        <v>15</v>
      </c>
      <c r="W1571" s="77">
        <f>STOCK[[#This Row],[Precio Final]]-STOCK[[#This Row],[Costo total]]</f>
        <v>5.5</v>
      </c>
      <c r="X1571" s="77">
        <f>STOCK[[#This Row],[Ganancia Unitaria]]*STOCK[[#This Row],[Salidas]]</f>
        <v>0</v>
      </c>
      <c r="Y1571" s="77"/>
      <c r="Z1571" s="77"/>
      <c r="AA1571" s="54">
        <f>STOCK[[#This Row],[Costo total]]*STOCK[[#This Row],[Entradas]]</f>
        <v>9.5</v>
      </c>
      <c r="AB1571" s="54">
        <f>STOCK[[#This Row],[Stock Actual]]*STOCK[[#This Row],[Costo total]]</f>
        <v>9.5</v>
      </c>
      <c r="AC1571" s="77"/>
      <c r="AD1571" s="84"/>
    </row>
    <row r="1572" s="53" customFormat="1" ht="50" customHeight="1" spans="1:30">
      <c r="A1572" s="53" t="s">
        <v>3120</v>
      </c>
      <c r="B1572" s="53" t="s">
        <v>1345</v>
      </c>
      <c r="C1572" s="53" t="s">
        <v>32</v>
      </c>
      <c r="D1572" s="53" t="s">
        <v>780</v>
      </c>
      <c r="E1572" s="67" t="s">
        <v>3121</v>
      </c>
      <c r="F1572" s="53" t="s">
        <v>49</v>
      </c>
      <c r="H1572" s="77">
        <f>STOCK[[#This Row],[Precio Final]]</f>
        <v>15</v>
      </c>
      <c r="I1572" s="82">
        <f>STOCK[[#This Row],[Precio Venta Ideal (x1.5)]]</f>
        <v>14.25</v>
      </c>
      <c r="J1572" s="71">
        <v>2</v>
      </c>
      <c r="K1572" s="80">
        <f>SUMIFS(VENTAS[Cantidad],VENTAS[Código del producto Vendido],STOCK[[#This Row],[Code]])</f>
        <v>0</v>
      </c>
      <c r="L1572" s="80">
        <f>STOCK[[#This Row],[Entradas]]-STOCK[[#This Row],[Salidas]]</f>
        <v>2</v>
      </c>
      <c r="M1572" s="77">
        <f>STOCK[[#This Row],[Precio Final]]*10%</f>
        <v>1.5</v>
      </c>
      <c r="N1572" s="54">
        <v>0</v>
      </c>
      <c r="O1572" s="77">
        <v>0</v>
      </c>
      <c r="P1572" s="53">
        <v>8</v>
      </c>
      <c r="Q1572" s="71">
        <v>0</v>
      </c>
      <c r="R1572" s="53">
        <v>0</v>
      </c>
      <c r="S1572" s="53">
        <v>0</v>
      </c>
      <c r="T1572" s="77">
        <f>STOCK[[#This Row],[Costo Unitario (USD)]]+STOCK[[#This Row],[Costo Envío (USD)]]+STOCK[[#This Row],[Comisión 10%]]</f>
        <v>9.5</v>
      </c>
      <c r="U1572" s="53">
        <f>STOCK[[#This Row],[Costo total]]*1.5</f>
        <v>14.25</v>
      </c>
      <c r="V1572" s="53">
        <v>15</v>
      </c>
      <c r="W1572" s="77">
        <f>STOCK[[#This Row],[Precio Final]]-STOCK[[#This Row],[Costo total]]</f>
        <v>5.5</v>
      </c>
      <c r="X1572" s="77">
        <f>STOCK[[#This Row],[Ganancia Unitaria]]*STOCK[[#This Row],[Salidas]]</f>
        <v>0</v>
      </c>
      <c r="Y1572" s="77"/>
      <c r="Z1572" s="77"/>
      <c r="AA1572" s="54">
        <f>STOCK[[#This Row],[Costo total]]*STOCK[[#This Row],[Entradas]]</f>
        <v>19</v>
      </c>
      <c r="AB1572" s="54">
        <f>STOCK[[#This Row],[Stock Actual]]*STOCK[[#This Row],[Costo total]]</f>
        <v>19</v>
      </c>
      <c r="AC1572" s="77"/>
      <c r="AD1572" s="84"/>
    </row>
    <row r="1573" s="53" customFormat="1" ht="50" customHeight="1" spans="1:30">
      <c r="A1573" s="53" t="s">
        <v>3122</v>
      </c>
      <c r="B1573" s="53" t="s">
        <v>1345</v>
      </c>
      <c r="C1573" s="53" t="s">
        <v>32</v>
      </c>
      <c r="D1573" s="53" t="s">
        <v>780</v>
      </c>
      <c r="E1573" s="67" t="s">
        <v>3121</v>
      </c>
      <c r="F1573" s="53" t="s">
        <v>62</v>
      </c>
      <c r="H1573" s="77">
        <f>STOCK[[#This Row],[Precio Final]]</f>
        <v>15</v>
      </c>
      <c r="I1573" s="82">
        <f>STOCK[[#This Row],[Precio Venta Ideal (x1.5)]]</f>
        <v>14.25</v>
      </c>
      <c r="J1573" s="71">
        <v>1</v>
      </c>
      <c r="K1573" s="80">
        <f>SUMIFS(VENTAS[Cantidad],VENTAS[Código del producto Vendido],STOCK[[#This Row],[Code]])</f>
        <v>0</v>
      </c>
      <c r="L1573" s="80">
        <f>STOCK[[#This Row],[Entradas]]-STOCK[[#This Row],[Salidas]]</f>
        <v>1</v>
      </c>
      <c r="M1573" s="77">
        <f>STOCK[[#This Row],[Precio Final]]*10%</f>
        <v>1.5</v>
      </c>
      <c r="N1573" s="54">
        <v>0</v>
      </c>
      <c r="O1573" s="77">
        <v>0</v>
      </c>
      <c r="P1573" s="53">
        <v>8</v>
      </c>
      <c r="Q1573" s="71">
        <v>0</v>
      </c>
      <c r="R1573" s="54">
        <v>0</v>
      </c>
      <c r="S1573" s="54">
        <v>0</v>
      </c>
      <c r="T1573" s="77">
        <f>STOCK[[#This Row],[Costo Unitario (USD)]]+STOCK[[#This Row],[Costo Envío (USD)]]+STOCK[[#This Row],[Comisión 10%]]</f>
        <v>9.5</v>
      </c>
      <c r="U1573" s="53">
        <f>STOCK[[#This Row],[Costo total]]*1.5</f>
        <v>14.25</v>
      </c>
      <c r="V1573" s="53">
        <v>15</v>
      </c>
      <c r="W1573" s="77">
        <f>STOCK[[#This Row],[Precio Final]]-STOCK[[#This Row],[Costo total]]</f>
        <v>5.5</v>
      </c>
      <c r="X1573" s="77">
        <f>STOCK[[#This Row],[Ganancia Unitaria]]*STOCK[[#This Row],[Salidas]]</f>
        <v>0</v>
      </c>
      <c r="Y1573" s="77"/>
      <c r="Z1573" s="77"/>
      <c r="AA1573" s="54">
        <f>STOCK[[#This Row],[Costo total]]*STOCK[[#This Row],[Entradas]]</f>
        <v>9.5</v>
      </c>
      <c r="AB1573" s="54">
        <f>STOCK[[#This Row],[Stock Actual]]*STOCK[[#This Row],[Costo total]]</f>
        <v>9.5</v>
      </c>
      <c r="AC1573" s="77"/>
      <c r="AD1573" s="84"/>
    </row>
    <row r="1574" s="53" customFormat="1" ht="50" customHeight="1" spans="1:30">
      <c r="A1574" s="53" t="s">
        <v>3123</v>
      </c>
      <c r="B1574" s="53" t="s">
        <v>1345</v>
      </c>
      <c r="C1574" s="53" t="s">
        <v>32</v>
      </c>
      <c r="D1574" s="53" t="s">
        <v>780</v>
      </c>
      <c r="E1574" s="67" t="s">
        <v>3124</v>
      </c>
      <c r="F1574" s="53" t="s">
        <v>46</v>
      </c>
      <c r="H1574" s="77">
        <f>STOCK[[#This Row],[Precio Final]]</f>
        <v>15</v>
      </c>
      <c r="I1574" s="82">
        <f>STOCK[[#This Row],[Precio Venta Ideal (x1.5)]]</f>
        <v>14.25</v>
      </c>
      <c r="J1574" s="71">
        <v>1</v>
      </c>
      <c r="K1574" s="80">
        <f>SUMIFS(VENTAS[Cantidad],VENTAS[Código del producto Vendido],STOCK[[#This Row],[Code]])</f>
        <v>0</v>
      </c>
      <c r="L1574" s="80">
        <f>STOCK[[#This Row],[Entradas]]-STOCK[[#This Row],[Salidas]]</f>
        <v>1</v>
      </c>
      <c r="M1574" s="77">
        <f>STOCK[[#This Row],[Precio Final]]*10%</f>
        <v>1.5</v>
      </c>
      <c r="N1574" s="53">
        <v>0</v>
      </c>
      <c r="O1574" s="77">
        <v>0</v>
      </c>
      <c r="P1574" s="53">
        <v>8</v>
      </c>
      <c r="Q1574" s="72">
        <v>0</v>
      </c>
      <c r="R1574" s="53">
        <v>0</v>
      </c>
      <c r="S1574" s="54">
        <v>0</v>
      </c>
      <c r="T1574" s="77">
        <f>STOCK[[#This Row],[Costo Unitario (USD)]]+STOCK[[#This Row],[Costo Envío (USD)]]+STOCK[[#This Row],[Comisión 10%]]</f>
        <v>9.5</v>
      </c>
      <c r="U1574" s="53">
        <f>STOCK[[#This Row],[Costo total]]*1.5</f>
        <v>14.25</v>
      </c>
      <c r="V1574" s="53">
        <v>15</v>
      </c>
      <c r="W1574" s="77">
        <f>STOCK[[#This Row],[Precio Final]]-STOCK[[#This Row],[Costo total]]</f>
        <v>5.5</v>
      </c>
      <c r="X1574" s="77">
        <f>STOCK[[#This Row],[Ganancia Unitaria]]*STOCK[[#This Row],[Salidas]]</f>
        <v>0</v>
      </c>
      <c r="Y1574" s="77"/>
      <c r="Z1574" s="77"/>
      <c r="AA1574" s="54">
        <f>STOCK[[#This Row],[Costo total]]*STOCK[[#This Row],[Entradas]]</f>
        <v>9.5</v>
      </c>
      <c r="AB1574" s="54">
        <f>STOCK[[#This Row],[Stock Actual]]*STOCK[[#This Row],[Costo total]]</f>
        <v>9.5</v>
      </c>
      <c r="AC1574" s="77"/>
      <c r="AD1574" s="84"/>
    </row>
    <row r="1575" s="53" customFormat="1" ht="50" customHeight="1" spans="1:30">
      <c r="A1575" s="53" t="s">
        <v>3125</v>
      </c>
      <c r="B1575" s="53" t="s">
        <v>1345</v>
      </c>
      <c r="C1575" s="53" t="s">
        <v>32</v>
      </c>
      <c r="D1575" s="53" t="s">
        <v>780</v>
      </c>
      <c r="E1575" s="67" t="s">
        <v>3126</v>
      </c>
      <c r="F1575" s="53" t="s">
        <v>49</v>
      </c>
      <c r="H1575" s="77">
        <f>STOCK[[#This Row],[Precio Final]]</f>
        <v>15</v>
      </c>
      <c r="I1575" s="82">
        <f>STOCK[[#This Row],[Precio Venta Ideal (x1.5)]]</f>
        <v>14.25</v>
      </c>
      <c r="J1575" s="71">
        <v>1</v>
      </c>
      <c r="K1575" s="80">
        <f>SUMIFS(VENTAS[Cantidad],VENTAS[Código del producto Vendido],STOCK[[#This Row],[Code]])</f>
        <v>0</v>
      </c>
      <c r="L1575" s="80">
        <f>STOCK[[#This Row],[Entradas]]-STOCK[[#This Row],[Salidas]]</f>
        <v>1</v>
      </c>
      <c r="M1575" s="77">
        <f>STOCK[[#This Row],[Precio Final]]*10%</f>
        <v>1.5</v>
      </c>
      <c r="N1575" s="54">
        <v>0</v>
      </c>
      <c r="O1575" s="77">
        <v>0</v>
      </c>
      <c r="P1575" s="53">
        <v>8</v>
      </c>
      <c r="Q1575" s="71">
        <v>0</v>
      </c>
      <c r="R1575" s="54">
        <v>0</v>
      </c>
      <c r="S1575" s="53">
        <v>0</v>
      </c>
      <c r="T1575" s="77">
        <f>STOCK[[#This Row],[Costo Unitario (USD)]]+STOCK[[#This Row],[Costo Envío (USD)]]+STOCK[[#This Row],[Comisión 10%]]</f>
        <v>9.5</v>
      </c>
      <c r="U1575" s="53">
        <f>STOCK[[#This Row],[Costo total]]*1.5</f>
        <v>14.25</v>
      </c>
      <c r="V1575" s="53">
        <v>15</v>
      </c>
      <c r="W1575" s="77">
        <f>STOCK[[#This Row],[Precio Final]]-STOCK[[#This Row],[Costo total]]</f>
        <v>5.5</v>
      </c>
      <c r="X1575" s="77">
        <f>STOCK[[#This Row],[Ganancia Unitaria]]*STOCK[[#This Row],[Salidas]]</f>
        <v>0</v>
      </c>
      <c r="Y1575" s="77"/>
      <c r="Z1575" s="77"/>
      <c r="AA1575" s="54">
        <f>STOCK[[#This Row],[Costo total]]*STOCK[[#This Row],[Entradas]]</f>
        <v>9.5</v>
      </c>
      <c r="AB1575" s="54">
        <f>STOCK[[#This Row],[Stock Actual]]*STOCK[[#This Row],[Costo total]]</f>
        <v>9.5</v>
      </c>
      <c r="AC1575" s="77"/>
      <c r="AD1575" s="84"/>
    </row>
    <row r="1576" s="53" customFormat="1" ht="50" customHeight="1" spans="1:30">
      <c r="A1576" s="53" t="s">
        <v>3127</v>
      </c>
      <c r="B1576" s="53" t="s">
        <v>1345</v>
      </c>
      <c r="C1576" s="53" t="s">
        <v>32</v>
      </c>
      <c r="D1576" s="53" t="s">
        <v>780</v>
      </c>
      <c r="E1576" s="67" t="s">
        <v>3128</v>
      </c>
      <c r="F1576" s="53" t="s">
        <v>49</v>
      </c>
      <c r="H1576" s="77">
        <f>STOCK[[#This Row],[Precio Final]]</f>
        <v>15</v>
      </c>
      <c r="I1576" s="82">
        <f>STOCK[[#This Row],[Precio Venta Ideal (x1.5)]]</f>
        <v>14.25</v>
      </c>
      <c r="J1576" s="71">
        <v>1</v>
      </c>
      <c r="K1576" s="80">
        <f>SUMIFS(VENTAS[Cantidad],VENTAS[Código del producto Vendido],STOCK[[#This Row],[Code]])</f>
        <v>0</v>
      </c>
      <c r="L1576" s="80">
        <f>STOCK[[#This Row],[Entradas]]-STOCK[[#This Row],[Salidas]]</f>
        <v>1</v>
      </c>
      <c r="M1576" s="77">
        <f>STOCK[[#This Row],[Precio Final]]*10%</f>
        <v>1.5</v>
      </c>
      <c r="N1576" s="54">
        <v>0</v>
      </c>
      <c r="O1576" s="77">
        <v>0</v>
      </c>
      <c r="P1576" s="53">
        <v>8</v>
      </c>
      <c r="Q1576" s="71">
        <v>0</v>
      </c>
      <c r="R1576" s="53">
        <v>0</v>
      </c>
      <c r="S1576" s="54">
        <v>0</v>
      </c>
      <c r="T1576" s="77">
        <f>STOCK[[#This Row],[Costo Unitario (USD)]]+STOCK[[#This Row],[Costo Envío (USD)]]+STOCK[[#This Row],[Comisión 10%]]</f>
        <v>9.5</v>
      </c>
      <c r="U1576" s="53">
        <f>STOCK[[#This Row],[Costo total]]*1.5</f>
        <v>14.25</v>
      </c>
      <c r="V1576" s="53">
        <v>15</v>
      </c>
      <c r="W1576" s="77">
        <f>STOCK[[#This Row],[Precio Final]]-STOCK[[#This Row],[Costo total]]</f>
        <v>5.5</v>
      </c>
      <c r="X1576" s="77">
        <f>STOCK[[#This Row],[Ganancia Unitaria]]*STOCK[[#This Row],[Salidas]]</f>
        <v>0</v>
      </c>
      <c r="Y1576" s="77"/>
      <c r="Z1576" s="77"/>
      <c r="AA1576" s="54">
        <f>STOCK[[#This Row],[Costo total]]*STOCK[[#This Row],[Entradas]]</f>
        <v>9.5</v>
      </c>
      <c r="AB1576" s="54">
        <f>STOCK[[#This Row],[Stock Actual]]*STOCK[[#This Row],[Costo total]]</f>
        <v>9.5</v>
      </c>
      <c r="AC1576" s="77"/>
      <c r="AD1576" s="84"/>
    </row>
    <row r="1577" s="53" customFormat="1" ht="50" customHeight="1" spans="1:30">
      <c r="A1577" s="53" t="s">
        <v>3129</v>
      </c>
      <c r="B1577" s="71" t="str">
        <f>_xlfn.DISPIMG("ID_B2F0DA59D3134DF5852A0AA32494D198",1)</f>
        <v>=DISPIMG("ID_B2F0DA59D3134DF5852A0AA32494D198",1)</v>
      </c>
      <c r="C1577" s="53" t="s">
        <v>32</v>
      </c>
      <c r="D1577" s="53" t="s">
        <v>780</v>
      </c>
      <c r="E1577" s="67" t="s">
        <v>3130</v>
      </c>
      <c r="F1577" s="53" t="s">
        <v>49</v>
      </c>
      <c r="H1577" s="77">
        <f>STOCK[[#This Row],[Precio Final]]</f>
        <v>15</v>
      </c>
      <c r="I1577" s="82">
        <f>STOCK[[#This Row],[Precio Venta Ideal (x1.5)]]</f>
        <v>14.25</v>
      </c>
      <c r="J1577" s="71">
        <v>1</v>
      </c>
      <c r="K1577" s="80">
        <f>SUMIFS(VENTAS[Cantidad],VENTAS[Código del producto Vendido],STOCK[[#This Row],[Code]])</f>
        <v>0</v>
      </c>
      <c r="L1577" s="80">
        <f>STOCK[[#This Row],[Entradas]]-STOCK[[#This Row],[Salidas]]</f>
        <v>1</v>
      </c>
      <c r="M1577" s="77">
        <f>STOCK[[#This Row],[Precio Final]]*10%</f>
        <v>1.5</v>
      </c>
      <c r="N1577" s="53">
        <v>0</v>
      </c>
      <c r="O1577" s="77">
        <v>0</v>
      </c>
      <c r="P1577" s="53">
        <v>8</v>
      </c>
      <c r="Q1577" s="72">
        <v>0</v>
      </c>
      <c r="R1577" s="54">
        <v>0</v>
      </c>
      <c r="S1577" s="54">
        <v>0</v>
      </c>
      <c r="T1577" s="77">
        <f>STOCK[[#This Row],[Costo Unitario (USD)]]+STOCK[[#This Row],[Costo Envío (USD)]]+STOCK[[#This Row],[Comisión 10%]]</f>
        <v>9.5</v>
      </c>
      <c r="U1577" s="53">
        <f>STOCK[[#This Row],[Costo total]]*1.5</f>
        <v>14.25</v>
      </c>
      <c r="V1577" s="53">
        <v>15</v>
      </c>
      <c r="W1577" s="77">
        <f>STOCK[[#This Row],[Precio Final]]-STOCK[[#This Row],[Costo total]]</f>
        <v>5.5</v>
      </c>
      <c r="X1577" s="77">
        <f>STOCK[[#This Row],[Ganancia Unitaria]]*STOCK[[#This Row],[Salidas]]</f>
        <v>0</v>
      </c>
      <c r="Y1577" s="77"/>
      <c r="Z1577" s="77"/>
      <c r="AA1577" s="54">
        <f>STOCK[[#This Row],[Costo total]]*STOCK[[#This Row],[Entradas]]</f>
        <v>9.5</v>
      </c>
      <c r="AB1577" s="54">
        <f>STOCK[[#This Row],[Stock Actual]]*STOCK[[#This Row],[Costo total]]</f>
        <v>9.5</v>
      </c>
      <c r="AC1577" s="77"/>
      <c r="AD1577" s="84"/>
    </row>
    <row r="1578" s="53" customFormat="1" ht="50" customHeight="1" spans="1:30">
      <c r="A1578" s="53" t="s">
        <v>3131</v>
      </c>
      <c r="B1578" s="71" t="str">
        <f>_xlfn.DISPIMG("ID_31956D4F45564DECB64E4FB538B7E2E8",1)</f>
        <v>=DISPIMG("ID_31956D4F45564DECB64E4FB538B7E2E8",1)</v>
      </c>
      <c r="C1578" s="53" t="s">
        <v>32</v>
      </c>
      <c r="D1578" s="53" t="s">
        <v>780</v>
      </c>
      <c r="E1578" s="67" t="s">
        <v>3132</v>
      </c>
      <c r="F1578" s="53" t="s">
        <v>46</v>
      </c>
      <c r="H1578" s="77">
        <f>STOCK[[#This Row],[Precio Final]]</f>
        <v>15</v>
      </c>
      <c r="I1578" s="82">
        <f>STOCK[[#This Row],[Precio Venta Ideal (x1.5)]]</f>
        <v>14.25</v>
      </c>
      <c r="J1578" s="71">
        <v>1</v>
      </c>
      <c r="K1578" s="80">
        <f>SUMIFS(VENTAS[Cantidad],VENTAS[Código del producto Vendido],STOCK[[#This Row],[Code]])</f>
        <v>1</v>
      </c>
      <c r="L1578" s="80">
        <f>STOCK[[#This Row],[Entradas]]-STOCK[[#This Row],[Salidas]]</f>
        <v>0</v>
      </c>
      <c r="M1578" s="77">
        <f>STOCK[[#This Row],[Precio Final]]*10%</f>
        <v>1.5</v>
      </c>
      <c r="N1578" s="54">
        <v>0</v>
      </c>
      <c r="O1578" s="77">
        <v>0</v>
      </c>
      <c r="P1578" s="53">
        <v>8</v>
      </c>
      <c r="Q1578" s="71">
        <v>0</v>
      </c>
      <c r="R1578" s="53">
        <v>0</v>
      </c>
      <c r="S1578" s="53">
        <v>0</v>
      </c>
      <c r="T1578" s="77">
        <f>STOCK[[#This Row],[Costo Unitario (USD)]]+STOCK[[#This Row],[Costo Envío (USD)]]+STOCK[[#This Row],[Comisión 10%]]</f>
        <v>9.5</v>
      </c>
      <c r="U1578" s="53">
        <f>STOCK[[#This Row],[Costo total]]*1.5</f>
        <v>14.25</v>
      </c>
      <c r="V1578" s="53">
        <v>15</v>
      </c>
      <c r="W1578" s="77">
        <f>STOCK[[#This Row],[Precio Final]]-STOCK[[#This Row],[Costo total]]</f>
        <v>5.5</v>
      </c>
      <c r="X1578" s="77">
        <f>STOCK[[#This Row],[Ganancia Unitaria]]*STOCK[[#This Row],[Salidas]]</f>
        <v>5.5</v>
      </c>
      <c r="Y1578" s="77"/>
      <c r="Z1578" s="77"/>
      <c r="AA1578" s="54">
        <f>STOCK[[#This Row],[Costo total]]*STOCK[[#This Row],[Entradas]]</f>
        <v>9.5</v>
      </c>
      <c r="AB1578" s="54">
        <f>STOCK[[#This Row],[Stock Actual]]*STOCK[[#This Row],[Costo total]]</f>
        <v>0</v>
      </c>
      <c r="AC1578" s="77"/>
      <c r="AD1578" s="84"/>
    </row>
    <row r="1579" s="53" customFormat="1" ht="50" customHeight="1" spans="1:30">
      <c r="A1579" s="53" t="s">
        <v>3133</v>
      </c>
      <c r="B1579" s="53" t="s">
        <v>1345</v>
      </c>
      <c r="C1579" s="53" t="s">
        <v>32</v>
      </c>
      <c r="D1579" s="53" t="s">
        <v>780</v>
      </c>
      <c r="E1579" s="67" t="s">
        <v>3134</v>
      </c>
      <c r="F1579" s="53" t="s">
        <v>46</v>
      </c>
      <c r="H1579" s="77">
        <f>STOCK[[#This Row],[Precio Final]]</f>
        <v>15</v>
      </c>
      <c r="I1579" s="82">
        <f>STOCK[[#This Row],[Precio Venta Ideal (x1.5)]]</f>
        <v>14.25</v>
      </c>
      <c r="J1579" s="71">
        <v>1</v>
      </c>
      <c r="K1579" s="80">
        <f>SUMIFS(VENTAS[Cantidad],VENTAS[Código del producto Vendido],STOCK[[#This Row],[Code]])</f>
        <v>0</v>
      </c>
      <c r="L1579" s="80">
        <f>STOCK[[#This Row],[Entradas]]-STOCK[[#This Row],[Salidas]]</f>
        <v>1</v>
      </c>
      <c r="M1579" s="77">
        <f>STOCK[[#This Row],[Precio Final]]*10%</f>
        <v>1.5</v>
      </c>
      <c r="N1579" s="54">
        <v>0</v>
      </c>
      <c r="O1579" s="77">
        <v>0</v>
      </c>
      <c r="P1579" s="53">
        <v>8</v>
      </c>
      <c r="Q1579" s="71">
        <v>0</v>
      </c>
      <c r="R1579" s="54">
        <v>0</v>
      </c>
      <c r="S1579" s="54">
        <v>0</v>
      </c>
      <c r="T1579" s="77">
        <f>STOCK[[#This Row],[Costo Unitario (USD)]]+STOCK[[#This Row],[Costo Envío (USD)]]+STOCK[[#This Row],[Comisión 10%]]</f>
        <v>9.5</v>
      </c>
      <c r="U1579" s="53">
        <f>STOCK[[#This Row],[Costo total]]*1.5</f>
        <v>14.25</v>
      </c>
      <c r="V1579" s="53">
        <v>15</v>
      </c>
      <c r="W1579" s="77">
        <f>STOCK[[#This Row],[Precio Final]]-STOCK[[#This Row],[Costo total]]</f>
        <v>5.5</v>
      </c>
      <c r="X1579" s="77">
        <f>STOCK[[#This Row],[Ganancia Unitaria]]*STOCK[[#This Row],[Salidas]]</f>
        <v>0</v>
      </c>
      <c r="Y1579" s="77"/>
      <c r="Z1579" s="77"/>
      <c r="AA1579" s="54">
        <f>STOCK[[#This Row],[Costo total]]*STOCK[[#This Row],[Entradas]]</f>
        <v>9.5</v>
      </c>
      <c r="AB1579" s="54">
        <f>STOCK[[#This Row],[Stock Actual]]*STOCK[[#This Row],[Costo total]]</f>
        <v>9.5</v>
      </c>
      <c r="AC1579" s="77"/>
      <c r="AD1579" s="84"/>
    </row>
    <row r="1580" s="53" customFormat="1" ht="50" customHeight="1" spans="1:30">
      <c r="A1580" s="53" t="s">
        <v>3135</v>
      </c>
      <c r="B1580" s="71" t="str">
        <f>_xlfn.DISPIMG("ID_DEAF5ABB441341CA9DA766385E1F6670",1)</f>
        <v>=DISPIMG("ID_DEAF5ABB441341CA9DA766385E1F6670",1)</v>
      </c>
      <c r="C1580" s="53" t="s">
        <v>32</v>
      </c>
      <c r="D1580" s="53" t="s">
        <v>780</v>
      </c>
      <c r="E1580" s="67" t="s">
        <v>3136</v>
      </c>
      <c r="F1580" s="53" t="s">
        <v>46</v>
      </c>
      <c r="H1580" s="77">
        <f>STOCK[[#This Row],[Precio Final]]</f>
        <v>15</v>
      </c>
      <c r="I1580" s="82">
        <f>STOCK[[#This Row],[Precio Venta Ideal (x1.5)]]</f>
        <v>14.25</v>
      </c>
      <c r="J1580" s="71">
        <v>1</v>
      </c>
      <c r="K1580" s="80">
        <f>SUMIFS(VENTAS[Cantidad],VENTAS[Código del producto Vendido],STOCK[[#This Row],[Code]])</f>
        <v>0</v>
      </c>
      <c r="L1580" s="80">
        <f>STOCK[[#This Row],[Entradas]]-STOCK[[#This Row],[Salidas]]</f>
        <v>1</v>
      </c>
      <c r="M1580" s="77">
        <f>STOCK[[#This Row],[Precio Final]]*10%</f>
        <v>1.5</v>
      </c>
      <c r="N1580" s="53">
        <v>0</v>
      </c>
      <c r="O1580" s="77">
        <v>0</v>
      </c>
      <c r="P1580" s="53">
        <v>8</v>
      </c>
      <c r="Q1580" s="72">
        <v>0</v>
      </c>
      <c r="R1580" s="53">
        <v>0</v>
      </c>
      <c r="S1580" s="54">
        <v>0</v>
      </c>
      <c r="T1580" s="77">
        <f>STOCK[[#This Row],[Costo Unitario (USD)]]+STOCK[[#This Row],[Costo Envío (USD)]]+STOCK[[#This Row],[Comisión 10%]]</f>
        <v>9.5</v>
      </c>
      <c r="U1580" s="53">
        <f>STOCK[[#This Row],[Costo total]]*1.5</f>
        <v>14.25</v>
      </c>
      <c r="V1580" s="53">
        <v>15</v>
      </c>
      <c r="W1580" s="77">
        <f>STOCK[[#This Row],[Precio Final]]-STOCK[[#This Row],[Costo total]]</f>
        <v>5.5</v>
      </c>
      <c r="X1580" s="77">
        <f>STOCK[[#This Row],[Ganancia Unitaria]]*STOCK[[#This Row],[Salidas]]</f>
        <v>0</v>
      </c>
      <c r="Y1580" s="77"/>
      <c r="Z1580" s="77"/>
      <c r="AA1580" s="54">
        <f>STOCK[[#This Row],[Costo total]]*STOCK[[#This Row],[Entradas]]</f>
        <v>9.5</v>
      </c>
      <c r="AB1580" s="54">
        <f>STOCK[[#This Row],[Stock Actual]]*STOCK[[#This Row],[Costo total]]</f>
        <v>9.5</v>
      </c>
      <c r="AC1580" s="77"/>
      <c r="AD1580" s="84"/>
    </row>
    <row r="1581" s="53" customFormat="1" ht="50" customHeight="1" spans="1:30">
      <c r="A1581" s="53" t="s">
        <v>3137</v>
      </c>
      <c r="B1581" s="71" t="str">
        <f>_xlfn.DISPIMG("ID_A13CCF7F3F7A4E1CAD293BF92EEFFC56",1)</f>
        <v>=DISPIMG("ID_A13CCF7F3F7A4E1CAD293BF92EEFFC56",1)</v>
      </c>
      <c r="C1581" s="53" t="s">
        <v>32</v>
      </c>
      <c r="D1581" s="53" t="s">
        <v>780</v>
      </c>
      <c r="E1581" s="67" t="s">
        <v>3138</v>
      </c>
      <c r="F1581" s="53" t="s">
        <v>40</v>
      </c>
      <c r="H1581" s="77">
        <f>STOCK[[#This Row],[Precio Final]]</f>
        <v>15</v>
      </c>
      <c r="I1581" s="82">
        <f>STOCK[[#This Row],[Precio Venta Ideal (x1.5)]]</f>
        <v>14.25</v>
      </c>
      <c r="J1581" s="71">
        <v>1</v>
      </c>
      <c r="K1581" s="80">
        <f>SUMIFS(VENTAS[Cantidad],VENTAS[Código del producto Vendido],STOCK[[#This Row],[Code]])</f>
        <v>0</v>
      </c>
      <c r="L1581" s="80">
        <f>STOCK[[#This Row],[Entradas]]-STOCK[[#This Row],[Salidas]]</f>
        <v>1</v>
      </c>
      <c r="M1581" s="77">
        <f>STOCK[[#This Row],[Precio Final]]*10%</f>
        <v>1.5</v>
      </c>
      <c r="N1581" s="54">
        <v>0</v>
      </c>
      <c r="O1581" s="77">
        <v>0</v>
      </c>
      <c r="P1581" s="53">
        <v>8</v>
      </c>
      <c r="Q1581" s="71">
        <v>0</v>
      </c>
      <c r="R1581" s="54">
        <v>0</v>
      </c>
      <c r="S1581" s="53">
        <v>0</v>
      </c>
      <c r="T1581" s="77">
        <f>STOCK[[#This Row],[Costo Unitario (USD)]]+STOCK[[#This Row],[Costo Envío (USD)]]+STOCK[[#This Row],[Comisión 10%]]</f>
        <v>9.5</v>
      </c>
      <c r="U1581" s="53">
        <f>STOCK[[#This Row],[Costo total]]*1.5</f>
        <v>14.25</v>
      </c>
      <c r="V1581" s="53">
        <v>15</v>
      </c>
      <c r="W1581" s="77">
        <f>STOCK[[#This Row],[Precio Final]]-STOCK[[#This Row],[Costo total]]</f>
        <v>5.5</v>
      </c>
      <c r="X1581" s="77">
        <f>STOCK[[#This Row],[Ganancia Unitaria]]*STOCK[[#This Row],[Salidas]]</f>
        <v>0</v>
      </c>
      <c r="Y1581" s="77"/>
      <c r="Z1581" s="77"/>
      <c r="AA1581" s="54">
        <f>STOCK[[#This Row],[Costo total]]*STOCK[[#This Row],[Entradas]]</f>
        <v>9.5</v>
      </c>
      <c r="AB1581" s="54">
        <f>STOCK[[#This Row],[Stock Actual]]*STOCK[[#This Row],[Costo total]]</f>
        <v>9.5</v>
      </c>
      <c r="AC1581" s="77"/>
      <c r="AD1581" s="84"/>
    </row>
    <row r="1582" s="53" customFormat="1" ht="50" customHeight="1" spans="1:30">
      <c r="A1582" s="53" t="s">
        <v>3139</v>
      </c>
      <c r="B1582" s="71" t="str">
        <f>_xlfn.DISPIMG("ID_F6391F3813FA4E8FA4EC1E07ADF257DE",1)</f>
        <v>=DISPIMG("ID_F6391F3813FA4E8FA4EC1E07ADF257DE",1)</v>
      </c>
      <c r="C1582" s="53" t="s">
        <v>32</v>
      </c>
      <c r="D1582" s="53" t="s">
        <v>780</v>
      </c>
      <c r="E1582" s="67" t="s">
        <v>3140</v>
      </c>
      <c r="F1582" s="53" t="s">
        <v>49</v>
      </c>
      <c r="H1582" s="77">
        <f>STOCK[[#This Row],[Precio Final]]</f>
        <v>22</v>
      </c>
      <c r="I1582" s="82">
        <f>STOCK[[#This Row],[Precio Venta Ideal (x1.5)]]</f>
        <v>21.3</v>
      </c>
      <c r="J1582" s="71">
        <v>1</v>
      </c>
      <c r="K1582" s="80">
        <f>SUMIFS(VENTAS[Cantidad],VENTAS[Código del producto Vendido],STOCK[[#This Row],[Code]])</f>
        <v>1</v>
      </c>
      <c r="L1582" s="80">
        <f>STOCK[[#This Row],[Entradas]]-STOCK[[#This Row],[Salidas]]</f>
        <v>0</v>
      </c>
      <c r="M1582" s="77">
        <f>STOCK[[#This Row],[Precio Final]]*10%</f>
        <v>2.2</v>
      </c>
      <c r="N1582" s="54">
        <v>0</v>
      </c>
      <c r="O1582" s="77">
        <v>0</v>
      </c>
      <c r="P1582" s="53">
        <v>12</v>
      </c>
      <c r="Q1582" s="71">
        <v>0</v>
      </c>
      <c r="R1582" s="53">
        <v>0</v>
      </c>
      <c r="S1582" s="54">
        <v>0</v>
      </c>
      <c r="T1582" s="77">
        <f>STOCK[[#This Row],[Costo Unitario (USD)]]+STOCK[[#This Row],[Costo Envío (USD)]]+STOCK[[#This Row],[Comisión 10%]]</f>
        <v>14.2</v>
      </c>
      <c r="U1582" s="53">
        <f>STOCK[[#This Row],[Costo total]]*1.5</f>
        <v>21.3</v>
      </c>
      <c r="V1582" s="53">
        <v>22</v>
      </c>
      <c r="W1582" s="77">
        <f>STOCK[[#This Row],[Precio Final]]-STOCK[[#This Row],[Costo total]]</f>
        <v>7.8</v>
      </c>
      <c r="X1582" s="77">
        <f>STOCK[[#This Row],[Ganancia Unitaria]]*STOCK[[#This Row],[Salidas]]</f>
        <v>7.8</v>
      </c>
      <c r="Y1582" s="77"/>
      <c r="Z1582" s="77"/>
      <c r="AA1582" s="54">
        <f>STOCK[[#This Row],[Costo total]]*STOCK[[#This Row],[Entradas]]</f>
        <v>14.2</v>
      </c>
      <c r="AB1582" s="54">
        <f>STOCK[[#This Row],[Stock Actual]]*STOCK[[#This Row],[Costo total]]</f>
        <v>0</v>
      </c>
      <c r="AC1582" s="77"/>
      <c r="AD1582" s="84"/>
    </row>
    <row r="1583" s="53" customFormat="1" ht="50" customHeight="1" spans="1:30">
      <c r="A1583" s="53" t="s">
        <v>3141</v>
      </c>
      <c r="C1583" s="53" t="s">
        <v>32</v>
      </c>
      <c r="D1583" s="53" t="s">
        <v>780</v>
      </c>
      <c r="E1583" s="67" t="s">
        <v>3142</v>
      </c>
      <c r="F1583" s="53" t="s">
        <v>62</v>
      </c>
      <c r="H1583" s="77">
        <f>STOCK[[#This Row],[Precio Final]]</f>
        <v>25</v>
      </c>
      <c r="I1583" s="82">
        <f>STOCK[[#This Row],[Precio Venta Ideal (x1.5)]]</f>
        <v>21.75</v>
      </c>
      <c r="J1583" s="71">
        <v>1</v>
      </c>
      <c r="K1583" s="80">
        <f>SUMIFS(VENTAS[Cantidad],VENTAS[Código del producto Vendido],STOCK[[#This Row],[Code]])</f>
        <v>1</v>
      </c>
      <c r="L1583" s="80">
        <f>STOCK[[#This Row],[Entradas]]-STOCK[[#This Row],[Salidas]]</f>
        <v>0</v>
      </c>
      <c r="M1583" s="77">
        <f>STOCK[[#This Row],[Precio Final]]*10%</f>
        <v>2.5</v>
      </c>
      <c r="N1583" s="53">
        <v>0</v>
      </c>
      <c r="O1583" s="77">
        <v>0</v>
      </c>
      <c r="P1583" s="53">
        <v>12</v>
      </c>
      <c r="Q1583" s="72">
        <v>0</v>
      </c>
      <c r="R1583" s="54">
        <v>0</v>
      </c>
      <c r="S1583" s="54">
        <v>0</v>
      </c>
      <c r="T1583" s="77">
        <f>STOCK[[#This Row],[Costo Unitario (USD)]]+STOCK[[#This Row],[Costo Envío (USD)]]+STOCK[[#This Row],[Comisión 10%]]</f>
        <v>14.5</v>
      </c>
      <c r="U1583" s="53">
        <f>STOCK[[#This Row],[Costo total]]*1.5</f>
        <v>21.75</v>
      </c>
      <c r="V1583" s="53">
        <v>25</v>
      </c>
      <c r="W1583" s="77">
        <f>STOCK[[#This Row],[Precio Final]]-STOCK[[#This Row],[Costo total]]</f>
        <v>10.5</v>
      </c>
      <c r="X1583" s="77">
        <f>STOCK[[#This Row],[Ganancia Unitaria]]*STOCK[[#This Row],[Salidas]]</f>
        <v>10.5</v>
      </c>
      <c r="Y1583" s="77"/>
      <c r="Z1583" s="77"/>
      <c r="AA1583" s="54">
        <f>STOCK[[#This Row],[Costo total]]*STOCK[[#This Row],[Entradas]]</f>
        <v>14.5</v>
      </c>
      <c r="AB1583" s="54">
        <f>STOCK[[#This Row],[Stock Actual]]*STOCK[[#This Row],[Costo total]]</f>
        <v>0</v>
      </c>
      <c r="AC1583" s="77"/>
      <c r="AD1583" s="84"/>
    </row>
    <row r="1584" s="53" customFormat="1" ht="50" customHeight="1" spans="1:30">
      <c r="A1584" s="53" t="s">
        <v>3143</v>
      </c>
      <c r="B1584" s="71" t="str">
        <f>_xlfn.DISPIMG("ID_315F63E0D5474F3D9FF9A5DDC0C4A126",1)</f>
        <v>=DISPIMG("ID_315F63E0D5474F3D9FF9A5DDC0C4A126",1)</v>
      </c>
      <c r="C1584" s="53" t="s">
        <v>32</v>
      </c>
      <c r="D1584" s="53" t="s">
        <v>780</v>
      </c>
      <c r="E1584" s="67" t="s">
        <v>3144</v>
      </c>
      <c r="F1584" s="53" t="s">
        <v>40</v>
      </c>
      <c r="H1584" s="77">
        <f>STOCK[[#This Row],[Precio Final]]</f>
        <v>25</v>
      </c>
      <c r="I1584" s="82">
        <f>STOCK[[#This Row],[Precio Venta Ideal (x1.5)]]</f>
        <v>21.75</v>
      </c>
      <c r="J1584" s="71">
        <v>1</v>
      </c>
      <c r="K1584" s="80">
        <f>SUMIFS(VENTAS[Cantidad],VENTAS[Código del producto Vendido],STOCK[[#This Row],[Code]])</f>
        <v>0</v>
      </c>
      <c r="L1584" s="80">
        <f>STOCK[[#This Row],[Entradas]]-STOCK[[#This Row],[Salidas]]</f>
        <v>1</v>
      </c>
      <c r="M1584" s="77">
        <f>STOCK[[#This Row],[Precio Final]]*10%</f>
        <v>2.5</v>
      </c>
      <c r="N1584" s="54">
        <v>0</v>
      </c>
      <c r="O1584" s="77">
        <v>0</v>
      </c>
      <c r="P1584" s="53">
        <v>12</v>
      </c>
      <c r="Q1584" s="71">
        <v>0</v>
      </c>
      <c r="R1584" s="53">
        <v>0</v>
      </c>
      <c r="S1584" s="53">
        <v>0</v>
      </c>
      <c r="T1584" s="77">
        <f>STOCK[[#This Row],[Costo Unitario (USD)]]+STOCK[[#This Row],[Costo Envío (USD)]]+STOCK[[#This Row],[Comisión 10%]]</f>
        <v>14.5</v>
      </c>
      <c r="U1584" s="53">
        <f>STOCK[[#This Row],[Costo total]]*1.5</f>
        <v>21.75</v>
      </c>
      <c r="V1584" s="53">
        <v>25</v>
      </c>
      <c r="W1584" s="77">
        <f>STOCK[[#This Row],[Precio Final]]-STOCK[[#This Row],[Costo total]]</f>
        <v>10.5</v>
      </c>
      <c r="X1584" s="77">
        <f>STOCK[[#This Row],[Ganancia Unitaria]]*STOCK[[#This Row],[Salidas]]</f>
        <v>0</v>
      </c>
      <c r="Y1584" s="77"/>
      <c r="Z1584" s="77"/>
      <c r="AA1584" s="54">
        <f>STOCK[[#This Row],[Costo total]]*STOCK[[#This Row],[Entradas]]</f>
        <v>14.5</v>
      </c>
      <c r="AB1584" s="54">
        <f>STOCK[[#This Row],[Stock Actual]]*STOCK[[#This Row],[Costo total]]</f>
        <v>14.5</v>
      </c>
      <c r="AC1584" s="77"/>
      <c r="AD1584" s="84"/>
    </row>
    <row r="1585" s="53" customFormat="1" ht="50" customHeight="1" spans="1:30">
      <c r="A1585" s="53" t="s">
        <v>3145</v>
      </c>
      <c r="B1585" s="71" t="str">
        <f>_xlfn.DISPIMG("ID_677C6FEC13954461A125BE698441BF2E",1)</f>
        <v>=DISPIMG("ID_677C6FEC13954461A125BE698441BF2E",1)</v>
      </c>
      <c r="C1585" s="53" t="s">
        <v>32</v>
      </c>
      <c r="D1585" s="53" t="s">
        <v>780</v>
      </c>
      <c r="E1585" s="67" t="s">
        <v>3146</v>
      </c>
      <c r="F1585" s="53" t="s">
        <v>62</v>
      </c>
      <c r="H1585" s="77">
        <f>STOCK[[#This Row],[Precio Final]]</f>
        <v>25</v>
      </c>
      <c r="I1585" s="82">
        <f>STOCK[[#This Row],[Precio Venta Ideal (x1.5)]]</f>
        <v>21.75</v>
      </c>
      <c r="J1585" s="71">
        <v>1</v>
      </c>
      <c r="K1585" s="80">
        <f>SUMIFS(VENTAS[Cantidad],VENTAS[Código del producto Vendido],STOCK[[#This Row],[Code]])</f>
        <v>1</v>
      </c>
      <c r="L1585" s="80">
        <f>STOCK[[#This Row],[Entradas]]-STOCK[[#This Row],[Salidas]]</f>
        <v>0</v>
      </c>
      <c r="M1585" s="77">
        <f>STOCK[[#This Row],[Precio Final]]*10%</f>
        <v>2.5</v>
      </c>
      <c r="N1585" s="54">
        <v>0</v>
      </c>
      <c r="O1585" s="77">
        <v>0</v>
      </c>
      <c r="P1585" s="53">
        <v>12</v>
      </c>
      <c r="Q1585" s="71">
        <v>0</v>
      </c>
      <c r="R1585" s="54">
        <v>0</v>
      </c>
      <c r="S1585" s="54">
        <v>0</v>
      </c>
      <c r="T1585" s="77">
        <f>STOCK[[#This Row],[Costo Unitario (USD)]]+STOCK[[#This Row],[Costo Envío (USD)]]+STOCK[[#This Row],[Comisión 10%]]</f>
        <v>14.5</v>
      </c>
      <c r="U1585" s="53">
        <f>STOCK[[#This Row],[Costo total]]*1.5</f>
        <v>21.75</v>
      </c>
      <c r="V1585" s="53">
        <v>25</v>
      </c>
      <c r="W1585" s="77">
        <f>STOCK[[#This Row],[Precio Final]]-STOCK[[#This Row],[Costo total]]</f>
        <v>10.5</v>
      </c>
      <c r="X1585" s="77">
        <f>STOCK[[#This Row],[Ganancia Unitaria]]*STOCK[[#This Row],[Salidas]]</f>
        <v>10.5</v>
      </c>
      <c r="Y1585" s="77"/>
      <c r="Z1585" s="77"/>
      <c r="AA1585" s="54">
        <f>STOCK[[#This Row],[Costo total]]*STOCK[[#This Row],[Entradas]]</f>
        <v>14.5</v>
      </c>
      <c r="AB1585" s="54">
        <f>STOCK[[#This Row],[Stock Actual]]*STOCK[[#This Row],[Costo total]]</f>
        <v>0</v>
      </c>
      <c r="AC1585" s="77"/>
      <c r="AD1585" s="84"/>
    </row>
    <row r="1586" s="53" customFormat="1" ht="50" customHeight="1" spans="1:30">
      <c r="A1586" s="53" t="s">
        <v>3147</v>
      </c>
      <c r="B1586" s="71" t="str">
        <f>_xlfn.DISPIMG("ID_889E5EDE8DBF42C6AEB0EA24F37D82AF",1)</f>
        <v>=DISPIMG("ID_889E5EDE8DBF42C6AEB0EA24F37D82AF",1)</v>
      </c>
      <c r="C1586" s="53" t="s">
        <v>32</v>
      </c>
      <c r="D1586" s="53" t="s">
        <v>780</v>
      </c>
      <c r="E1586" s="67" t="s">
        <v>3148</v>
      </c>
      <c r="F1586" s="53" t="s">
        <v>62</v>
      </c>
      <c r="H1586" s="77">
        <f>STOCK[[#This Row],[Precio Final]]</f>
        <v>25</v>
      </c>
      <c r="I1586" s="82">
        <f>STOCK[[#This Row],[Precio Venta Ideal (x1.5)]]</f>
        <v>21.75</v>
      </c>
      <c r="J1586" s="71">
        <v>1</v>
      </c>
      <c r="K1586" s="80">
        <f>SUMIFS(VENTAS[Cantidad],VENTAS[Código del producto Vendido],STOCK[[#This Row],[Code]])</f>
        <v>1</v>
      </c>
      <c r="L1586" s="80">
        <f>STOCK[[#This Row],[Entradas]]-STOCK[[#This Row],[Salidas]]</f>
        <v>0</v>
      </c>
      <c r="M1586" s="77">
        <f>STOCK[[#This Row],[Precio Final]]*10%</f>
        <v>2.5</v>
      </c>
      <c r="N1586" s="53">
        <v>0</v>
      </c>
      <c r="O1586" s="77">
        <v>0</v>
      </c>
      <c r="P1586" s="53">
        <v>12</v>
      </c>
      <c r="Q1586" s="72">
        <v>0</v>
      </c>
      <c r="R1586" s="53">
        <v>0</v>
      </c>
      <c r="S1586" s="54">
        <v>0</v>
      </c>
      <c r="T1586" s="77">
        <f>STOCK[[#This Row],[Costo Unitario (USD)]]+STOCK[[#This Row],[Costo Envío (USD)]]+STOCK[[#This Row],[Comisión 10%]]</f>
        <v>14.5</v>
      </c>
      <c r="U1586" s="53">
        <f>STOCK[[#This Row],[Costo total]]*1.5</f>
        <v>21.75</v>
      </c>
      <c r="V1586" s="53">
        <v>25</v>
      </c>
      <c r="W1586" s="77">
        <f>STOCK[[#This Row],[Precio Final]]-STOCK[[#This Row],[Costo total]]</f>
        <v>10.5</v>
      </c>
      <c r="X1586" s="77">
        <f>STOCK[[#This Row],[Ganancia Unitaria]]*STOCK[[#This Row],[Salidas]]</f>
        <v>10.5</v>
      </c>
      <c r="Y1586" s="77"/>
      <c r="Z1586" s="77"/>
      <c r="AA1586" s="54">
        <f>STOCK[[#This Row],[Costo total]]*STOCK[[#This Row],[Entradas]]</f>
        <v>14.5</v>
      </c>
      <c r="AB1586" s="54">
        <f>STOCK[[#This Row],[Stock Actual]]*STOCK[[#This Row],[Costo total]]</f>
        <v>0</v>
      </c>
      <c r="AC1586" s="77"/>
      <c r="AD1586" s="84"/>
    </row>
    <row r="1587" s="53" customFormat="1" ht="50" customHeight="1" spans="1:30">
      <c r="A1587" s="53" t="s">
        <v>3149</v>
      </c>
      <c r="B1587" s="71" t="str">
        <f>_xlfn.DISPIMG("ID_C124F5B9512D4E3CA04E0645BE99C60D",1)</f>
        <v>=DISPIMG("ID_C124F5B9512D4E3CA04E0645BE99C60D",1)</v>
      </c>
      <c r="C1587" s="53" t="s">
        <v>32</v>
      </c>
      <c r="D1587" s="53" t="s">
        <v>780</v>
      </c>
      <c r="E1587" s="67" t="s">
        <v>3150</v>
      </c>
      <c r="F1587" s="53" t="s">
        <v>49</v>
      </c>
      <c r="H1587" s="77">
        <f>STOCK[[#This Row],[Precio Final]]</f>
        <v>25</v>
      </c>
      <c r="I1587" s="82">
        <f>STOCK[[#This Row],[Precio Venta Ideal (x1.5)]]</f>
        <v>21.75</v>
      </c>
      <c r="J1587" s="71">
        <v>1</v>
      </c>
      <c r="K1587" s="80">
        <f>SUMIFS(VENTAS[Cantidad],VENTAS[Código del producto Vendido],STOCK[[#This Row],[Code]])</f>
        <v>1</v>
      </c>
      <c r="L1587" s="80">
        <f>STOCK[[#This Row],[Entradas]]-STOCK[[#This Row],[Salidas]]</f>
        <v>0</v>
      </c>
      <c r="M1587" s="77">
        <f>STOCK[[#This Row],[Precio Final]]*10%</f>
        <v>2.5</v>
      </c>
      <c r="N1587" s="54">
        <v>0</v>
      </c>
      <c r="O1587" s="77">
        <v>0</v>
      </c>
      <c r="P1587" s="53">
        <v>12</v>
      </c>
      <c r="Q1587" s="71">
        <v>0</v>
      </c>
      <c r="R1587" s="54">
        <v>0</v>
      </c>
      <c r="S1587" s="53">
        <v>0</v>
      </c>
      <c r="T1587" s="77">
        <f>STOCK[[#This Row],[Costo Unitario (USD)]]+STOCK[[#This Row],[Costo Envío (USD)]]+STOCK[[#This Row],[Comisión 10%]]</f>
        <v>14.5</v>
      </c>
      <c r="U1587" s="53">
        <f>STOCK[[#This Row],[Costo total]]*1.5</f>
        <v>21.75</v>
      </c>
      <c r="V1587" s="53">
        <v>25</v>
      </c>
      <c r="W1587" s="77">
        <f>STOCK[[#This Row],[Precio Final]]-STOCK[[#This Row],[Costo total]]</f>
        <v>10.5</v>
      </c>
      <c r="X1587" s="77">
        <f>STOCK[[#This Row],[Ganancia Unitaria]]*STOCK[[#This Row],[Salidas]]</f>
        <v>10.5</v>
      </c>
      <c r="Y1587" s="77"/>
      <c r="Z1587" s="77"/>
      <c r="AA1587" s="54">
        <f>STOCK[[#This Row],[Costo total]]*STOCK[[#This Row],[Entradas]]</f>
        <v>14.5</v>
      </c>
      <c r="AB1587" s="54">
        <f>STOCK[[#This Row],[Stock Actual]]*STOCK[[#This Row],[Costo total]]</f>
        <v>0</v>
      </c>
      <c r="AC1587" s="77"/>
      <c r="AD1587" s="84"/>
    </row>
    <row r="1588" s="53" customFormat="1" ht="50" customHeight="1" spans="1:30">
      <c r="A1588" s="53" t="s">
        <v>3151</v>
      </c>
      <c r="B1588" s="71" t="str">
        <f>_xlfn.DISPIMG("ID_894A73110135420E8DEE306F1483BDB8",1)</f>
        <v>=DISPIMG("ID_894A73110135420E8DEE306F1483BDB8",1)</v>
      </c>
      <c r="C1588" s="53" t="s">
        <v>32</v>
      </c>
      <c r="D1588" s="53" t="s">
        <v>780</v>
      </c>
      <c r="E1588" s="67" t="s">
        <v>3152</v>
      </c>
      <c r="F1588" s="53" t="s">
        <v>62</v>
      </c>
      <c r="H1588" s="77">
        <f>STOCK[[#This Row],[Precio Final]]</f>
        <v>20</v>
      </c>
      <c r="I1588" s="82">
        <f>STOCK[[#This Row],[Precio Venta Ideal (x1.5)]]</f>
        <v>21</v>
      </c>
      <c r="J1588" s="71">
        <v>1</v>
      </c>
      <c r="K1588" s="80">
        <f>SUMIFS(VENTAS[Cantidad],VENTAS[Código del producto Vendido],STOCK[[#This Row],[Code]])</f>
        <v>1</v>
      </c>
      <c r="L1588" s="80">
        <f>STOCK[[#This Row],[Entradas]]-STOCK[[#This Row],[Salidas]]</f>
        <v>0</v>
      </c>
      <c r="M1588" s="77">
        <f>STOCK[[#This Row],[Precio Final]]*10%</f>
        <v>2</v>
      </c>
      <c r="N1588" s="54">
        <v>0</v>
      </c>
      <c r="O1588" s="77">
        <v>0</v>
      </c>
      <c r="P1588" s="53">
        <v>12</v>
      </c>
      <c r="Q1588" s="71">
        <v>0</v>
      </c>
      <c r="R1588" s="53">
        <v>0</v>
      </c>
      <c r="S1588" s="54">
        <v>0</v>
      </c>
      <c r="T1588" s="77">
        <f>STOCK[[#This Row],[Costo Unitario (USD)]]+STOCK[[#This Row],[Costo Envío (USD)]]+STOCK[[#This Row],[Comisión 10%]]</f>
        <v>14</v>
      </c>
      <c r="U1588" s="53">
        <f>STOCK[[#This Row],[Costo total]]*1.5</f>
        <v>21</v>
      </c>
      <c r="V1588" s="53">
        <v>20</v>
      </c>
      <c r="W1588" s="77">
        <f>STOCK[[#This Row],[Precio Final]]-STOCK[[#This Row],[Costo total]]</f>
        <v>6</v>
      </c>
      <c r="X1588" s="77">
        <f>STOCK[[#This Row],[Ganancia Unitaria]]*STOCK[[#This Row],[Salidas]]</f>
        <v>6</v>
      </c>
      <c r="Y1588" s="77"/>
      <c r="Z1588" s="77"/>
      <c r="AA1588" s="54">
        <f>STOCK[[#This Row],[Costo total]]*STOCK[[#This Row],[Entradas]]</f>
        <v>14</v>
      </c>
      <c r="AB1588" s="54">
        <f>STOCK[[#This Row],[Stock Actual]]*STOCK[[#This Row],[Costo total]]</f>
        <v>0</v>
      </c>
      <c r="AC1588" s="77"/>
      <c r="AD1588" s="84"/>
    </row>
    <row r="1589" s="53" customFormat="1" ht="50" customHeight="1" spans="1:30">
      <c r="A1589" s="53" t="s">
        <v>3153</v>
      </c>
      <c r="B1589" s="71" t="str">
        <f>_xlfn.DISPIMG("ID_8C79A6110A4E40D1B23FEFB3281A788B",1)</f>
        <v>=DISPIMG("ID_8C79A6110A4E40D1B23FEFB3281A788B",1)</v>
      </c>
      <c r="C1589" s="53" t="s">
        <v>32</v>
      </c>
      <c r="D1589" s="53" t="s">
        <v>780</v>
      </c>
      <c r="E1589" s="67" t="s">
        <v>3154</v>
      </c>
      <c r="F1589" s="53" t="s">
        <v>46</v>
      </c>
      <c r="H1589" s="77">
        <f>STOCK[[#This Row],[Precio Final]]</f>
        <v>20</v>
      </c>
      <c r="I1589" s="82">
        <f>STOCK[[#This Row],[Precio Venta Ideal (x1.5)]]</f>
        <v>15</v>
      </c>
      <c r="J1589" s="71">
        <v>1</v>
      </c>
      <c r="K1589" s="80">
        <f>SUMIFS(VENTAS[Cantidad],VENTAS[Código del producto Vendido],STOCK[[#This Row],[Code]])</f>
        <v>0</v>
      </c>
      <c r="L1589" s="80">
        <f>STOCK[[#This Row],[Entradas]]-STOCK[[#This Row],[Salidas]]</f>
        <v>1</v>
      </c>
      <c r="M1589" s="77">
        <f>STOCK[[#This Row],[Precio Final]]*10%</f>
        <v>2</v>
      </c>
      <c r="N1589" s="53">
        <v>0</v>
      </c>
      <c r="O1589" s="77">
        <v>0</v>
      </c>
      <c r="P1589" s="53">
        <v>8</v>
      </c>
      <c r="Q1589" s="72">
        <v>0</v>
      </c>
      <c r="R1589" s="54">
        <v>0</v>
      </c>
      <c r="S1589" s="54">
        <v>0</v>
      </c>
      <c r="T1589" s="77">
        <f>STOCK[[#This Row],[Costo Unitario (USD)]]+STOCK[[#This Row],[Costo Envío (USD)]]+STOCK[[#This Row],[Comisión 10%]]</f>
        <v>10</v>
      </c>
      <c r="U1589" s="53">
        <f>STOCK[[#This Row],[Costo total]]*1.5</f>
        <v>15</v>
      </c>
      <c r="V1589" s="53">
        <v>20</v>
      </c>
      <c r="W1589" s="77">
        <f>STOCK[[#This Row],[Precio Final]]-STOCK[[#This Row],[Costo total]]</f>
        <v>10</v>
      </c>
      <c r="X1589" s="77">
        <f>STOCK[[#This Row],[Ganancia Unitaria]]*STOCK[[#This Row],[Salidas]]</f>
        <v>0</v>
      </c>
      <c r="Y1589" s="77"/>
      <c r="Z1589" s="77"/>
      <c r="AA1589" s="54">
        <f>STOCK[[#This Row],[Costo total]]*STOCK[[#This Row],[Entradas]]</f>
        <v>10</v>
      </c>
      <c r="AB1589" s="54">
        <f>STOCK[[#This Row],[Stock Actual]]*STOCK[[#This Row],[Costo total]]</f>
        <v>10</v>
      </c>
      <c r="AC1589" s="77"/>
      <c r="AD1589" s="84"/>
    </row>
    <row r="1590" s="53" customFormat="1" ht="50" customHeight="1" spans="1:30">
      <c r="A1590" s="53" t="s">
        <v>3155</v>
      </c>
      <c r="B1590" s="71" t="str">
        <f>_xlfn.DISPIMG("ID_4D2FA45FDD8342C79F793CEA60F59338",1)</f>
        <v>=DISPIMG("ID_4D2FA45FDD8342C79F793CEA60F59338",1)</v>
      </c>
      <c r="C1590" s="53" t="s">
        <v>32</v>
      </c>
      <c r="D1590" s="53" t="s">
        <v>780</v>
      </c>
      <c r="E1590" s="67" t="s">
        <v>3156</v>
      </c>
      <c r="F1590" s="53" t="s">
        <v>42</v>
      </c>
      <c r="H1590" s="77">
        <f>STOCK[[#This Row],[Precio Final]]</f>
        <v>20</v>
      </c>
      <c r="I1590" s="82">
        <f>STOCK[[#This Row],[Precio Venta Ideal (x1.5)]]</f>
        <v>15</v>
      </c>
      <c r="J1590" s="71">
        <v>1</v>
      </c>
      <c r="K1590" s="80">
        <f>SUMIFS(VENTAS[Cantidad],VENTAS[Código del producto Vendido],STOCK[[#This Row],[Code]])</f>
        <v>0</v>
      </c>
      <c r="L1590" s="80">
        <f>STOCK[[#This Row],[Entradas]]-STOCK[[#This Row],[Salidas]]</f>
        <v>1</v>
      </c>
      <c r="M1590" s="77">
        <f>STOCK[[#This Row],[Precio Final]]*10%</f>
        <v>2</v>
      </c>
      <c r="N1590" s="54">
        <v>0</v>
      </c>
      <c r="O1590" s="77">
        <v>0</v>
      </c>
      <c r="P1590" s="53">
        <v>8</v>
      </c>
      <c r="Q1590" s="71">
        <v>0</v>
      </c>
      <c r="R1590" s="53">
        <v>0</v>
      </c>
      <c r="S1590" s="53">
        <v>0</v>
      </c>
      <c r="T1590" s="77">
        <f>STOCK[[#This Row],[Costo Unitario (USD)]]+STOCK[[#This Row],[Costo Envío (USD)]]+STOCK[[#This Row],[Comisión 10%]]</f>
        <v>10</v>
      </c>
      <c r="U1590" s="53">
        <f>STOCK[[#This Row],[Costo total]]*1.5</f>
        <v>15</v>
      </c>
      <c r="V1590" s="53">
        <v>20</v>
      </c>
      <c r="W1590" s="77">
        <f>STOCK[[#This Row],[Precio Final]]-STOCK[[#This Row],[Costo total]]</f>
        <v>10</v>
      </c>
      <c r="X1590" s="77">
        <f>STOCK[[#This Row],[Ganancia Unitaria]]*STOCK[[#This Row],[Salidas]]</f>
        <v>0</v>
      </c>
      <c r="Y1590" s="77"/>
      <c r="Z1590" s="77"/>
      <c r="AA1590" s="54">
        <f>STOCK[[#This Row],[Costo total]]*STOCK[[#This Row],[Entradas]]</f>
        <v>10</v>
      </c>
      <c r="AB1590" s="54">
        <f>STOCK[[#This Row],[Stock Actual]]*STOCK[[#This Row],[Costo total]]</f>
        <v>10</v>
      </c>
      <c r="AC1590" s="77"/>
      <c r="AD1590" s="84"/>
    </row>
    <row r="1591" s="53" customFormat="1" ht="50" customHeight="1" spans="1:30">
      <c r="A1591" s="53" t="s">
        <v>3157</v>
      </c>
      <c r="B1591" s="71" t="str">
        <f>_xlfn.DISPIMG("ID_4D2FA45FDD8342C79F793CEA60F59338",1)</f>
        <v>=DISPIMG("ID_4D2FA45FDD8342C79F793CEA60F59338",1)</v>
      </c>
      <c r="C1591" s="53" t="s">
        <v>32</v>
      </c>
      <c r="D1591" s="53" t="s">
        <v>780</v>
      </c>
      <c r="E1591" s="67" t="s">
        <v>3156</v>
      </c>
      <c r="F1591" s="53" t="s">
        <v>281</v>
      </c>
      <c r="H1591" s="77">
        <f>STOCK[[#This Row],[Precio Final]]</f>
        <v>20</v>
      </c>
      <c r="I1591" s="82">
        <f>STOCK[[#This Row],[Precio Venta Ideal (x1.5)]]</f>
        <v>15</v>
      </c>
      <c r="J1591" s="71">
        <v>1</v>
      </c>
      <c r="K1591" s="80">
        <f>SUMIFS(VENTAS[Cantidad],VENTAS[Código del producto Vendido],STOCK[[#This Row],[Code]])</f>
        <v>0</v>
      </c>
      <c r="L1591" s="80">
        <f>STOCK[[#This Row],[Entradas]]-STOCK[[#This Row],[Salidas]]</f>
        <v>1</v>
      </c>
      <c r="M1591" s="77">
        <f>STOCK[[#This Row],[Precio Final]]*10%</f>
        <v>2</v>
      </c>
      <c r="N1591" s="54">
        <v>0</v>
      </c>
      <c r="O1591" s="77">
        <v>0</v>
      </c>
      <c r="P1591" s="53">
        <v>8</v>
      </c>
      <c r="Q1591" s="71">
        <v>0</v>
      </c>
      <c r="R1591" s="54">
        <v>0</v>
      </c>
      <c r="S1591" s="54">
        <v>0</v>
      </c>
      <c r="T1591" s="77">
        <f>STOCK[[#This Row],[Costo Unitario (USD)]]+STOCK[[#This Row],[Costo Envío (USD)]]+STOCK[[#This Row],[Comisión 10%]]</f>
        <v>10</v>
      </c>
      <c r="U1591" s="53">
        <f>STOCK[[#This Row],[Costo total]]*1.5</f>
        <v>15</v>
      </c>
      <c r="V1591" s="53">
        <v>20</v>
      </c>
      <c r="W1591" s="77">
        <f>STOCK[[#This Row],[Precio Final]]-STOCK[[#This Row],[Costo total]]</f>
        <v>10</v>
      </c>
      <c r="X1591" s="77">
        <f>STOCK[[#This Row],[Ganancia Unitaria]]*STOCK[[#This Row],[Salidas]]</f>
        <v>0</v>
      </c>
      <c r="Y1591" s="77"/>
      <c r="Z1591" s="77"/>
      <c r="AA1591" s="54">
        <f>STOCK[[#This Row],[Costo total]]*STOCK[[#This Row],[Entradas]]</f>
        <v>10</v>
      </c>
      <c r="AB1591" s="54">
        <f>STOCK[[#This Row],[Stock Actual]]*STOCK[[#This Row],[Costo total]]</f>
        <v>10</v>
      </c>
      <c r="AC1591" s="77"/>
      <c r="AD1591" s="84"/>
    </row>
    <row r="1592" s="53" customFormat="1" ht="50" customHeight="1" spans="1:30">
      <c r="A1592" s="53" t="s">
        <v>3158</v>
      </c>
      <c r="B1592" s="71" t="str">
        <f>_xlfn.DISPIMG("ID_7AEEF701FAF24EDD84CFF723A4E24DAF",1)</f>
        <v>=DISPIMG("ID_7AEEF701FAF24EDD84CFF723A4E24DAF",1)</v>
      </c>
      <c r="C1592" s="53" t="s">
        <v>32</v>
      </c>
      <c r="D1592" s="53" t="s">
        <v>780</v>
      </c>
      <c r="E1592" s="67" t="s">
        <v>3159</v>
      </c>
      <c r="F1592" s="53" t="s">
        <v>46</v>
      </c>
      <c r="H1592" s="77">
        <f>STOCK[[#This Row],[Precio Final]]</f>
        <v>20</v>
      </c>
      <c r="I1592" s="82">
        <f>STOCK[[#This Row],[Precio Venta Ideal (x1.5)]]</f>
        <v>15</v>
      </c>
      <c r="J1592" s="71">
        <v>1</v>
      </c>
      <c r="K1592" s="80">
        <f>SUMIFS(VENTAS[Cantidad],VENTAS[Código del producto Vendido],STOCK[[#This Row],[Code]])</f>
        <v>0</v>
      </c>
      <c r="L1592" s="80">
        <f>STOCK[[#This Row],[Entradas]]-STOCK[[#This Row],[Salidas]]</f>
        <v>1</v>
      </c>
      <c r="M1592" s="77">
        <f>STOCK[[#This Row],[Precio Final]]*10%</f>
        <v>2</v>
      </c>
      <c r="N1592" s="53">
        <v>0</v>
      </c>
      <c r="O1592" s="77">
        <v>0</v>
      </c>
      <c r="P1592" s="53">
        <v>8</v>
      </c>
      <c r="Q1592" s="72">
        <v>0</v>
      </c>
      <c r="R1592" s="53">
        <v>0</v>
      </c>
      <c r="S1592" s="54">
        <v>0</v>
      </c>
      <c r="T1592" s="77">
        <f>STOCK[[#This Row],[Costo Unitario (USD)]]+STOCK[[#This Row],[Costo Envío (USD)]]+STOCK[[#This Row],[Comisión 10%]]</f>
        <v>10</v>
      </c>
      <c r="U1592" s="53">
        <f>STOCK[[#This Row],[Costo total]]*1.5</f>
        <v>15</v>
      </c>
      <c r="V1592" s="53">
        <v>20</v>
      </c>
      <c r="W1592" s="77">
        <f>STOCK[[#This Row],[Precio Final]]-STOCK[[#This Row],[Costo total]]</f>
        <v>10</v>
      </c>
      <c r="X1592" s="77">
        <f>STOCK[[#This Row],[Ganancia Unitaria]]*STOCK[[#This Row],[Salidas]]</f>
        <v>0</v>
      </c>
      <c r="Y1592" s="77"/>
      <c r="Z1592" s="77"/>
      <c r="AA1592" s="54">
        <f>STOCK[[#This Row],[Costo total]]*STOCK[[#This Row],[Entradas]]</f>
        <v>10</v>
      </c>
      <c r="AB1592" s="54">
        <f>STOCK[[#This Row],[Stock Actual]]*STOCK[[#This Row],[Costo total]]</f>
        <v>10</v>
      </c>
      <c r="AC1592" s="77"/>
      <c r="AD1592" s="84"/>
    </row>
    <row r="1593" s="53" customFormat="1" ht="50" customHeight="1" spans="1:30">
      <c r="A1593" s="53" t="s">
        <v>3160</v>
      </c>
      <c r="B1593" s="53" t="s">
        <v>1345</v>
      </c>
      <c r="C1593" s="53" t="s">
        <v>32</v>
      </c>
      <c r="D1593" s="53" t="s">
        <v>546</v>
      </c>
      <c r="E1593" s="67" t="s">
        <v>3161</v>
      </c>
      <c r="F1593" s="53" t="s">
        <v>62</v>
      </c>
      <c r="H1593" s="77">
        <f>STOCK[[#This Row],[Precio Final]]</f>
        <v>2.5</v>
      </c>
      <c r="I1593" s="82">
        <f>STOCK[[#This Row],[Precio Venta Ideal (x1.5)]]</f>
        <v>1.665</v>
      </c>
      <c r="J1593" s="71">
        <v>9</v>
      </c>
      <c r="K1593" s="80">
        <f>SUMIFS(VENTAS[Cantidad],VENTAS[Código del producto Vendido],STOCK[[#This Row],[Code]])</f>
        <v>6</v>
      </c>
      <c r="L1593" s="80">
        <f>STOCK[[#This Row],[Entradas]]-STOCK[[#This Row],[Salidas]]</f>
        <v>3</v>
      </c>
      <c r="M1593" s="77">
        <f>STOCK[[#This Row],[Precio Final]]*10%</f>
        <v>0.25</v>
      </c>
      <c r="N1593" s="54">
        <v>0</v>
      </c>
      <c r="O1593" s="77">
        <v>0</v>
      </c>
      <c r="P1593" s="53">
        <v>0.86</v>
      </c>
      <c r="Q1593" s="71">
        <v>0</v>
      </c>
      <c r="R1593" s="54">
        <v>0</v>
      </c>
      <c r="S1593" s="53">
        <v>0</v>
      </c>
      <c r="T1593" s="77">
        <f>STOCK[[#This Row],[Costo Unitario (USD)]]+STOCK[[#This Row],[Costo Envío (USD)]]+STOCK[[#This Row],[Comisión 10%]]</f>
        <v>1.11</v>
      </c>
      <c r="U1593" s="53">
        <f>STOCK[[#This Row],[Costo total]]*1.5</f>
        <v>1.665</v>
      </c>
      <c r="V1593" s="53">
        <v>2.5</v>
      </c>
      <c r="W1593" s="77">
        <f>STOCK[[#This Row],[Precio Final]]-STOCK[[#This Row],[Costo total]]</f>
        <v>1.39</v>
      </c>
      <c r="X1593" s="77">
        <f>STOCK[[#This Row],[Ganancia Unitaria]]*STOCK[[#This Row],[Salidas]]</f>
        <v>8.34</v>
      </c>
      <c r="Y1593" s="77"/>
      <c r="Z1593" s="77"/>
      <c r="AA1593" s="54">
        <f>STOCK[[#This Row],[Costo total]]*STOCK[[#This Row],[Entradas]]</f>
        <v>9.99</v>
      </c>
      <c r="AB1593" s="54">
        <f>STOCK[[#This Row],[Stock Actual]]*STOCK[[#This Row],[Costo total]]</f>
        <v>3.33</v>
      </c>
      <c r="AC1593" s="77"/>
      <c r="AD1593" s="84"/>
    </row>
    <row r="1594" s="53" customFormat="1" ht="50" customHeight="1" spans="1:30">
      <c r="A1594" s="53" t="s">
        <v>3162</v>
      </c>
      <c r="B1594" s="53" t="s">
        <v>1345</v>
      </c>
      <c r="C1594" s="53" t="s">
        <v>32</v>
      </c>
      <c r="D1594" s="53" t="s">
        <v>1388</v>
      </c>
      <c r="E1594" s="67" t="s">
        <v>3163</v>
      </c>
      <c r="F1594" s="53" t="s">
        <v>49</v>
      </c>
      <c r="H1594" s="77">
        <f>STOCK[[#This Row],[Precio Final]]</f>
        <v>18</v>
      </c>
      <c r="I1594" s="82">
        <f>STOCK[[#This Row],[Precio Venta Ideal (x1.5)]]</f>
        <v>11.7</v>
      </c>
      <c r="J1594" s="71">
        <v>1</v>
      </c>
      <c r="K1594" s="80">
        <f>SUMIFS(VENTAS[Cantidad],VENTAS[Código del producto Vendido],STOCK[[#This Row],[Code]])</f>
        <v>0</v>
      </c>
      <c r="L1594" s="80">
        <f>STOCK[[#This Row],[Entradas]]-STOCK[[#This Row],[Salidas]]</f>
        <v>1</v>
      </c>
      <c r="M1594" s="77">
        <f>STOCK[[#This Row],[Precio Final]]*10%</f>
        <v>1.8</v>
      </c>
      <c r="N1594" s="54">
        <v>0</v>
      </c>
      <c r="O1594" s="77">
        <v>0</v>
      </c>
      <c r="P1594" s="53">
        <v>6</v>
      </c>
      <c r="Q1594" s="71">
        <v>0</v>
      </c>
      <c r="R1594" s="53">
        <v>0</v>
      </c>
      <c r="S1594" s="54">
        <v>0</v>
      </c>
      <c r="T1594" s="77">
        <f>STOCK[[#This Row],[Costo Unitario (USD)]]+STOCK[[#This Row],[Costo Envío (USD)]]+STOCK[[#This Row],[Comisión 10%]]</f>
        <v>7.8</v>
      </c>
      <c r="U1594" s="53">
        <f>STOCK[[#This Row],[Costo total]]*1.5</f>
        <v>11.7</v>
      </c>
      <c r="V1594" s="53">
        <v>18</v>
      </c>
      <c r="W1594" s="77">
        <f>STOCK[[#This Row],[Precio Final]]-STOCK[[#This Row],[Costo total]]</f>
        <v>10.2</v>
      </c>
      <c r="X1594" s="77">
        <f>STOCK[[#This Row],[Ganancia Unitaria]]*STOCK[[#This Row],[Salidas]]</f>
        <v>0</v>
      </c>
      <c r="Y1594" s="77"/>
      <c r="Z1594" s="77"/>
      <c r="AA1594" s="54">
        <f>STOCK[[#This Row],[Costo total]]*STOCK[[#This Row],[Entradas]]</f>
        <v>7.8</v>
      </c>
      <c r="AB1594" s="54">
        <f>STOCK[[#This Row],[Stock Actual]]*STOCK[[#This Row],[Costo total]]</f>
        <v>7.8</v>
      </c>
      <c r="AC1594" s="77"/>
      <c r="AD1594" s="84"/>
    </row>
    <row r="1595" s="53" customFormat="1" ht="50" customHeight="1" spans="1:30">
      <c r="A1595" s="53" t="s">
        <v>3164</v>
      </c>
      <c r="B1595" s="53" t="s">
        <v>1345</v>
      </c>
      <c r="C1595" s="53" t="s">
        <v>32</v>
      </c>
      <c r="D1595" s="53" t="s">
        <v>1388</v>
      </c>
      <c r="E1595" s="67" t="s">
        <v>3165</v>
      </c>
      <c r="F1595" s="53" t="s">
        <v>62</v>
      </c>
      <c r="H1595" s="77">
        <f>STOCK[[#This Row],[Precio Final]]</f>
        <v>20</v>
      </c>
      <c r="I1595" s="82">
        <f>STOCK[[#This Row],[Precio Venta Ideal (x1.5)]]</f>
        <v>12</v>
      </c>
      <c r="J1595" s="71">
        <v>1</v>
      </c>
      <c r="K1595" s="80">
        <f>SUMIFS(VENTAS[Cantidad],VENTAS[Código del producto Vendido],STOCK[[#This Row],[Code]])</f>
        <v>0</v>
      </c>
      <c r="L1595" s="80">
        <f>STOCK[[#This Row],[Entradas]]-STOCK[[#This Row],[Salidas]]</f>
        <v>1</v>
      </c>
      <c r="M1595" s="77">
        <f>STOCK[[#This Row],[Precio Final]]*10%</f>
        <v>2</v>
      </c>
      <c r="N1595" s="53">
        <v>0</v>
      </c>
      <c r="O1595" s="77">
        <v>0</v>
      </c>
      <c r="P1595" s="53">
        <v>6</v>
      </c>
      <c r="Q1595" s="72">
        <v>0</v>
      </c>
      <c r="R1595" s="54">
        <v>0</v>
      </c>
      <c r="S1595" s="54">
        <v>0</v>
      </c>
      <c r="T1595" s="77">
        <f>STOCK[[#This Row],[Costo Unitario (USD)]]+STOCK[[#This Row],[Costo Envío (USD)]]+STOCK[[#This Row],[Comisión 10%]]</f>
        <v>8</v>
      </c>
      <c r="U1595" s="53">
        <f>STOCK[[#This Row],[Costo total]]*1.5</f>
        <v>12</v>
      </c>
      <c r="V1595" s="53">
        <v>20</v>
      </c>
      <c r="W1595" s="77">
        <f>STOCK[[#This Row],[Precio Final]]-STOCK[[#This Row],[Costo total]]</f>
        <v>12</v>
      </c>
      <c r="X1595" s="77">
        <f>STOCK[[#This Row],[Ganancia Unitaria]]*STOCK[[#This Row],[Salidas]]</f>
        <v>0</v>
      </c>
      <c r="Y1595" s="77"/>
      <c r="Z1595" s="77"/>
      <c r="AA1595" s="54">
        <f>STOCK[[#This Row],[Costo total]]*STOCK[[#This Row],[Entradas]]</f>
        <v>8</v>
      </c>
      <c r="AB1595" s="54">
        <f>STOCK[[#This Row],[Stock Actual]]*STOCK[[#This Row],[Costo total]]</f>
        <v>8</v>
      </c>
      <c r="AC1595" s="77"/>
      <c r="AD1595" s="84"/>
    </row>
    <row r="1596" s="53" customFormat="1" ht="50" customHeight="1" spans="1:30">
      <c r="A1596" s="53" t="s">
        <v>3166</v>
      </c>
      <c r="C1596" s="53" t="s">
        <v>32</v>
      </c>
      <c r="D1596" s="53" t="s">
        <v>1388</v>
      </c>
      <c r="E1596" s="67" t="s">
        <v>3167</v>
      </c>
      <c r="H1596" s="77">
        <f>STOCK[[#This Row],[Precio Final]]</f>
        <v>15</v>
      </c>
      <c r="I1596" s="82">
        <f>STOCK[[#This Row],[Precio Venta Ideal (x1.5)]]</f>
        <v>11.25</v>
      </c>
      <c r="J1596" s="71">
        <v>1</v>
      </c>
      <c r="K1596" s="80">
        <f>SUMIFS(VENTAS[Cantidad],VENTAS[Código del producto Vendido],STOCK[[#This Row],[Code]])</f>
        <v>1</v>
      </c>
      <c r="L1596" s="80">
        <f>STOCK[[#This Row],[Entradas]]-STOCK[[#This Row],[Salidas]]</f>
        <v>0</v>
      </c>
      <c r="M1596" s="77">
        <f>STOCK[[#This Row],[Precio Final]]*10%</f>
        <v>1.5</v>
      </c>
      <c r="N1596" s="54">
        <v>0</v>
      </c>
      <c r="O1596" s="77">
        <v>0</v>
      </c>
      <c r="P1596" s="53">
        <v>6</v>
      </c>
      <c r="Q1596" s="71">
        <v>0</v>
      </c>
      <c r="R1596" s="53">
        <v>0</v>
      </c>
      <c r="S1596" s="53">
        <v>0</v>
      </c>
      <c r="T1596" s="77">
        <f>STOCK[[#This Row],[Costo Unitario (USD)]]+STOCK[[#This Row],[Costo Envío (USD)]]+STOCK[[#This Row],[Comisión 10%]]</f>
        <v>7.5</v>
      </c>
      <c r="U1596" s="53">
        <f>STOCK[[#This Row],[Costo total]]*1.5</f>
        <v>11.25</v>
      </c>
      <c r="V1596" s="53">
        <v>15</v>
      </c>
      <c r="W1596" s="77">
        <f>STOCK[[#This Row],[Precio Final]]-STOCK[[#This Row],[Costo total]]</f>
        <v>7.5</v>
      </c>
      <c r="X1596" s="77">
        <f>STOCK[[#This Row],[Ganancia Unitaria]]*STOCK[[#This Row],[Salidas]]</f>
        <v>7.5</v>
      </c>
      <c r="Y1596" s="77"/>
      <c r="Z1596" s="77"/>
      <c r="AA1596" s="54">
        <f>STOCK[[#This Row],[Costo total]]*STOCK[[#This Row],[Entradas]]</f>
        <v>7.5</v>
      </c>
      <c r="AB1596" s="54">
        <f>STOCK[[#This Row],[Stock Actual]]*STOCK[[#This Row],[Costo total]]</f>
        <v>0</v>
      </c>
      <c r="AC1596" s="77"/>
      <c r="AD1596" s="84"/>
    </row>
    <row r="1597" s="53" customFormat="1" ht="50" customHeight="1" spans="1:30">
      <c r="A1597" s="53" t="s">
        <v>3168</v>
      </c>
      <c r="B1597" s="53" t="s">
        <v>1345</v>
      </c>
      <c r="C1597" s="53" t="s">
        <v>32</v>
      </c>
      <c r="D1597" s="53" t="s">
        <v>1388</v>
      </c>
      <c r="E1597" s="67" t="s">
        <v>3169</v>
      </c>
      <c r="F1597" s="53" t="s">
        <v>40</v>
      </c>
      <c r="H1597" s="77">
        <f>STOCK[[#This Row],[Precio Final]]</f>
        <v>15</v>
      </c>
      <c r="I1597" s="82">
        <f>STOCK[[#This Row],[Precio Venta Ideal (x1.5)]]</f>
        <v>11.25</v>
      </c>
      <c r="J1597" s="71">
        <v>2</v>
      </c>
      <c r="K1597" s="80">
        <f>SUMIFS(VENTAS[Cantidad],VENTAS[Código del producto Vendido],STOCK[[#This Row],[Code]])</f>
        <v>0</v>
      </c>
      <c r="L1597" s="80">
        <f>STOCK[[#This Row],[Entradas]]-STOCK[[#This Row],[Salidas]]</f>
        <v>2</v>
      </c>
      <c r="M1597" s="77">
        <f>STOCK[[#This Row],[Precio Final]]*10%</f>
        <v>1.5</v>
      </c>
      <c r="N1597" s="54">
        <v>0</v>
      </c>
      <c r="O1597" s="77">
        <v>0</v>
      </c>
      <c r="P1597" s="53">
        <v>6</v>
      </c>
      <c r="Q1597" s="71">
        <v>0</v>
      </c>
      <c r="R1597" s="54">
        <v>0</v>
      </c>
      <c r="S1597" s="54">
        <v>0</v>
      </c>
      <c r="T1597" s="77">
        <f>STOCK[[#This Row],[Costo Unitario (USD)]]+STOCK[[#This Row],[Costo Envío (USD)]]+STOCK[[#This Row],[Comisión 10%]]</f>
        <v>7.5</v>
      </c>
      <c r="U1597" s="53">
        <f>STOCK[[#This Row],[Costo total]]*1.5</f>
        <v>11.25</v>
      </c>
      <c r="V1597" s="53">
        <v>15</v>
      </c>
      <c r="W1597" s="77">
        <f>STOCK[[#This Row],[Precio Final]]-STOCK[[#This Row],[Costo total]]</f>
        <v>7.5</v>
      </c>
      <c r="X1597" s="77">
        <f>STOCK[[#This Row],[Ganancia Unitaria]]*STOCK[[#This Row],[Salidas]]</f>
        <v>0</v>
      </c>
      <c r="Y1597" s="77"/>
      <c r="Z1597" s="77"/>
      <c r="AA1597" s="54">
        <f>STOCK[[#This Row],[Costo total]]*STOCK[[#This Row],[Entradas]]</f>
        <v>15</v>
      </c>
      <c r="AB1597" s="54">
        <f>STOCK[[#This Row],[Stock Actual]]*STOCK[[#This Row],[Costo total]]</f>
        <v>15</v>
      </c>
      <c r="AC1597" s="77"/>
      <c r="AD1597" s="84"/>
    </row>
    <row r="1598" s="53" customFormat="1" ht="50" customHeight="1" spans="1:30">
      <c r="A1598" s="53" t="s">
        <v>3170</v>
      </c>
      <c r="B1598" s="71" t="str">
        <f>_xlfn.DISPIMG("ID_EFB0578B518248C1B857153ADB5E7172",1)</f>
        <v>=DISPIMG("ID_EFB0578B518248C1B857153ADB5E7172",1)</v>
      </c>
      <c r="C1598" s="53" t="s">
        <v>32</v>
      </c>
      <c r="D1598" s="53" t="s">
        <v>1388</v>
      </c>
      <c r="E1598" s="67" t="s">
        <v>3171</v>
      </c>
      <c r="F1598" s="53" t="s">
        <v>525</v>
      </c>
      <c r="H1598" s="77">
        <f>STOCK[[#This Row],[Precio Final]]</f>
        <v>12</v>
      </c>
      <c r="I1598" s="82">
        <f>STOCK[[#This Row],[Precio Venta Ideal (x1.5)]]</f>
        <v>9.3</v>
      </c>
      <c r="J1598" s="71">
        <v>2</v>
      </c>
      <c r="K1598" s="80">
        <f>SUMIFS(VENTAS[Cantidad],VENTAS[Código del producto Vendido],STOCK[[#This Row],[Code]])</f>
        <v>1</v>
      </c>
      <c r="L1598" s="80">
        <f>STOCK[[#This Row],[Entradas]]-STOCK[[#This Row],[Salidas]]</f>
        <v>1</v>
      </c>
      <c r="M1598" s="77">
        <f>STOCK[[#This Row],[Precio Final]]*10%</f>
        <v>1.2</v>
      </c>
      <c r="N1598" s="53">
        <v>0</v>
      </c>
      <c r="O1598" s="77">
        <v>0</v>
      </c>
      <c r="P1598" s="53">
        <v>5</v>
      </c>
      <c r="Q1598" s="72">
        <v>0</v>
      </c>
      <c r="R1598" s="53">
        <v>0</v>
      </c>
      <c r="S1598" s="54">
        <v>0</v>
      </c>
      <c r="T1598" s="77">
        <f>STOCK[[#This Row],[Costo Unitario (USD)]]+STOCK[[#This Row],[Costo Envío (USD)]]+STOCK[[#This Row],[Comisión 10%]]</f>
        <v>6.2</v>
      </c>
      <c r="U1598" s="53">
        <f>STOCK[[#This Row],[Costo total]]*1.5</f>
        <v>9.3</v>
      </c>
      <c r="V1598" s="53">
        <v>12</v>
      </c>
      <c r="W1598" s="77">
        <f>STOCK[[#This Row],[Precio Final]]-STOCK[[#This Row],[Costo total]]</f>
        <v>5.8</v>
      </c>
      <c r="X1598" s="77">
        <f>STOCK[[#This Row],[Ganancia Unitaria]]*STOCK[[#This Row],[Salidas]]</f>
        <v>5.8</v>
      </c>
      <c r="Y1598" s="77"/>
      <c r="Z1598" s="77"/>
      <c r="AA1598" s="54">
        <f>STOCK[[#This Row],[Costo total]]*STOCK[[#This Row],[Entradas]]</f>
        <v>12.4</v>
      </c>
      <c r="AB1598" s="54">
        <f>STOCK[[#This Row],[Stock Actual]]*STOCK[[#This Row],[Costo total]]</f>
        <v>6.2</v>
      </c>
      <c r="AC1598" s="77"/>
      <c r="AD1598" s="84"/>
    </row>
    <row r="1599" s="53" customFormat="1" ht="50" customHeight="1" spans="1:30">
      <c r="A1599" s="53" t="s">
        <v>3172</v>
      </c>
      <c r="B1599" s="71" t="str">
        <f>_xlfn.DISPIMG("ID_08EB29356B4D4141A7357EF1ABF5545E",1)</f>
        <v>=DISPIMG("ID_08EB29356B4D4141A7357EF1ABF5545E",1)</v>
      </c>
      <c r="C1599" s="53" t="s">
        <v>32</v>
      </c>
      <c r="D1599" s="53" t="s">
        <v>749</v>
      </c>
      <c r="E1599" s="67" t="s">
        <v>3173</v>
      </c>
      <c r="F1599" s="53" t="s">
        <v>46</v>
      </c>
      <c r="H1599" s="77">
        <f>STOCK[[#This Row],[Precio Final]]</f>
        <v>25</v>
      </c>
      <c r="I1599" s="82">
        <f>STOCK[[#This Row],[Precio Venta Ideal (x1.5)]]</f>
        <v>18.75</v>
      </c>
      <c r="J1599" s="71">
        <v>1</v>
      </c>
      <c r="K1599" s="80">
        <f>SUMIFS(VENTAS[Cantidad],VENTAS[Código del producto Vendido],STOCK[[#This Row],[Code]])</f>
        <v>1</v>
      </c>
      <c r="L1599" s="80">
        <f>STOCK[[#This Row],[Entradas]]-STOCK[[#This Row],[Salidas]]</f>
        <v>0</v>
      </c>
      <c r="M1599" s="77">
        <f>STOCK[[#This Row],[Precio Final]]*10%</f>
        <v>2.5</v>
      </c>
      <c r="N1599" s="54">
        <v>0</v>
      </c>
      <c r="O1599" s="77">
        <v>0</v>
      </c>
      <c r="P1599" s="53">
        <v>10</v>
      </c>
      <c r="Q1599" s="71">
        <v>0</v>
      </c>
      <c r="R1599" s="54">
        <v>0</v>
      </c>
      <c r="S1599" s="53">
        <v>0</v>
      </c>
      <c r="T1599" s="77">
        <f>STOCK[[#This Row],[Costo Unitario (USD)]]+STOCK[[#This Row],[Costo Envío (USD)]]+STOCK[[#This Row],[Comisión 10%]]</f>
        <v>12.5</v>
      </c>
      <c r="U1599" s="53">
        <f>STOCK[[#This Row],[Costo total]]*1.5</f>
        <v>18.75</v>
      </c>
      <c r="V1599" s="53">
        <v>25</v>
      </c>
      <c r="W1599" s="77">
        <f>STOCK[[#This Row],[Precio Final]]-STOCK[[#This Row],[Costo total]]</f>
        <v>12.5</v>
      </c>
      <c r="X1599" s="77">
        <f>STOCK[[#This Row],[Ganancia Unitaria]]*STOCK[[#This Row],[Salidas]]</f>
        <v>12.5</v>
      </c>
      <c r="Y1599" s="77"/>
      <c r="Z1599" s="77"/>
      <c r="AA1599" s="54">
        <f>STOCK[[#This Row],[Costo total]]*STOCK[[#This Row],[Entradas]]</f>
        <v>12.5</v>
      </c>
      <c r="AB1599" s="54">
        <f>STOCK[[#This Row],[Stock Actual]]*STOCK[[#This Row],[Costo total]]</f>
        <v>0</v>
      </c>
      <c r="AC1599" s="77"/>
      <c r="AD1599" s="84"/>
    </row>
    <row r="1600" s="53" customFormat="1" ht="50" customHeight="1" spans="1:30">
      <c r="A1600" s="53" t="s">
        <v>3174</v>
      </c>
      <c r="B1600" s="71" t="str">
        <f>_xlfn.DISPIMG("ID_97E71C483F3C4CBC88BA1DD756B0EB14",1)</f>
        <v>=DISPIMG("ID_97E71C483F3C4CBC88BA1DD756B0EB14",1)</v>
      </c>
      <c r="C1600" s="53" t="s">
        <v>32</v>
      </c>
      <c r="D1600" s="53" t="s">
        <v>749</v>
      </c>
      <c r="E1600" s="67" t="s">
        <v>3175</v>
      </c>
      <c r="F1600" s="53" t="s">
        <v>46</v>
      </c>
      <c r="H1600" s="77">
        <f>STOCK[[#This Row],[Precio Final]]</f>
        <v>25</v>
      </c>
      <c r="I1600" s="82">
        <f>STOCK[[#This Row],[Precio Venta Ideal (x1.5)]]</f>
        <v>18.75</v>
      </c>
      <c r="J1600" s="71">
        <v>1</v>
      </c>
      <c r="K1600" s="80">
        <f>SUMIFS(VENTAS[Cantidad],VENTAS[Código del producto Vendido],STOCK[[#This Row],[Code]])</f>
        <v>0</v>
      </c>
      <c r="L1600" s="80">
        <f>STOCK[[#This Row],[Entradas]]-STOCK[[#This Row],[Salidas]]</f>
        <v>1</v>
      </c>
      <c r="M1600" s="77">
        <f>STOCK[[#This Row],[Precio Final]]*10%</f>
        <v>2.5</v>
      </c>
      <c r="N1600" s="54">
        <v>0</v>
      </c>
      <c r="O1600" s="77">
        <v>0</v>
      </c>
      <c r="P1600" s="53">
        <v>10</v>
      </c>
      <c r="Q1600" s="71">
        <v>0</v>
      </c>
      <c r="R1600" s="53">
        <v>0</v>
      </c>
      <c r="S1600" s="54">
        <v>0</v>
      </c>
      <c r="T1600" s="77">
        <f>STOCK[[#This Row],[Costo Unitario (USD)]]+STOCK[[#This Row],[Costo Envío (USD)]]+STOCK[[#This Row],[Comisión 10%]]</f>
        <v>12.5</v>
      </c>
      <c r="U1600" s="53">
        <f>STOCK[[#This Row],[Costo total]]*1.5</f>
        <v>18.75</v>
      </c>
      <c r="V1600" s="53">
        <v>25</v>
      </c>
      <c r="W1600" s="77">
        <f>STOCK[[#This Row],[Precio Final]]-STOCK[[#This Row],[Costo total]]</f>
        <v>12.5</v>
      </c>
      <c r="X1600" s="77">
        <f>STOCK[[#This Row],[Ganancia Unitaria]]*STOCK[[#This Row],[Salidas]]</f>
        <v>0</v>
      </c>
      <c r="Y1600" s="77"/>
      <c r="Z1600" s="77"/>
      <c r="AA1600" s="54">
        <f>STOCK[[#This Row],[Costo total]]*STOCK[[#This Row],[Entradas]]</f>
        <v>12.5</v>
      </c>
      <c r="AB1600" s="54">
        <f>STOCK[[#This Row],[Stock Actual]]*STOCK[[#This Row],[Costo total]]</f>
        <v>12.5</v>
      </c>
      <c r="AC1600" s="77"/>
      <c r="AD1600" s="84"/>
    </row>
    <row r="1601" s="53" customFormat="1" ht="50" customHeight="1" spans="1:30">
      <c r="A1601" s="53" t="s">
        <v>3176</v>
      </c>
      <c r="B1601" s="71" t="str">
        <f>_xlfn.DISPIMG("ID_6FB794C641B84A03B4564E8FDD724AD0",1)</f>
        <v>=DISPIMG("ID_6FB794C641B84A03B4564E8FDD724AD0",1)</v>
      </c>
      <c r="C1601" s="53" t="s">
        <v>32</v>
      </c>
      <c r="D1601" s="53" t="s">
        <v>749</v>
      </c>
      <c r="E1601" s="67" t="s">
        <v>3177</v>
      </c>
      <c r="F1601" s="53" t="s">
        <v>46</v>
      </c>
      <c r="H1601" s="77">
        <f>STOCK[[#This Row],[Precio Final]]</f>
        <v>25</v>
      </c>
      <c r="I1601" s="82">
        <f>STOCK[[#This Row],[Precio Venta Ideal (x1.5)]]</f>
        <v>18.75</v>
      </c>
      <c r="J1601" s="71">
        <v>1</v>
      </c>
      <c r="K1601" s="80">
        <f>SUMIFS(VENTAS[Cantidad],VENTAS[Código del producto Vendido],STOCK[[#This Row],[Code]])</f>
        <v>1</v>
      </c>
      <c r="L1601" s="80">
        <f>STOCK[[#This Row],[Entradas]]-STOCK[[#This Row],[Salidas]]</f>
        <v>0</v>
      </c>
      <c r="M1601" s="77">
        <f>STOCK[[#This Row],[Precio Final]]*10%</f>
        <v>2.5</v>
      </c>
      <c r="N1601" s="53">
        <v>0</v>
      </c>
      <c r="O1601" s="77">
        <v>0</v>
      </c>
      <c r="P1601" s="53">
        <v>10</v>
      </c>
      <c r="Q1601" s="72">
        <v>0</v>
      </c>
      <c r="R1601" s="54">
        <v>0</v>
      </c>
      <c r="S1601" s="54">
        <v>0</v>
      </c>
      <c r="T1601" s="77">
        <f>STOCK[[#This Row],[Costo Unitario (USD)]]+STOCK[[#This Row],[Costo Envío (USD)]]+STOCK[[#This Row],[Comisión 10%]]</f>
        <v>12.5</v>
      </c>
      <c r="U1601" s="53">
        <f>STOCK[[#This Row],[Costo total]]*1.5</f>
        <v>18.75</v>
      </c>
      <c r="V1601" s="53">
        <v>25</v>
      </c>
      <c r="W1601" s="77">
        <f>STOCK[[#This Row],[Precio Final]]-STOCK[[#This Row],[Costo total]]</f>
        <v>12.5</v>
      </c>
      <c r="X1601" s="77">
        <f>STOCK[[#This Row],[Ganancia Unitaria]]*STOCK[[#This Row],[Salidas]]</f>
        <v>12.5</v>
      </c>
      <c r="Y1601" s="77"/>
      <c r="Z1601" s="77"/>
      <c r="AA1601" s="54">
        <f>STOCK[[#This Row],[Costo total]]*STOCK[[#This Row],[Entradas]]</f>
        <v>12.5</v>
      </c>
      <c r="AB1601" s="54">
        <f>STOCK[[#This Row],[Stock Actual]]*STOCK[[#This Row],[Costo total]]</f>
        <v>0</v>
      </c>
      <c r="AC1601" s="77"/>
      <c r="AD1601" s="84"/>
    </row>
    <row r="1602" s="53" customFormat="1" ht="50" customHeight="1" spans="1:30">
      <c r="A1602" s="53" t="s">
        <v>3178</v>
      </c>
      <c r="C1602" s="53" t="s">
        <v>32</v>
      </c>
      <c r="D1602" s="53" t="s">
        <v>749</v>
      </c>
      <c r="E1602" s="67" t="s">
        <v>3179</v>
      </c>
      <c r="H1602" s="77">
        <f>STOCK[[#This Row],[Precio Final]]</f>
        <v>18</v>
      </c>
      <c r="I1602" s="82">
        <f>STOCK[[#This Row],[Precio Venta Ideal (x1.5)]]</f>
        <v>17.7</v>
      </c>
      <c r="J1602" s="71">
        <v>1</v>
      </c>
      <c r="K1602" s="80">
        <f>SUMIFS(VENTAS[Cantidad],VENTAS[Código del producto Vendido],STOCK[[#This Row],[Code]])</f>
        <v>1</v>
      </c>
      <c r="L1602" s="80">
        <f>STOCK[[#This Row],[Entradas]]-STOCK[[#This Row],[Salidas]]</f>
        <v>0</v>
      </c>
      <c r="M1602" s="77">
        <f>STOCK[[#This Row],[Precio Final]]*10%</f>
        <v>1.8</v>
      </c>
      <c r="N1602" s="54">
        <v>0</v>
      </c>
      <c r="O1602" s="77">
        <v>0</v>
      </c>
      <c r="P1602" s="53">
        <v>10</v>
      </c>
      <c r="Q1602" s="71">
        <v>0</v>
      </c>
      <c r="R1602" s="53">
        <v>0</v>
      </c>
      <c r="S1602" s="53">
        <v>0</v>
      </c>
      <c r="T1602" s="77">
        <f>STOCK[[#This Row],[Costo Unitario (USD)]]+STOCK[[#This Row],[Costo Envío (USD)]]+STOCK[[#This Row],[Comisión 10%]]</f>
        <v>11.8</v>
      </c>
      <c r="U1602" s="53">
        <f>STOCK[[#This Row],[Costo total]]*1.5</f>
        <v>17.7</v>
      </c>
      <c r="V1602" s="53">
        <v>18</v>
      </c>
      <c r="W1602" s="77">
        <f>STOCK[[#This Row],[Precio Final]]-STOCK[[#This Row],[Costo total]]</f>
        <v>6.2</v>
      </c>
      <c r="X1602" s="77">
        <f>STOCK[[#This Row],[Ganancia Unitaria]]*STOCK[[#This Row],[Salidas]]</f>
        <v>6.2</v>
      </c>
      <c r="Y1602" s="77"/>
      <c r="Z1602" s="77"/>
      <c r="AA1602" s="54">
        <f>STOCK[[#This Row],[Costo total]]*STOCK[[#This Row],[Entradas]]</f>
        <v>11.8</v>
      </c>
      <c r="AB1602" s="54">
        <f>STOCK[[#This Row],[Stock Actual]]*STOCK[[#This Row],[Costo total]]</f>
        <v>0</v>
      </c>
      <c r="AC1602" s="77"/>
      <c r="AD1602" s="84"/>
    </row>
    <row r="1603" s="53" customFormat="1" ht="50" customHeight="1" spans="1:30">
      <c r="A1603" s="53" t="s">
        <v>3180</v>
      </c>
      <c r="B1603" s="71" t="str">
        <f>_xlfn.DISPIMG("ID_369D3B6160B245A482A99DEFA0E3400D",1)</f>
        <v>=DISPIMG("ID_369D3B6160B245A482A99DEFA0E3400D",1)</v>
      </c>
      <c r="C1603" s="53" t="s">
        <v>32</v>
      </c>
      <c r="D1603" s="53" t="s">
        <v>749</v>
      </c>
      <c r="E1603" s="67" t="s">
        <v>3181</v>
      </c>
      <c r="F1603" s="53" t="s">
        <v>46</v>
      </c>
      <c r="H1603" s="77">
        <f>STOCK[[#This Row],[Precio Final]]</f>
        <v>18</v>
      </c>
      <c r="I1603" s="82">
        <f>STOCK[[#This Row],[Precio Venta Ideal (x1.5)]]</f>
        <v>17.7</v>
      </c>
      <c r="J1603" s="71">
        <v>1</v>
      </c>
      <c r="K1603" s="80">
        <f>SUMIFS(VENTAS[Cantidad],VENTAS[Código del producto Vendido],STOCK[[#This Row],[Code]])</f>
        <v>0</v>
      </c>
      <c r="L1603" s="80">
        <f>STOCK[[#This Row],[Entradas]]-STOCK[[#This Row],[Salidas]]</f>
        <v>1</v>
      </c>
      <c r="M1603" s="77">
        <f>STOCK[[#This Row],[Precio Final]]*10%</f>
        <v>1.8</v>
      </c>
      <c r="N1603" s="54">
        <v>0</v>
      </c>
      <c r="O1603" s="77">
        <v>0</v>
      </c>
      <c r="P1603" s="53">
        <v>10</v>
      </c>
      <c r="Q1603" s="71">
        <v>0</v>
      </c>
      <c r="R1603" s="54">
        <v>0</v>
      </c>
      <c r="S1603" s="54">
        <v>0</v>
      </c>
      <c r="T1603" s="77">
        <f>STOCK[[#This Row],[Costo Unitario (USD)]]+STOCK[[#This Row],[Costo Envío (USD)]]+STOCK[[#This Row],[Comisión 10%]]</f>
        <v>11.8</v>
      </c>
      <c r="U1603" s="53">
        <f>STOCK[[#This Row],[Costo total]]*1.5</f>
        <v>17.7</v>
      </c>
      <c r="V1603" s="53">
        <v>18</v>
      </c>
      <c r="W1603" s="77">
        <f>STOCK[[#This Row],[Precio Final]]-STOCK[[#This Row],[Costo total]]</f>
        <v>6.2</v>
      </c>
      <c r="X1603" s="77">
        <f>STOCK[[#This Row],[Ganancia Unitaria]]*STOCK[[#This Row],[Salidas]]</f>
        <v>0</v>
      </c>
      <c r="Y1603" s="77"/>
      <c r="Z1603" s="77"/>
      <c r="AA1603" s="54">
        <f>STOCK[[#This Row],[Costo total]]*STOCK[[#This Row],[Entradas]]</f>
        <v>11.8</v>
      </c>
      <c r="AB1603" s="54">
        <f>STOCK[[#This Row],[Stock Actual]]*STOCK[[#This Row],[Costo total]]</f>
        <v>11.8</v>
      </c>
      <c r="AC1603" s="77"/>
      <c r="AD1603" s="84"/>
    </row>
    <row r="1604" s="53" customFormat="1" ht="50" customHeight="1" spans="1:30">
      <c r="A1604" s="53" t="s">
        <v>3182</v>
      </c>
      <c r="B1604" s="71" t="str">
        <f>_xlfn.DISPIMG("ID_369D3B6160B245A482A99DEFA0E3400D",1)</f>
        <v>=DISPIMG("ID_369D3B6160B245A482A99DEFA0E3400D",1)</v>
      </c>
      <c r="C1604" s="53" t="s">
        <v>32</v>
      </c>
      <c r="D1604" s="53" t="s">
        <v>749</v>
      </c>
      <c r="E1604" s="67" t="s">
        <v>3181</v>
      </c>
      <c r="F1604" s="53" t="s">
        <v>42</v>
      </c>
      <c r="H1604" s="77">
        <f>STOCK[[#This Row],[Precio Final]]</f>
        <v>18</v>
      </c>
      <c r="I1604" s="82">
        <f>STOCK[[#This Row],[Precio Venta Ideal (x1.5)]]</f>
        <v>17.7</v>
      </c>
      <c r="J1604" s="71">
        <v>1</v>
      </c>
      <c r="K1604" s="80">
        <f>SUMIFS(VENTAS[Cantidad],VENTAS[Código del producto Vendido],STOCK[[#This Row],[Code]])</f>
        <v>0</v>
      </c>
      <c r="L1604" s="80">
        <f>STOCK[[#This Row],[Entradas]]-STOCK[[#This Row],[Salidas]]</f>
        <v>1</v>
      </c>
      <c r="M1604" s="77">
        <f>STOCK[[#This Row],[Precio Final]]*10%</f>
        <v>1.8</v>
      </c>
      <c r="N1604" s="53">
        <v>0</v>
      </c>
      <c r="O1604" s="77">
        <v>0</v>
      </c>
      <c r="P1604" s="53">
        <v>10</v>
      </c>
      <c r="Q1604" s="72">
        <v>0</v>
      </c>
      <c r="R1604" s="53">
        <v>0</v>
      </c>
      <c r="S1604" s="54">
        <v>0</v>
      </c>
      <c r="T1604" s="77">
        <f>STOCK[[#This Row],[Costo Unitario (USD)]]+STOCK[[#This Row],[Costo Envío (USD)]]+STOCK[[#This Row],[Comisión 10%]]</f>
        <v>11.8</v>
      </c>
      <c r="U1604" s="53">
        <f>STOCK[[#This Row],[Costo total]]*1.5</f>
        <v>17.7</v>
      </c>
      <c r="V1604" s="53">
        <v>18</v>
      </c>
      <c r="W1604" s="77">
        <f>STOCK[[#This Row],[Precio Final]]-STOCK[[#This Row],[Costo total]]</f>
        <v>6.2</v>
      </c>
      <c r="X1604" s="77">
        <f>STOCK[[#This Row],[Ganancia Unitaria]]*STOCK[[#This Row],[Salidas]]</f>
        <v>0</v>
      </c>
      <c r="Y1604" s="77"/>
      <c r="Z1604" s="77"/>
      <c r="AA1604" s="54">
        <f>STOCK[[#This Row],[Costo total]]*STOCK[[#This Row],[Entradas]]</f>
        <v>11.8</v>
      </c>
      <c r="AB1604" s="54">
        <f>STOCK[[#This Row],[Stock Actual]]*STOCK[[#This Row],[Costo total]]</f>
        <v>11.8</v>
      </c>
      <c r="AC1604" s="77"/>
      <c r="AD1604" s="84"/>
    </row>
    <row r="1605" s="53" customFormat="1" ht="50" customHeight="1" spans="1:30">
      <c r="A1605" s="53" t="s">
        <v>3183</v>
      </c>
      <c r="B1605" s="71" t="str">
        <f>_xlfn.DISPIMG("ID_369D3B6160B245A482A99DEFA0E3400D",1)</f>
        <v>=DISPIMG("ID_369D3B6160B245A482A99DEFA0E3400D",1)</v>
      </c>
      <c r="C1605" s="53" t="s">
        <v>32</v>
      </c>
      <c r="D1605" s="53" t="s">
        <v>749</v>
      </c>
      <c r="E1605" s="67" t="s">
        <v>3181</v>
      </c>
      <c r="F1605" s="53" t="s">
        <v>62</v>
      </c>
      <c r="H1605" s="77">
        <f>STOCK[[#This Row],[Precio Final]]</f>
        <v>18</v>
      </c>
      <c r="I1605" s="82">
        <f>STOCK[[#This Row],[Precio Venta Ideal (x1.5)]]</f>
        <v>17.7</v>
      </c>
      <c r="J1605" s="71">
        <v>1</v>
      </c>
      <c r="K1605" s="80">
        <f>SUMIFS(VENTAS[Cantidad],VENTAS[Código del producto Vendido],STOCK[[#This Row],[Code]])</f>
        <v>0</v>
      </c>
      <c r="L1605" s="80">
        <f>STOCK[[#This Row],[Entradas]]-STOCK[[#This Row],[Salidas]]</f>
        <v>1</v>
      </c>
      <c r="M1605" s="77">
        <f>STOCK[[#This Row],[Precio Final]]*10%</f>
        <v>1.8</v>
      </c>
      <c r="N1605" s="54">
        <v>0</v>
      </c>
      <c r="O1605" s="77">
        <v>0</v>
      </c>
      <c r="P1605" s="53">
        <v>10</v>
      </c>
      <c r="Q1605" s="71">
        <v>0</v>
      </c>
      <c r="R1605" s="54">
        <v>0</v>
      </c>
      <c r="S1605" s="53">
        <v>0</v>
      </c>
      <c r="T1605" s="77">
        <f>STOCK[[#This Row],[Costo Unitario (USD)]]+STOCK[[#This Row],[Costo Envío (USD)]]+STOCK[[#This Row],[Comisión 10%]]</f>
        <v>11.8</v>
      </c>
      <c r="U1605" s="53">
        <f>STOCK[[#This Row],[Costo total]]*1.5</f>
        <v>17.7</v>
      </c>
      <c r="V1605" s="53">
        <v>18</v>
      </c>
      <c r="W1605" s="77">
        <f>STOCK[[#This Row],[Precio Final]]-STOCK[[#This Row],[Costo total]]</f>
        <v>6.2</v>
      </c>
      <c r="X1605" s="77">
        <f>STOCK[[#This Row],[Ganancia Unitaria]]*STOCK[[#This Row],[Salidas]]</f>
        <v>0</v>
      </c>
      <c r="Y1605" s="77"/>
      <c r="Z1605" s="77"/>
      <c r="AA1605" s="54">
        <f>STOCK[[#This Row],[Costo total]]*STOCK[[#This Row],[Entradas]]</f>
        <v>11.8</v>
      </c>
      <c r="AB1605" s="54">
        <f>STOCK[[#This Row],[Stock Actual]]*STOCK[[#This Row],[Costo total]]</f>
        <v>11.8</v>
      </c>
      <c r="AC1605" s="77"/>
      <c r="AD1605" s="84"/>
    </row>
    <row r="1606" s="53" customFormat="1" ht="50" customHeight="1" spans="1:30">
      <c r="A1606" s="53" t="s">
        <v>3184</v>
      </c>
      <c r="B1606" s="71" t="str">
        <f>_xlfn.DISPIMG("ID_7F752E326DE9458E9D3971BF2B070137",1)</f>
        <v>=DISPIMG("ID_7F752E326DE9458E9D3971BF2B070137",1)</v>
      </c>
      <c r="C1606" s="53" t="s">
        <v>32</v>
      </c>
      <c r="D1606" s="53" t="s">
        <v>749</v>
      </c>
      <c r="E1606" s="67" t="s">
        <v>3185</v>
      </c>
      <c r="F1606" s="53" t="s">
        <v>49</v>
      </c>
      <c r="H1606" s="77">
        <f>STOCK[[#This Row],[Precio Final]]</f>
        <v>18</v>
      </c>
      <c r="I1606" s="82">
        <f>STOCK[[#This Row],[Precio Venta Ideal (x1.5)]]</f>
        <v>17.7</v>
      </c>
      <c r="J1606" s="71">
        <v>1</v>
      </c>
      <c r="K1606" s="80">
        <f>SUMIFS(VENTAS[Cantidad],VENTAS[Código del producto Vendido],STOCK[[#This Row],[Code]])</f>
        <v>1</v>
      </c>
      <c r="L1606" s="80">
        <f>STOCK[[#This Row],[Entradas]]-STOCK[[#This Row],[Salidas]]</f>
        <v>0</v>
      </c>
      <c r="M1606" s="77">
        <f>STOCK[[#This Row],[Precio Final]]*10%</f>
        <v>1.8</v>
      </c>
      <c r="N1606" s="54">
        <v>0</v>
      </c>
      <c r="O1606" s="77">
        <v>0</v>
      </c>
      <c r="P1606" s="53">
        <v>10</v>
      </c>
      <c r="Q1606" s="71">
        <v>0</v>
      </c>
      <c r="R1606" s="53">
        <v>0</v>
      </c>
      <c r="S1606" s="54">
        <v>0</v>
      </c>
      <c r="T1606" s="77">
        <f>STOCK[[#This Row],[Costo Unitario (USD)]]+STOCK[[#This Row],[Costo Envío (USD)]]+STOCK[[#This Row],[Comisión 10%]]</f>
        <v>11.8</v>
      </c>
      <c r="U1606" s="53">
        <f>STOCK[[#This Row],[Costo total]]*1.5</f>
        <v>17.7</v>
      </c>
      <c r="V1606" s="53">
        <v>18</v>
      </c>
      <c r="W1606" s="77">
        <f>STOCK[[#This Row],[Precio Final]]-STOCK[[#This Row],[Costo total]]</f>
        <v>6.2</v>
      </c>
      <c r="X1606" s="77">
        <f>STOCK[[#This Row],[Ganancia Unitaria]]*STOCK[[#This Row],[Salidas]]</f>
        <v>6.2</v>
      </c>
      <c r="Y1606" s="77"/>
      <c r="Z1606" s="77"/>
      <c r="AA1606" s="54">
        <f>STOCK[[#This Row],[Costo total]]*STOCK[[#This Row],[Entradas]]</f>
        <v>11.8</v>
      </c>
      <c r="AB1606" s="54">
        <f>STOCK[[#This Row],[Stock Actual]]*STOCK[[#This Row],[Costo total]]</f>
        <v>0</v>
      </c>
      <c r="AC1606" s="77"/>
      <c r="AD1606" s="84"/>
    </row>
    <row r="1607" s="53" customFormat="1" ht="50" customHeight="1" spans="1:30">
      <c r="A1607" s="53" t="s">
        <v>3186</v>
      </c>
      <c r="B1607" s="71" t="str">
        <f>_xlfn.DISPIMG("ID_7F752E326DE9458E9D3971BF2B070137",1)</f>
        <v>=DISPIMG("ID_7F752E326DE9458E9D3971BF2B070137",1)</v>
      </c>
      <c r="C1607" s="53" t="s">
        <v>32</v>
      </c>
      <c r="D1607" s="53" t="s">
        <v>749</v>
      </c>
      <c r="E1607" s="67" t="s">
        <v>3185</v>
      </c>
      <c r="F1607" s="53" t="s">
        <v>46</v>
      </c>
      <c r="H1607" s="77">
        <f>STOCK[[#This Row],[Precio Final]]</f>
        <v>18</v>
      </c>
      <c r="I1607" s="82">
        <f>STOCK[[#This Row],[Precio Venta Ideal (x1.5)]]</f>
        <v>17.7</v>
      </c>
      <c r="J1607" s="71">
        <v>2</v>
      </c>
      <c r="K1607" s="80">
        <f>SUMIFS(VENTAS[Cantidad],VENTAS[Código del producto Vendido],STOCK[[#This Row],[Code]])</f>
        <v>0</v>
      </c>
      <c r="L1607" s="80">
        <f>STOCK[[#This Row],[Entradas]]-STOCK[[#This Row],[Salidas]]</f>
        <v>2</v>
      </c>
      <c r="M1607" s="77">
        <f>STOCK[[#This Row],[Precio Final]]*10%</f>
        <v>1.8</v>
      </c>
      <c r="N1607" s="53">
        <v>0</v>
      </c>
      <c r="O1607" s="77">
        <v>0</v>
      </c>
      <c r="P1607" s="53">
        <v>10</v>
      </c>
      <c r="Q1607" s="72">
        <v>0</v>
      </c>
      <c r="R1607" s="54">
        <v>0</v>
      </c>
      <c r="S1607" s="54">
        <v>0</v>
      </c>
      <c r="T1607" s="77">
        <f>STOCK[[#This Row],[Costo Unitario (USD)]]+STOCK[[#This Row],[Costo Envío (USD)]]+STOCK[[#This Row],[Comisión 10%]]</f>
        <v>11.8</v>
      </c>
      <c r="U1607" s="53">
        <f>STOCK[[#This Row],[Costo total]]*1.5</f>
        <v>17.7</v>
      </c>
      <c r="V1607" s="53">
        <v>18</v>
      </c>
      <c r="W1607" s="77">
        <f>STOCK[[#This Row],[Precio Final]]-STOCK[[#This Row],[Costo total]]</f>
        <v>6.2</v>
      </c>
      <c r="X1607" s="77">
        <f>STOCK[[#This Row],[Ganancia Unitaria]]*STOCK[[#This Row],[Salidas]]</f>
        <v>0</v>
      </c>
      <c r="Y1607" s="77"/>
      <c r="Z1607" s="77"/>
      <c r="AA1607" s="54">
        <f>STOCK[[#This Row],[Costo total]]*STOCK[[#This Row],[Entradas]]</f>
        <v>23.6</v>
      </c>
      <c r="AB1607" s="54">
        <f>STOCK[[#This Row],[Stock Actual]]*STOCK[[#This Row],[Costo total]]</f>
        <v>23.6</v>
      </c>
      <c r="AC1607" s="77"/>
      <c r="AD1607" s="84"/>
    </row>
    <row r="1608" s="53" customFormat="1" ht="50" customHeight="1" spans="1:30">
      <c r="A1608" s="53" t="s">
        <v>3187</v>
      </c>
      <c r="B1608" s="71" t="str">
        <f>_xlfn.DISPIMG("ID_7F752E326DE9458E9D3971BF2B070137",1)</f>
        <v>=DISPIMG("ID_7F752E326DE9458E9D3971BF2B070137",1)</v>
      </c>
      <c r="C1608" s="53" t="s">
        <v>32</v>
      </c>
      <c r="D1608" s="53" t="s">
        <v>749</v>
      </c>
      <c r="E1608" s="67" t="s">
        <v>3185</v>
      </c>
      <c r="F1608" s="53" t="s">
        <v>42</v>
      </c>
      <c r="H1608" s="77">
        <f>STOCK[[#This Row],[Precio Final]]</f>
        <v>18</v>
      </c>
      <c r="I1608" s="82">
        <f>STOCK[[#This Row],[Precio Venta Ideal (x1.5)]]</f>
        <v>17.7</v>
      </c>
      <c r="J1608" s="71">
        <v>1</v>
      </c>
      <c r="K1608" s="80">
        <f>SUMIFS(VENTAS[Cantidad],VENTAS[Código del producto Vendido],STOCK[[#This Row],[Code]])</f>
        <v>0</v>
      </c>
      <c r="L1608" s="80">
        <f>STOCK[[#This Row],[Entradas]]-STOCK[[#This Row],[Salidas]]</f>
        <v>1</v>
      </c>
      <c r="M1608" s="77">
        <f>STOCK[[#This Row],[Precio Final]]*10%</f>
        <v>1.8</v>
      </c>
      <c r="N1608" s="54">
        <v>0</v>
      </c>
      <c r="O1608" s="77">
        <v>0</v>
      </c>
      <c r="P1608" s="53">
        <v>10</v>
      </c>
      <c r="Q1608" s="71">
        <v>0</v>
      </c>
      <c r="R1608" s="53">
        <v>0</v>
      </c>
      <c r="S1608" s="53">
        <v>0</v>
      </c>
      <c r="T1608" s="77">
        <f>STOCK[[#This Row],[Costo Unitario (USD)]]+STOCK[[#This Row],[Costo Envío (USD)]]+STOCK[[#This Row],[Comisión 10%]]</f>
        <v>11.8</v>
      </c>
      <c r="U1608" s="53">
        <f>STOCK[[#This Row],[Costo total]]*1.5</f>
        <v>17.7</v>
      </c>
      <c r="V1608" s="53">
        <v>18</v>
      </c>
      <c r="W1608" s="77">
        <f>STOCK[[#This Row],[Precio Final]]-STOCK[[#This Row],[Costo total]]</f>
        <v>6.2</v>
      </c>
      <c r="X1608" s="77">
        <f>STOCK[[#This Row],[Ganancia Unitaria]]*STOCK[[#This Row],[Salidas]]</f>
        <v>0</v>
      </c>
      <c r="Y1608" s="77"/>
      <c r="Z1608" s="77"/>
      <c r="AA1608" s="54">
        <f>STOCK[[#This Row],[Costo total]]*STOCK[[#This Row],[Entradas]]</f>
        <v>11.8</v>
      </c>
      <c r="AB1608" s="54">
        <f>STOCK[[#This Row],[Stock Actual]]*STOCK[[#This Row],[Costo total]]</f>
        <v>11.8</v>
      </c>
      <c r="AC1608" s="77"/>
      <c r="AD1608" s="84"/>
    </row>
    <row r="1609" s="53" customFormat="1" ht="50" customHeight="1" spans="1:30">
      <c r="A1609" s="53" t="s">
        <v>3188</v>
      </c>
      <c r="C1609" s="53" t="s">
        <v>32</v>
      </c>
      <c r="D1609" s="53" t="s">
        <v>749</v>
      </c>
      <c r="E1609" s="67" t="s">
        <v>3189</v>
      </c>
      <c r="F1609" s="53" t="s">
        <v>42</v>
      </c>
      <c r="H1609" s="77">
        <f>STOCK[[#This Row],[Precio Final]]</f>
        <v>18</v>
      </c>
      <c r="I1609" s="82">
        <f>STOCK[[#This Row],[Precio Venta Ideal (x1.5)]]</f>
        <v>17.7</v>
      </c>
      <c r="J1609" s="71">
        <v>1</v>
      </c>
      <c r="K1609" s="80">
        <f>SUMIFS(VENTAS[Cantidad],VENTAS[Código del producto Vendido],STOCK[[#This Row],[Code]])</f>
        <v>0</v>
      </c>
      <c r="L1609" s="80">
        <f>STOCK[[#This Row],[Entradas]]-STOCK[[#This Row],[Salidas]]</f>
        <v>1</v>
      </c>
      <c r="M1609" s="77">
        <f>STOCK[[#This Row],[Precio Final]]*10%</f>
        <v>1.8</v>
      </c>
      <c r="N1609" s="54">
        <v>0</v>
      </c>
      <c r="O1609" s="77">
        <v>0</v>
      </c>
      <c r="P1609" s="53">
        <v>10</v>
      </c>
      <c r="Q1609" s="71">
        <v>0</v>
      </c>
      <c r="R1609" s="54">
        <v>0</v>
      </c>
      <c r="S1609" s="54">
        <v>0</v>
      </c>
      <c r="T1609" s="77">
        <f>STOCK[[#This Row],[Costo Unitario (USD)]]+STOCK[[#This Row],[Costo Envío (USD)]]+STOCK[[#This Row],[Comisión 10%]]</f>
        <v>11.8</v>
      </c>
      <c r="U1609" s="53">
        <f>STOCK[[#This Row],[Costo total]]*1.5</f>
        <v>17.7</v>
      </c>
      <c r="V1609" s="53">
        <v>18</v>
      </c>
      <c r="W1609" s="77">
        <f>STOCK[[#This Row],[Precio Final]]-STOCK[[#This Row],[Costo total]]</f>
        <v>6.2</v>
      </c>
      <c r="X1609" s="77">
        <f>STOCK[[#This Row],[Ganancia Unitaria]]*STOCK[[#This Row],[Salidas]]</f>
        <v>0</v>
      </c>
      <c r="Y1609" s="77"/>
      <c r="Z1609" s="77"/>
      <c r="AA1609" s="54">
        <f>STOCK[[#This Row],[Costo total]]*STOCK[[#This Row],[Entradas]]</f>
        <v>11.8</v>
      </c>
      <c r="AB1609" s="54">
        <f>STOCK[[#This Row],[Stock Actual]]*STOCK[[#This Row],[Costo total]]</f>
        <v>11.8</v>
      </c>
      <c r="AC1609" s="77"/>
      <c r="AD1609" s="84"/>
    </row>
    <row r="1610" s="53" customFormat="1" ht="50" customHeight="1" spans="1:30">
      <c r="A1610" s="53" t="s">
        <v>3190</v>
      </c>
      <c r="B1610" s="71" t="str">
        <f>_xlfn.DISPIMG("ID_2975DE62BF5641D3941654633AA53440",1)</f>
        <v>=DISPIMG("ID_2975DE62BF5641D3941654633AA53440",1)</v>
      </c>
      <c r="C1610" s="53" t="s">
        <v>32</v>
      </c>
      <c r="D1610" s="53" t="s">
        <v>749</v>
      </c>
      <c r="E1610" s="67" t="s">
        <v>3191</v>
      </c>
      <c r="F1610" s="53" t="s">
        <v>42</v>
      </c>
      <c r="H1610" s="77">
        <f>STOCK[[#This Row],[Precio Final]]</f>
        <v>18</v>
      </c>
      <c r="I1610" s="82">
        <f>STOCK[[#This Row],[Precio Venta Ideal (x1.5)]]</f>
        <v>17.7</v>
      </c>
      <c r="J1610" s="71">
        <v>2</v>
      </c>
      <c r="K1610" s="80">
        <f>SUMIFS(VENTAS[Cantidad],VENTAS[Código del producto Vendido],STOCK[[#This Row],[Code]])</f>
        <v>0</v>
      </c>
      <c r="L1610" s="80">
        <f>STOCK[[#This Row],[Entradas]]-STOCK[[#This Row],[Salidas]]</f>
        <v>2</v>
      </c>
      <c r="M1610" s="77">
        <f>STOCK[[#This Row],[Precio Final]]*10%</f>
        <v>1.8</v>
      </c>
      <c r="N1610" s="53">
        <v>0</v>
      </c>
      <c r="O1610" s="77">
        <v>0</v>
      </c>
      <c r="P1610" s="53">
        <v>10</v>
      </c>
      <c r="Q1610" s="72">
        <v>0</v>
      </c>
      <c r="R1610" s="53">
        <v>0</v>
      </c>
      <c r="S1610" s="54">
        <v>0</v>
      </c>
      <c r="T1610" s="77">
        <f>STOCK[[#This Row],[Costo Unitario (USD)]]+STOCK[[#This Row],[Costo Envío (USD)]]+STOCK[[#This Row],[Comisión 10%]]</f>
        <v>11.8</v>
      </c>
      <c r="U1610" s="53">
        <f>STOCK[[#This Row],[Costo total]]*1.5</f>
        <v>17.7</v>
      </c>
      <c r="V1610" s="53">
        <v>18</v>
      </c>
      <c r="W1610" s="77">
        <f>STOCK[[#This Row],[Precio Final]]-STOCK[[#This Row],[Costo total]]</f>
        <v>6.2</v>
      </c>
      <c r="X1610" s="77">
        <f>STOCK[[#This Row],[Ganancia Unitaria]]*STOCK[[#This Row],[Salidas]]</f>
        <v>0</v>
      </c>
      <c r="Y1610" s="77"/>
      <c r="Z1610" s="77"/>
      <c r="AA1610" s="54">
        <f>STOCK[[#This Row],[Costo total]]*STOCK[[#This Row],[Entradas]]</f>
        <v>23.6</v>
      </c>
      <c r="AB1610" s="54">
        <f>STOCK[[#This Row],[Stock Actual]]*STOCK[[#This Row],[Costo total]]</f>
        <v>23.6</v>
      </c>
      <c r="AC1610" s="77"/>
      <c r="AD1610" s="84"/>
    </row>
    <row r="1611" s="53" customFormat="1" ht="50" customHeight="1" spans="1:30">
      <c r="A1611" s="53" t="s">
        <v>3192</v>
      </c>
      <c r="B1611" s="71" t="str">
        <f>_xlfn.DISPIMG("ID_432F0E6BF5384984B222667A7B5EA4C8",1)</f>
        <v>=DISPIMG("ID_432F0E6BF5384984B222667A7B5EA4C8",1)</v>
      </c>
      <c r="C1611" s="53" t="s">
        <v>32</v>
      </c>
      <c r="D1611" s="53" t="s">
        <v>749</v>
      </c>
      <c r="E1611" s="67" t="s">
        <v>3193</v>
      </c>
      <c r="F1611" s="53" t="s">
        <v>49</v>
      </c>
      <c r="H1611" s="77">
        <f>STOCK[[#This Row],[Precio Final]]</f>
        <v>18</v>
      </c>
      <c r="I1611" s="82">
        <f>STOCK[[#This Row],[Precio Venta Ideal (x1.5)]]</f>
        <v>17.7</v>
      </c>
      <c r="J1611" s="71">
        <v>2</v>
      </c>
      <c r="K1611" s="80">
        <f>SUMIFS(VENTAS[Cantidad],VENTAS[Código del producto Vendido],STOCK[[#This Row],[Code]])</f>
        <v>1</v>
      </c>
      <c r="L1611" s="80">
        <f>STOCK[[#This Row],[Entradas]]-STOCK[[#This Row],[Salidas]]</f>
        <v>1</v>
      </c>
      <c r="M1611" s="77">
        <f>STOCK[[#This Row],[Precio Final]]*10%</f>
        <v>1.8</v>
      </c>
      <c r="N1611" s="54">
        <v>0</v>
      </c>
      <c r="O1611" s="77">
        <v>0</v>
      </c>
      <c r="P1611" s="53">
        <v>10</v>
      </c>
      <c r="Q1611" s="71">
        <v>0</v>
      </c>
      <c r="R1611" s="54">
        <v>0</v>
      </c>
      <c r="S1611" s="53">
        <v>0</v>
      </c>
      <c r="T1611" s="77">
        <f>STOCK[[#This Row],[Costo Unitario (USD)]]+STOCK[[#This Row],[Costo Envío (USD)]]+STOCK[[#This Row],[Comisión 10%]]</f>
        <v>11.8</v>
      </c>
      <c r="U1611" s="53">
        <f>STOCK[[#This Row],[Costo total]]*1.5</f>
        <v>17.7</v>
      </c>
      <c r="V1611" s="53">
        <v>18</v>
      </c>
      <c r="W1611" s="77">
        <f>STOCK[[#This Row],[Precio Final]]-STOCK[[#This Row],[Costo total]]</f>
        <v>6.2</v>
      </c>
      <c r="X1611" s="77">
        <f>STOCK[[#This Row],[Ganancia Unitaria]]*STOCK[[#This Row],[Salidas]]</f>
        <v>6.2</v>
      </c>
      <c r="Y1611" s="77"/>
      <c r="Z1611" s="77"/>
      <c r="AA1611" s="54">
        <f>STOCK[[#This Row],[Costo total]]*STOCK[[#This Row],[Entradas]]</f>
        <v>23.6</v>
      </c>
      <c r="AB1611" s="54">
        <f>STOCK[[#This Row],[Stock Actual]]*STOCK[[#This Row],[Costo total]]</f>
        <v>11.8</v>
      </c>
      <c r="AC1611" s="77"/>
      <c r="AD1611" s="84"/>
    </row>
    <row r="1612" s="53" customFormat="1" ht="50" customHeight="1" spans="1:30">
      <c r="A1612" s="53" t="s">
        <v>3194</v>
      </c>
      <c r="B1612" s="71" t="str">
        <f>_xlfn.DISPIMG("ID_9E5F345CDF4048A9AE9AE714630F08C6",1)</f>
        <v>=DISPIMG("ID_9E5F345CDF4048A9AE9AE714630F08C6",1)</v>
      </c>
      <c r="C1612" s="53" t="s">
        <v>32</v>
      </c>
      <c r="D1612" s="53" t="s">
        <v>749</v>
      </c>
      <c r="E1612" s="67" t="s">
        <v>3195</v>
      </c>
      <c r="F1612" s="53" t="s">
        <v>46</v>
      </c>
      <c r="H1612" s="77">
        <f>STOCK[[#This Row],[Precio Final]]</f>
        <v>18</v>
      </c>
      <c r="I1612" s="82">
        <f>STOCK[[#This Row],[Precio Venta Ideal (x1.5)]]</f>
        <v>17.7</v>
      </c>
      <c r="J1612" s="71">
        <v>1</v>
      </c>
      <c r="K1612" s="80">
        <f>SUMIFS(VENTAS[Cantidad],VENTAS[Código del producto Vendido],STOCK[[#This Row],[Code]])</f>
        <v>1</v>
      </c>
      <c r="L1612" s="80">
        <f>STOCK[[#This Row],[Entradas]]-STOCK[[#This Row],[Salidas]]</f>
        <v>0</v>
      </c>
      <c r="M1612" s="77">
        <f>STOCK[[#This Row],[Precio Final]]*10%</f>
        <v>1.8</v>
      </c>
      <c r="N1612" s="54">
        <v>0</v>
      </c>
      <c r="O1612" s="77">
        <v>0</v>
      </c>
      <c r="P1612" s="53">
        <v>10</v>
      </c>
      <c r="Q1612" s="71">
        <v>0</v>
      </c>
      <c r="R1612" s="53">
        <v>0</v>
      </c>
      <c r="S1612" s="54">
        <v>0</v>
      </c>
      <c r="T1612" s="77">
        <f>STOCK[[#This Row],[Costo Unitario (USD)]]+STOCK[[#This Row],[Costo Envío (USD)]]+STOCK[[#This Row],[Comisión 10%]]</f>
        <v>11.8</v>
      </c>
      <c r="U1612" s="53">
        <f>STOCK[[#This Row],[Costo total]]*1.5</f>
        <v>17.7</v>
      </c>
      <c r="V1612" s="53">
        <v>18</v>
      </c>
      <c r="W1612" s="77">
        <f>STOCK[[#This Row],[Precio Final]]-STOCK[[#This Row],[Costo total]]</f>
        <v>6.2</v>
      </c>
      <c r="X1612" s="77">
        <f>STOCK[[#This Row],[Ganancia Unitaria]]*STOCK[[#This Row],[Salidas]]</f>
        <v>6.2</v>
      </c>
      <c r="Y1612" s="77"/>
      <c r="Z1612" s="77"/>
      <c r="AA1612" s="54">
        <f>STOCK[[#This Row],[Costo total]]*STOCK[[#This Row],[Entradas]]</f>
        <v>11.8</v>
      </c>
      <c r="AB1612" s="54">
        <f>STOCK[[#This Row],[Stock Actual]]*STOCK[[#This Row],[Costo total]]</f>
        <v>0</v>
      </c>
      <c r="AC1612" s="77"/>
      <c r="AD1612" s="84"/>
    </row>
    <row r="1613" s="53" customFormat="1" ht="50" customHeight="1" spans="1:30">
      <c r="A1613" s="53" t="s">
        <v>3196</v>
      </c>
      <c r="B1613" s="71" t="str">
        <f>_xlfn.DISPIMG("ID_CC98686D60D34BF997D1F5A2805BB1F6",1)</f>
        <v>=DISPIMG("ID_CC98686D60D34BF997D1F5A2805BB1F6",1)</v>
      </c>
      <c r="C1613" s="53" t="s">
        <v>32</v>
      </c>
      <c r="D1613" s="53" t="s">
        <v>749</v>
      </c>
      <c r="E1613" s="67" t="s">
        <v>3197</v>
      </c>
      <c r="F1613" s="53" t="s">
        <v>42</v>
      </c>
      <c r="H1613" s="77">
        <f>STOCK[[#This Row],[Precio Final]]</f>
        <v>18</v>
      </c>
      <c r="I1613" s="82">
        <f>STOCK[[#This Row],[Precio Venta Ideal (x1.5)]]</f>
        <v>17.7</v>
      </c>
      <c r="J1613" s="71">
        <v>1</v>
      </c>
      <c r="K1613" s="80">
        <f>SUMIFS(VENTAS[Cantidad],VENTAS[Código del producto Vendido],STOCK[[#This Row],[Code]])</f>
        <v>0</v>
      </c>
      <c r="L1613" s="80">
        <f>STOCK[[#This Row],[Entradas]]-STOCK[[#This Row],[Salidas]]</f>
        <v>1</v>
      </c>
      <c r="M1613" s="77">
        <f>STOCK[[#This Row],[Precio Final]]*10%</f>
        <v>1.8</v>
      </c>
      <c r="N1613" s="53">
        <v>0</v>
      </c>
      <c r="O1613" s="77">
        <v>0</v>
      </c>
      <c r="P1613" s="53">
        <v>10</v>
      </c>
      <c r="Q1613" s="72">
        <v>0</v>
      </c>
      <c r="R1613" s="54">
        <v>0</v>
      </c>
      <c r="S1613" s="54">
        <v>0</v>
      </c>
      <c r="T1613" s="77">
        <f>STOCK[[#This Row],[Costo Unitario (USD)]]+STOCK[[#This Row],[Costo Envío (USD)]]+STOCK[[#This Row],[Comisión 10%]]</f>
        <v>11.8</v>
      </c>
      <c r="U1613" s="53">
        <f>STOCK[[#This Row],[Costo total]]*1.5</f>
        <v>17.7</v>
      </c>
      <c r="V1613" s="53">
        <v>18</v>
      </c>
      <c r="W1613" s="77">
        <f>STOCK[[#This Row],[Precio Final]]-STOCK[[#This Row],[Costo total]]</f>
        <v>6.2</v>
      </c>
      <c r="X1613" s="77">
        <f>STOCK[[#This Row],[Ganancia Unitaria]]*STOCK[[#This Row],[Salidas]]</f>
        <v>0</v>
      </c>
      <c r="Y1613" s="77"/>
      <c r="Z1613" s="77"/>
      <c r="AA1613" s="54">
        <f>STOCK[[#This Row],[Costo total]]*STOCK[[#This Row],[Entradas]]</f>
        <v>11.8</v>
      </c>
      <c r="AB1613" s="54">
        <f>STOCK[[#This Row],[Stock Actual]]*STOCK[[#This Row],[Costo total]]</f>
        <v>11.8</v>
      </c>
      <c r="AC1613" s="77"/>
      <c r="AD1613" s="84"/>
    </row>
    <row r="1614" s="53" customFormat="1" ht="50" customHeight="1" spans="1:30">
      <c r="A1614" s="53" t="s">
        <v>3198</v>
      </c>
      <c r="B1614" s="71" t="str">
        <f>_xlfn.DISPIMG("ID_CC98686D60D34BF997D1F5A2805BB1F6",1)</f>
        <v>=DISPIMG("ID_CC98686D60D34BF997D1F5A2805BB1F6",1)</v>
      </c>
      <c r="C1614" s="53" t="s">
        <v>32</v>
      </c>
      <c r="D1614" s="53" t="s">
        <v>749</v>
      </c>
      <c r="E1614" s="67" t="s">
        <v>3197</v>
      </c>
      <c r="F1614" s="53" t="s">
        <v>62</v>
      </c>
      <c r="H1614" s="77">
        <f>STOCK[[#This Row],[Precio Final]]</f>
        <v>18</v>
      </c>
      <c r="I1614" s="82">
        <f>STOCK[[#This Row],[Precio Venta Ideal (x1.5)]]</f>
        <v>17.7</v>
      </c>
      <c r="J1614" s="71">
        <v>1</v>
      </c>
      <c r="K1614" s="80">
        <f>SUMIFS(VENTAS[Cantidad],VENTAS[Código del producto Vendido],STOCK[[#This Row],[Code]])</f>
        <v>1</v>
      </c>
      <c r="L1614" s="80">
        <f>STOCK[[#This Row],[Entradas]]-STOCK[[#This Row],[Salidas]]</f>
        <v>0</v>
      </c>
      <c r="M1614" s="77">
        <f>STOCK[[#This Row],[Precio Final]]*10%</f>
        <v>1.8</v>
      </c>
      <c r="N1614" s="54">
        <v>0</v>
      </c>
      <c r="O1614" s="77">
        <v>0</v>
      </c>
      <c r="P1614" s="53">
        <v>10</v>
      </c>
      <c r="Q1614" s="71">
        <v>0</v>
      </c>
      <c r="R1614" s="53">
        <v>0</v>
      </c>
      <c r="S1614" s="53">
        <v>0</v>
      </c>
      <c r="T1614" s="77">
        <f>STOCK[[#This Row],[Costo Unitario (USD)]]+STOCK[[#This Row],[Costo Envío (USD)]]+STOCK[[#This Row],[Comisión 10%]]</f>
        <v>11.8</v>
      </c>
      <c r="U1614" s="53">
        <f>STOCK[[#This Row],[Costo total]]*1.5</f>
        <v>17.7</v>
      </c>
      <c r="V1614" s="53">
        <v>18</v>
      </c>
      <c r="W1614" s="77">
        <f>STOCK[[#This Row],[Precio Final]]-STOCK[[#This Row],[Costo total]]</f>
        <v>6.2</v>
      </c>
      <c r="X1614" s="77">
        <f>STOCK[[#This Row],[Ganancia Unitaria]]*STOCK[[#This Row],[Salidas]]</f>
        <v>6.2</v>
      </c>
      <c r="Y1614" s="77"/>
      <c r="Z1614" s="77"/>
      <c r="AA1614" s="54">
        <f>STOCK[[#This Row],[Costo total]]*STOCK[[#This Row],[Entradas]]</f>
        <v>11.8</v>
      </c>
      <c r="AB1614" s="54">
        <f>STOCK[[#This Row],[Stock Actual]]*STOCK[[#This Row],[Costo total]]</f>
        <v>0</v>
      </c>
      <c r="AC1614" s="77"/>
      <c r="AD1614" s="84"/>
    </row>
    <row r="1615" s="53" customFormat="1" ht="50" customHeight="1" spans="1:30">
      <c r="A1615" s="53" t="s">
        <v>3199</v>
      </c>
      <c r="B1615" s="71" t="str">
        <f>_xlfn.DISPIMG("ID_CC98686D60D34BF997D1F5A2805BB1F6",1)</f>
        <v>=DISPIMG("ID_CC98686D60D34BF997D1F5A2805BB1F6",1)</v>
      </c>
      <c r="C1615" s="53" t="s">
        <v>32</v>
      </c>
      <c r="D1615" s="53" t="s">
        <v>749</v>
      </c>
      <c r="E1615" s="67" t="s">
        <v>3197</v>
      </c>
      <c r="F1615" s="53" t="s">
        <v>49</v>
      </c>
      <c r="H1615" s="77">
        <f>STOCK[[#This Row],[Precio Final]]</f>
        <v>18</v>
      </c>
      <c r="I1615" s="82">
        <f>STOCK[[#This Row],[Precio Venta Ideal (x1.5)]]</f>
        <v>17.7</v>
      </c>
      <c r="J1615" s="71">
        <v>1</v>
      </c>
      <c r="K1615" s="80">
        <f>SUMIFS(VENTAS[Cantidad],VENTAS[Código del producto Vendido],STOCK[[#This Row],[Code]])</f>
        <v>1</v>
      </c>
      <c r="L1615" s="80">
        <f>STOCK[[#This Row],[Entradas]]-STOCK[[#This Row],[Salidas]]</f>
        <v>0</v>
      </c>
      <c r="M1615" s="77">
        <f>STOCK[[#This Row],[Precio Final]]*10%</f>
        <v>1.8</v>
      </c>
      <c r="N1615" s="54">
        <v>0</v>
      </c>
      <c r="O1615" s="77">
        <v>0</v>
      </c>
      <c r="P1615" s="53">
        <v>10</v>
      </c>
      <c r="Q1615" s="71">
        <v>0</v>
      </c>
      <c r="R1615" s="54">
        <v>0</v>
      </c>
      <c r="S1615" s="54">
        <v>0</v>
      </c>
      <c r="T1615" s="77">
        <f>STOCK[[#This Row],[Costo Unitario (USD)]]+STOCK[[#This Row],[Costo Envío (USD)]]+STOCK[[#This Row],[Comisión 10%]]</f>
        <v>11.8</v>
      </c>
      <c r="U1615" s="53">
        <f>STOCK[[#This Row],[Costo total]]*1.5</f>
        <v>17.7</v>
      </c>
      <c r="V1615" s="53">
        <v>18</v>
      </c>
      <c r="W1615" s="77">
        <f>STOCK[[#This Row],[Precio Final]]-STOCK[[#This Row],[Costo total]]</f>
        <v>6.2</v>
      </c>
      <c r="X1615" s="77">
        <f>STOCK[[#This Row],[Ganancia Unitaria]]*STOCK[[#This Row],[Salidas]]</f>
        <v>6.2</v>
      </c>
      <c r="Y1615" s="77"/>
      <c r="Z1615" s="77"/>
      <c r="AA1615" s="54">
        <f>STOCK[[#This Row],[Costo total]]*STOCK[[#This Row],[Entradas]]</f>
        <v>11.8</v>
      </c>
      <c r="AB1615" s="54">
        <f>STOCK[[#This Row],[Stock Actual]]*STOCK[[#This Row],[Costo total]]</f>
        <v>0</v>
      </c>
      <c r="AC1615" s="77"/>
      <c r="AD1615" s="84"/>
    </row>
    <row r="1616" s="53" customFormat="1" ht="50" customHeight="1" spans="1:30">
      <c r="A1616" s="53" t="s">
        <v>3200</v>
      </c>
      <c r="B1616" s="71" t="str">
        <f>_xlfn.DISPIMG("ID_9D86C42268174E569F1B44CA83A94651",1)</f>
        <v>=DISPIMG("ID_9D86C42268174E569F1B44CA83A94651",1)</v>
      </c>
      <c r="C1616" s="53" t="s">
        <v>32</v>
      </c>
      <c r="D1616" s="53" t="s">
        <v>749</v>
      </c>
      <c r="E1616" s="67" t="s">
        <v>3201</v>
      </c>
      <c r="F1616" s="53" t="s">
        <v>40</v>
      </c>
      <c r="H1616" s="77">
        <f>STOCK[[#This Row],[Precio Final]]</f>
        <v>18</v>
      </c>
      <c r="I1616" s="82">
        <f>STOCK[[#This Row],[Precio Venta Ideal (x1.5)]]</f>
        <v>17.7</v>
      </c>
      <c r="J1616" s="71">
        <v>1</v>
      </c>
      <c r="K1616" s="80">
        <f>SUMIFS(VENTAS[Cantidad],VENTAS[Código del producto Vendido],STOCK[[#This Row],[Code]])</f>
        <v>0</v>
      </c>
      <c r="L1616" s="80">
        <f>STOCK[[#This Row],[Entradas]]-STOCK[[#This Row],[Salidas]]</f>
        <v>1</v>
      </c>
      <c r="M1616" s="77">
        <f>STOCK[[#This Row],[Precio Final]]*10%</f>
        <v>1.8</v>
      </c>
      <c r="N1616" s="53">
        <v>0</v>
      </c>
      <c r="O1616" s="77">
        <v>0</v>
      </c>
      <c r="P1616" s="53">
        <v>10</v>
      </c>
      <c r="Q1616" s="72">
        <v>0</v>
      </c>
      <c r="R1616" s="53">
        <v>0</v>
      </c>
      <c r="S1616" s="54">
        <v>0</v>
      </c>
      <c r="T1616" s="77">
        <f>STOCK[[#This Row],[Costo Unitario (USD)]]+STOCK[[#This Row],[Costo Envío (USD)]]+STOCK[[#This Row],[Comisión 10%]]</f>
        <v>11.8</v>
      </c>
      <c r="U1616" s="53">
        <f>STOCK[[#This Row],[Costo total]]*1.5</f>
        <v>17.7</v>
      </c>
      <c r="V1616" s="53">
        <v>18</v>
      </c>
      <c r="W1616" s="77">
        <f>STOCK[[#This Row],[Precio Final]]-STOCK[[#This Row],[Costo total]]</f>
        <v>6.2</v>
      </c>
      <c r="X1616" s="77">
        <f>STOCK[[#This Row],[Ganancia Unitaria]]*STOCK[[#This Row],[Salidas]]</f>
        <v>0</v>
      </c>
      <c r="Y1616" s="77"/>
      <c r="Z1616" s="77"/>
      <c r="AA1616" s="54">
        <f>STOCK[[#This Row],[Costo total]]*STOCK[[#This Row],[Entradas]]</f>
        <v>11.8</v>
      </c>
      <c r="AB1616" s="54">
        <f>STOCK[[#This Row],[Stock Actual]]*STOCK[[#This Row],[Costo total]]</f>
        <v>11.8</v>
      </c>
      <c r="AC1616" s="77"/>
      <c r="AD1616" s="84"/>
    </row>
    <row r="1617" s="53" customFormat="1" ht="50" customHeight="1" spans="1:30">
      <c r="A1617" s="53" t="s">
        <v>3202</v>
      </c>
      <c r="B1617" s="71" t="str">
        <f>_xlfn.DISPIMG("ID_6192ED3DEF4E40E0B9CB7A8B01908DF1",1)</f>
        <v>=DISPIMG("ID_6192ED3DEF4E40E0B9CB7A8B01908DF1",1)</v>
      </c>
      <c r="C1617" s="53" t="s">
        <v>32</v>
      </c>
      <c r="D1617" s="53" t="s">
        <v>749</v>
      </c>
      <c r="E1617" s="67" t="s">
        <v>3203</v>
      </c>
      <c r="F1617" s="53" t="s">
        <v>46</v>
      </c>
      <c r="H1617" s="77">
        <f>STOCK[[#This Row],[Precio Final]]</f>
        <v>18</v>
      </c>
      <c r="I1617" s="82">
        <f>STOCK[[#This Row],[Precio Venta Ideal (x1.5)]]</f>
        <v>17.7</v>
      </c>
      <c r="J1617" s="71">
        <v>1</v>
      </c>
      <c r="K1617" s="80">
        <f>SUMIFS(VENTAS[Cantidad],VENTAS[Código del producto Vendido],STOCK[[#This Row],[Code]])</f>
        <v>0</v>
      </c>
      <c r="L1617" s="80">
        <f>STOCK[[#This Row],[Entradas]]-STOCK[[#This Row],[Salidas]]</f>
        <v>1</v>
      </c>
      <c r="M1617" s="77">
        <f>STOCK[[#This Row],[Precio Final]]*10%</f>
        <v>1.8</v>
      </c>
      <c r="N1617" s="54">
        <v>0</v>
      </c>
      <c r="O1617" s="77">
        <v>0</v>
      </c>
      <c r="P1617" s="53">
        <v>10</v>
      </c>
      <c r="Q1617" s="71">
        <v>0</v>
      </c>
      <c r="R1617" s="54">
        <v>0</v>
      </c>
      <c r="S1617" s="53">
        <v>0</v>
      </c>
      <c r="T1617" s="77">
        <f>STOCK[[#This Row],[Costo Unitario (USD)]]+STOCK[[#This Row],[Costo Envío (USD)]]+STOCK[[#This Row],[Comisión 10%]]</f>
        <v>11.8</v>
      </c>
      <c r="U1617" s="53">
        <f>STOCK[[#This Row],[Costo total]]*1.5</f>
        <v>17.7</v>
      </c>
      <c r="V1617" s="53">
        <v>18</v>
      </c>
      <c r="W1617" s="77">
        <f>STOCK[[#This Row],[Precio Final]]-STOCK[[#This Row],[Costo total]]</f>
        <v>6.2</v>
      </c>
      <c r="X1617" s="77">
        <f>STOCK[[#This Row],[Ganancia Unitaria]]*STOCK[[#This Row],[Salidas]]</f>
        <v>0</v>
      </c>
      <c r="Y1617" s="77"/>
      <c r="Z1617" s="77"/>
      <c r="AA1617" s="54">
        <f>STOCK[[#This Row],[Costo total]]*STOCK[[#This Row],[Entradas]]</f>
        <v>11.8</v>
      </c>
      <c r="AB1617" s="54">
        <f>STOCK[[#This Row],[Stock Actual]]*STOCK[[#This Row],[Costo total]]</f>
        <v>11.8</v>
      </c>
      <c r="AC1617" s="77"/>
      <c r="AD1617" s="84"/>
    </row>
    <row r="1618" s="53" customFormat="1" ht="50" customHeight="1" spans="1:30">
      <c r="A1618" s="53" t="s">
        <v>3204</v>
      </c>
      <c r="B1618" s="71" t="str">
        <f>_xlfn.DISPIMG("ID_AA724A023AFC4FB18C89A785789FBDC6",1)</f>
        <v>=DISPIMG("ID_AA724A023AFC4FB18C89A785789FBDC6",1)</v>
      </c>
      <c r="C1618" s="53" t="s">
        <v>32</v>
      </c>
      <c r="D1618" s="53" t="s">
        <v>749</v>
      </c>
      <c r="E1618" s="67" t="s">
        <v>3205</v>
      </c>
      <c r="F1618" s="53" t="s">
        <v>62</v>
      </c>
      <c r="H1618" s="77">
        <f>STOCK[[#This Row],[Precio Final]]</f>
        <v>18</v>
      </c>
      <c r="I1618" s="82">
        <f>STOCK[[#This Row],[Precio Venta Ideal (x1.5)]]</f>
        <v>17.7</v>
      </c>
      <c r="J1618" s="71">
        <v>1</v>
      </c>
      <c r="K1618" s="80">
        <f>SUMIFS(VENTAS[Cantidad],VENTAS[Código del producto Vendido],STOCK[[#This Row],[Code]])</f>
        <v>1</v>
      </c>
      <c r="L1618" s="80">
        <f>STOCK[[#This Row],[Entradas]]-STOCK[[#This Row],[Salidas]]</f>
        <v>0</v>
      </c>
      <c r="M1618" s="77">
        <f>STOCK[[#This Row],[Precio Final]]*10%</f>
        <v>1.8</v>
      </c>
      <c r="N1618" s="54">
        <v>0</v>
      </c>
      <c r="O1618" s="77">
        <v>0</v>
      </c>
      <c r="P1618" s="53">
        <v>10</v>
      </c>
      <c r="Q1618" s="71">
        <v>0</v>
      </c>
      <c r="R1618" s="53">
        <v>0</v>
      </c>
      <c r="S1618" s="54">
        <v>0</v>
      </c>
      <c r="T1618" s="77">
        <f>STOCK[[#This Row],[Costo Unitario (USD)]]+STOCK[[#This Row],[Costo Envío (USD)]]+STOCK[[#This Row],[Comisión 10%]]</f>
        <v>11.8</v>
      </c>
      <c r="U1618" s="53">
        <f>STOCK[[#This Row],[Costo total]]*1.5</f>
        <v>17.7</v>
      </c>
      <c r="V1618" s="53">
        <v>18</v>
      </c>
      <c r="W1618" s="77">
        <f>STOCK[[#This Row],[Precio Final]]-STOCK[[#This Row],[Costo total]]</f>
        <v>6.2</v>
      </c>
      <c r="X1618" s="77">
        <f>STOCK[[#This Row],[Ganancia Unitaria]]*STOCK[[#This Row],[Salidas]]</f>
        <v>6.2</v>
      </c>
      <c r="Y1618" s="77"/>
      <c r="Z1618" s="77"/>
      <c r="AA1618" s="54">
        <f>STOCK[[#This Row],[Costo total]]*STOCK[[#This Row],[Entradas]]</f>
        <v>11.8</v>
      </c>
      <c r="AB1618" s="54">
        <f>STOCK[[#This Row],[Stock Actual]]*STOCK[[#This Row],[Costo total]]</f>
        <v>0</v>
      </c>
      <c r="AC1618" s="77"/>
      <c r="AD1618" s="84"/>
    </row>
    <row r="1619" s="53" customFormat="1" ht="50" customHeight="1" spans="1:30">
      <c r="A1619" s="53" t="s">
        <v>3206</v>
      </c>
      <c r="B1619" s="71" t="str">
        <f>_xlfn.DISPIMG("ID_8CDF2E94ACBF49349E7B534C668F72E1",1)</f>
        <v>=DISPIMG("ID_8CDF2E94ACBF49349E7B534C668F72E1",1)</v>
      </c>
      <c r="C1619" s="53" t="s">
        <v>32</v>
      </c>
      <c r="D1619" s="53" t="s">
        <v>749</v>
      </c>
      <c r="E1619" s="67" t="s">
        <v>3207</v>
      </c>
      <c r="F1619" s="53" t="s">
        <v>40</v>
      </c>
      <c r="H1619" s="77">
        <f>STOCK[[#This Row],[Precio Final]]</f>
        <v>18</v>
      </c>
      <c r="I1619" s="82">
        <f>STOCK[[#This Row],[Precio Venta Ideal (x1.5)]]</f>
        <v>17.7</v>
      </c>
      <c r="J1619" s="71">
        <v>1</v>
      </c>
      <c r="K1619" s="80">
        <f>SUMIFS(VENTAS[Cantidad],VENTAS[Código del producto Vendido],STOCK[[#This Row],[Code]])</f>
        <v>0</v>
      </c>
      <c r="L1619" s="80">
        <f>STOCK[[#This Row],[Entradas]]-STOCK[[#This Row],[Salidas]]</f>
        <v>1</v>
      </c>
      <c r="M1619" s="77">
        <f>STOCK[[#This Row],[Precio Final]]*10%</f>
        <v>1.8</v>
      </c>
      <c r="N1619" s="53">
        <v>0</v>
      </c>
      <c r="O1619" s="77">
        <v>0</v>
      </c>
      <c r="P1619" s="53">
        <v>10</v>
      </c>
      <c r="Q1619" s="72">
        <v>0</v>
      </c>
      <c r="R1619" s="54">
        <v>0</v>
      </c>
      <c r="S1619" s="54">
        <v>0</v>
      </c>
      <c r="T1619" s="77">
        <f>STOCK[[#This Row],[Costo Unitario (USD)]]+STOCK[[#This Row],[Costo Envío (USD)]]+STOCK[[#This Row],[Comisión 10%]]</f>
        <v>11.8</v>
      </c>
      <c r="U1619" s="53">
        <f>STOCK[[#This Row],[Costo total]]*1.5</f>
        <v>17.7</v>
      </c>
      <c r="V1619" s="53">
        <v>18</v>
      </c>
      <c r="W1619" s="77">
        <f>STOCK[[#This Row],[Precio Final]]-STOCK[[#This Row],[Costo total]]</f>
        <v>6.2</v>
      </c>
      <c r="X1619" s="77">
        <f>STOCK[[#This Row],[Ganancia Unitaria]]*STOCK[[#This Row],[Salidas]]</f>
        <v>0</v>
      </c>
      <c r="Y1619" s="77"/>
      <c r="Z1619" s="77"/>
      <c r="AA1619" s="54">
        <f>STOCK[[#This Row],[Costo total]]*STOCK[[#This Row],[Entradas]]</f>
        <v>11.8</v>
      </c>
      <c r="AB1619" s="54">
        <f>STOCK[[#This Row],[Stock Actual]]*STOCK[[#This Row],[Costo total]]</f>
        <v>11.8</v>
      </c>
      <c r="AC1619" s="77"/>
      <c r="AD1619" s="84"/>
    </row>
    <row r="1620" s="53" customFormat="1" ht="50" customHeight="1" spans="1:30">
      <c r="A1620" s="53" t="s">
        <v>3208</v>
      </c>
      <c r="B1620" s="71" t="str">
        <f>_xlfn.DISPIMG("ID_8CDF2E94ACBF49349E7B534C668F72E1",1)</f>
        <v>=DISPIMG("ID_8CDF2E94ACBF49349E7B534C668F72E1",1)</v>
      </c>
      <c r="C1620" s="53" t="s">
        <v>32</v>
      </c>
      <c r="D1620" s="53" t="s">
        <v>749</v>
      </c>
      <c r="E1620" s="67" t="s">
        <v>3209</v>
      </c>
      <c r="F1620" s="53" t="s">
        <v>62</v>
      </c>
      <c r="H1620" s="77">
        <f>STOCK[[#This Row],[Precio Final]]</f>
        <v>18</v>
      </c>
      <c r="I1620" s="82">
        <f>STOCK[[#This Row],[Precio Venta Ideal (x1.5)]]</f>
        <v>17.7</v>
      </c>
      <c r="J1620" s="71">
        <v>0</v>
      </c>
      <c r="K1620" s="80">
        <f>SUMIFS(VENTAS[Cantidad],VENTAS[Código del producto Vendido],STOCK[[#This Row],[Code]])</f>
        <v>0</v>
      </c>
      <c r="L1620" s="80">
        <f>STOCK[[#This Row],[Entradas]]-STOCK[[#This Row],[Salidas]]</f>
        <v>0</v>
      </c>
      <c r="M1620" s="77">
        <f>STOCK[[#This Row],[Precio Final]]*10%</f>
        <v>1.8</v>
      </c>
      <c r="N1620" s="54">
        <v>0</v>
      </c>
      <c r="O1620" s="77">
        <v>0</v>
      </c>
      <c r="P1620" s="53">
        <v>10</v>
      </c>
      <c r="Q1620" s="71">
        <v>0</v>
      </c>
      <c r="R1620" s="53">
        <v>0</v>
      </c>
      <c r="S1620" s="53">
        <v>0</v>
      </c>
      <c r="T1620" s="77">
        <f>STOCK[[#This Row],[Costo Unitario (USD)]]+STOCK[[#This Row],[Costo Envío (USD)]]+STOCK[[#This Row],[Comisión 10%]]</f>
        <v>11.8</v>
      </c>
      <c r="U1620" s="53">
        <f>STOCK[[#This Row],[Costo total]]*1.5</f>
        <v>17.7</v>
      </c>
      <c r="V1620" s="53">
        <v>18</v>
      </c>
      <c r="W1620" s="77">
        <f>STOCK[[#This Row],[Precio Final]]-STOCK[[#This Row],[Costo total]]</f>
        <v>6.2</v>
      </c>
      <c r="X1620" s="77">
        <f>STOCK[[#This Row],[Ganancia Unitaria]]*STOCK[[#This Row],[Salidas]]</f>
        <v>0</v>
      </c>
      <c r="Y1620" s="77"/>
      <c r="Z1620" s="77"/>
      <c r="AA1620" s="54">
        <f>STOCK[[#This Row],[Costo total]]*STOCK[[#This Row],[Entradas]]</f>
        <v>0</v>
      </c>
      <c r="AB1620" s="54">
        <f>STOCK[[#This Row],[Stock Actual]]*STOCK[[#This Row],[Costo total]]</f>
        <v>0</v>
      </c>
      <c r="AC1620" s="77"/>
      <c r="AD1620" s="84"/>
    </row>
    <row r="1621" s="53" customFormat="1" ht="50" customHeight="1" spans="1:30">
      <c r="A1621" s="53" t="s">
        <v>3210</v>
      </c>
      <c r="C1621" s="53" t="s">
        <v>32</v>
      </c>
      <c r="D1621" s="53" t="s">
        <v>1388</v>
      </c>
      <c r="E1621" s="67" t="s">
        <v>3163</v>
      </c>
      <c r="F1621" s="53" t="s">
        <v>49</v>
      </c>
      <c r="H1621" s="77">
        <f>STOCK[[#This Row],[Precio Final]]</f>
        <v>18</v>
      </c>
      <c r="I1621" s="82">
        <f>STOCK[[#This Row],[Precio Venta Ideal (x1.5)]]</f>
        <v>11.7</v>
      </c>
      <c r="J1621" s="71">
        <v>1</v>
      </c>
      <c r="K1621" s="80">
        <f>SUMIFS(VENTAS[Cantidad],VENTAS[Código del producto Vendido],STOCK[[#This Row],[Code]])</f>
        <v>0</v>
      </c>
      <c r="L1621" s="80">
        <f>STOCK[[#This Row],[Entradas]]-STOCK[[#This Row],[Salidas]]</f>
        <v>1</v>
      </c>
      <c r="M1621" s="77">
        <f>STOCK[[#This Row],[Precio Final]]*10%</f>
        <v>1.8</v>
      </c>
      <c r="N1621" s="54">
        <v>0</v>
      </c>
      <c r="O1621" s="77">
        <v>0</v>
      </c>
      <c r="P1621" s="53">
        <v>6</v>
      </c>
      <c r="Q1621" s="71">
        <v>0</v>
      </c>
      <c r="R1621" s="54">
        <v>0</v>
      </c>
      <c r="S1621" s="54">
        <v>0</v>
      </c>
      <c r="T1621" s="77">
        <f>STOCK[[#This Row],[Costo Unitario (USD)]]+STOCK[[#This Row],[Costo Envío (USD)]]+STOCK[[#This Row],[Comisión 10%]]</f>
        <v>7.8</v>
      </c>
      <c r="U1621" s="53">
        <f>STOCK[[#This Row],[Costo total]]*1.5</f>
        <v>11.7</v>
      </c>
      <c r="V1621" s="53">
        <v>18</v>
      </c>
      <c r="W1621" s="77">
        <f>STOCK[[#This Row],[Precio Final]]-STOCK[[#This Row],[Costo total]]</f>
        <v>10.2</v>
      </c>
      <c r="X1621" s="77">
        <f>STOCK[[#This Row],[Ganancia Unitaria]]*STOCK[[#This Row],[Salidas]]</f>
        <v>0</v>
      </c>
      <c r="Y1621" s="77"/>
      <c r="Z1621" s="77"/>
      <c r="AA1621" s="54">
        <f>STOCK[[#This Row],[Costo total]]*STOCK[[#This Row],[Entradas]]</f>
        <v>7.8</v>
      </c>
      <c r="AB1621" s="54">
        <f>STOCK[[#This Row],[Stock Actual]]*STOCK[[#This Row],[Costo total]]</f>
        <v>7.8</v>
      </c>
      <c r="AC1621" s="77"/>
      <c r="AD1621" s="84"/>
    </row>
    <row r="1622" s="53" customFormat="1" ht="50" customHeight="1" spans="1:30">
      <c r="A1622" s="53" t="s">
        <v>3211</v>
      </c>
      <c r="B1622" s="71" t="str">
        <f>_xlfn.DISPIMG("ID_32237752924347C9958963C7F053ED96",1)</f>
        <v>=DISPIMG("ID_32237752924347C9958963C7F053ED96",1)</v>
      </c>
      <c r="C1622" s="53" t="s">
        <v>32</v>
      </c>
      <c r="D1622" s="53" t="s">
        <v>749</v>
      </c>
      <c r="E1622" s="67" t="s">
        <v>3212</v>
      </c>
      <c r="F1622" s="53" t="s">
        <v>62</v>
      </c>
      <c r="H1622" s="77">
        <f>STOCK[[#This Row],[Precio Final]]</f>
        <v>22</v>
      </c>
      <c r="I1622" s="82">
        <f>STOCK[[#This Row],[Precio Venta Ideal (x1.5)]]</f>
        <v>18.3</v>
      </c>
      <c r="J1622" s="71">
        <v>2</v>
      </c>
      <c r="K1622" s="80">
        <f>SUMIFS(VENTAS[Cantidad],VENTAS[Código del producto Vendido],STOCK[[#This Row],[Code]])</f>
        <v>1</v>
      </c>
      <c r="L1622" s="80">
        <f>STOCK[[#This Row],[Entradas]]-STOCK[[#This Row],[Salidas]]</f>
        <v>1</v>
      </c>
      <c r="M1622" s="77">
        <f>STOCK[[#This Row],[Precio Final]]*10%</f>
        <v>2.2</v>
      </c>
      <c r="N1622" s="53">
        <v>0</v>
      </c>
      <c r="O1622" s="77">
        <v>0</v>
      </c>
      <c r="P1622" s="53">
        <v>10</v>
      </c>
      <c r="Q1622" s="72">
        <v>0</v>
      </c>
      <c r="R1622" s="53">
        <v>0</v>
      </c>
      <c r="S1622" s="54">
        <v>0</v>
      </c>
      <c r="T1622" s="77">
        <f>STOCK[[#This Row],[Costo Unitario (USD)]]+STOCK[[#This Row],[Costo Envío (USD)]]+STOCK[[#This Row],[Comisión 10%]]</f>
        <v>12.2</v>
      </c>
      <c r="U1622" s="53">
        <f>STOCK[[#This Row],[Costo total]]*1.5</f>
        <v>18.3</v>
      </c>
      <c r="V1622" s="53">
        <v>22</v>
      </c>
      <c r="W1622" s="77">
        <f>STOCK[[#This Row],[Precio Final]]-STOCK[[#This Row],[Costo total]]</f>
        <v>9.8</v>
      </c>
      <c r="X1622" s="77">
        <f>STOCK[[#This Row],[Ganancia Unitaria]]*STOCK[[#This Row],[Salidas]]</f>
        <v>9.8</v>
      </c>
      <c r="Y1622" s="77"/>
      <c r="Z1622" s="77"/>
      <c r="AA1622" s="54">
        <f>STOCK[[#This Row],[Costo total]]*STOCK[[#This Row],[Entradas]]</f>
        <v>24.4</v>
      </c>
      <c r="AB1622" s="54">
        <f>STOCK[[#This Row],[Stock Actual]]*STOCK[[#This Row],[Costo total]]</f>
        <v>12.2</v>
      </c>
      <c r="AC1622" s="77"/>
      <c r="AD1622" s="84"/>
    </row>
    <row r="1623" s="53" customFormat="1" ht="50" customHeight="1" spans="1:30">
      <c r="A1623" s="53" t="s">
        <v>3213</v>
      </c>
      <c r="B1623" s="53" t="s">
        <v>1345</v>
      </c>
      <c r="C1623" s="53" t="s">
        <v>32</v>
      </c>
      <c r="D1623" s="53" t="s">
        <v>749</v>
      </c>
      <c r="E1623" s="67" t="s">
        <v>3214</v>
      </c>
      <c r="F1623" s="53" t="s">
        <v>62</v>
      </c>
      <c r="H1623" s="77">
        <f>STOCK[[#This Row],[Precio Final]]</f>
        <v>25</v>
      </c>
      <c r="I1623" s="82">
        <f>STOCK[[#This Row],[Precio Venta Ideal (x1.5)]]</f>
        <v>18.75</v>
      </c>
      <c r="J1623" s="71">
        <v>1</v>
      </c>
      <c r="K1623" s="80">
        <f>SUMIFS(VENTAS[Cantidad],VENTAS[Código del producto Vendido],STOCK[[#This Row],[Code]])</f>
        <v>0</v>
      </c>
      <c r="L1623" s="80">
        <f>STOCK[[#This Row],[Entradas]]-STOCK[[#This Row],[Salidas]]</f>
        <v>1</v>
      </c>
      <c r="M1623" s="77">
        <f>STOCK[[#This Row],[Precio Final]]*10%</f>
        <v>2.5</v>
      </c>
      <c r="N1623" s="54">
        <v>0</v>
      </c>
      <c r="O1623" s="77">
        <v>0</v>
      </c>
      <c r="P1623" s="53">
        <v>10</v>
      </c>
      <c r="Q1623" s="71">
        <v>0</v>
      </c>
      <c r="R1623" s="54">
        <v>0</v>
      </c>
      <c r="S1623" s="53">
        <v>0</v>
      </c>
      <c r="T1623" s="77">
        <f>STOCK[[#This Row],[Costo Unitario (USD)]]+STOCK[[#This Row],[Costo Envío (USD)]]+STOCK[[#This Row],[Comisión 10%]]</f>
        <v>12.5</v>
      </c>
      <c r="U1623" s="53">
        <f>STOCK[[#This Row],[Costo total]]*1.5</f>
        <v>18.75</v>
      </c>
      <c r="V1623" s="53">
        <v>25</v>
      </c>
      <c r="W1623" s="77">
        <f>STOCK[[#This Row],[Precio Final]]-STOCK[[#This Row],[Costo total]]</f>
        <v>12.5</v>
      </c>
      <c r="X1623" s="77">
        <f>STOCK[[#This Row],[Ganancia Unitaria]]*STOCK[[#This Row],[Salidas]]</f>
        <v>0</v>
      </c>
      <c r="Y1623" s="77"/>
      <c r="Z1623" s="77"/>
      <c r="AA1623" s="54">
        <f>STOCK[[#This Row],[Costo total]]*STOCK[[#This Row],[Entradas]]</f>
        <v>12.5</v>
      </c>
      <c r="AB1623" s="54">
        <f>STOCK[[#This Row],[Stock Actual]]*STOCK[[#This Row],[Costo total]]</f>
        <v>12.5</v>
      </c>
      <c r="AC1623" s="77"/>
      <c r="AD1623" s="84"/>
    </row>
    <row r="1624" s="53" customFormat="1" ht="50" customHeight="1" spans="1:30">
      <c r="A1624" s="53" t="s">
        <v>3215</v>
      </c>
      <c r="B1624" s="71" t="str">
        <f>_xlfn.DISPIMG("ID_EBBCEBED0DC34FFB89EBAF2545A36AD1",1)</f>
        <v>=DISPIMG("ID_EBBCEBED0DC34FFB89EBAF2545A36AD1",1)</v>
      </c>
      <c r="C1624" s="53" t="s">
        <v>32</v>
      </c>
      <c r="D1624" s="53" t="s">
        <v>749</v>
      </c>
      <c r="E1624" s="67" t="s">
        <v>3216</v>
      </c>
      <c r="F1624" s="53" t="s">
        <v>49</v>
      </c>
      <c r="H1624" s="77">
        <f>STOCK[[#This Row],[Precio Final]]</f>
        <v>25</v>
      </c>
      <c r="I1624" s="82">
        <f>STOCK[[#This Row],[Precio Venta Ideal (x1.5)]]</f>
        <v>18.75</v>
      </c>
      <c r="J1624" s="71">
        <v>1</v>
      </c>
      <c r="K1624" s="80">
        <f>SUMIFS(VENTAS[Cantidad],VENTAS[Código del producto Vendido],STOCK[[#This Row],[Code]])</f>
        <v>1</v>
      </c>
      <c r="L1624" s="80">
        <f>STOCK[[#This Row],[Entradas]]-STOCK[[#This Row],[Salidas]]</f>
        <v>0</v>
      </c>
      <c r="M1624" s="77">
        <f>STOCK[[#This Row],[Precio Final]]*10%</f>
        <v>2.5</v>
      </c>
      <c r="N1624" s="54">
        <v>0</v>
      </c>
      <c r="O1624" s="77">
        <v>0</v>
      </c>
      <c r="P1624" s="53">
        <v>10</v>
      </c>
      <c r="Q1624" s="71">
        <v>0</v>
      </c>
      <c r="R1624" s="53">
        <v>0</v>
      </c>
      <c r="S1624" s="54">
        <v>0</v>
      </c>
      <c r="T1624" s="77">
        <f>STOCK[[#This Row],[Costo Unitario (USD)]]+STOCK[[#This Row],[Costo Envío (USD)]]+STOCK[[#This Row],[Comisión 10%]]</f>
        <v>12.5</v>
      </c>
      <c r="U1624" s="53">
        <f>STOCK[[#This Row],[Costo total]]*1.5</f>
        <v>18.75</v>
      </c>
      <c r="V1624" s="53">
        <v>25</v>
      </c>
      <c r="W1624" s="77">
        <f>STOCK[[#This Row],[Precio Final]]-STOCK[[#This Row],[Costo total]]</f>
        <v>12.5</v>
      </c>
      <c r="X1624" s="77">
        <f>STOCK[[#This Row],[Ganancia Unitaria]]*STOCK[[#This Row],[Salidas]]</f>
        <v>12.5</v>
      </c>
      <c r="Y1624" s="77"/>
      <c r="Z1624" s="77"/>
      <c r="AA1624" s="54">
        <f>STOCK[[#This Row],[Costo total]]*STOCK[[#This Row],[Entradas]]</f>
        <v>12.5</v>
      </c>
      <c r="AB1624" s="54">
        <f>STOCK[[#This Row],[Stock Actual]]*STOCK[[#This Row],[Costo total]]</f>
        <v>0</v>
      </c>
      <c r="AC1624" s="77"/>
      <c r="AD1624" s="84"/>
    </row>
    <row r="1625" s="53" customFormat="1" ht="50" customHeight="1" spans="1:30">
      <c r="A1625" s="53" t="s">
        <v>3217</v>
      </c>
      <c r="B1625" s="71" t="str">
        <f>_xlfn.DISPIMG("ID_21BE528AF4714D5CB2946E28AE2B61F6",1)</f>
        <v>=DISPIMG("ID_21BE528AF4714D5CB2946E28AE2B61F6",1)</v>
      </c>
      <c r="C1625" s="53" t="s">
        <v>32</v>
      </c>
      <c r="D1625" s="53" t="s">
        <v>749</v>
      </c>
      <c r="E1625" s="67" t="s">
        <v>3218</v>
      </c>
      <c r="F1625" s="53" t="s">
        <v>62</v>
      </c>
      <c r="H1625" s="77">
        <f>STOCK[[#This Row],[Precio Final]]</f>
        <v>25</v>
      </c>
      <c r="I1625" s="82">
        <f>STOCK[[#This Row],[Precio Venta Ideal (x1.5)]]</f>
        <v>21.75</v>
      </c>
      <c r="J1625" s="71">
        <v>1</v>
      </c>
      <c r="K1625" s="80">
        <f>SUMIFS(VENTAS[Cantidad],VENTAS[Código del producto Vendido],STOCK[[#This Row],[Code]])</f>
        <v>0</v>
      </c>
      <c r="L1625" s="80">
        <f>STOCK[[#This Row],[Entradas]]-STOCK[[#This Row],[Salidas]]</f>
        <v>1</v>
      </c>
      <c r="M1625" s="77">
        <f>STOCK[[#This Row],[Precio Final]]*10%</f>
        <v>2.5</v>
      </c>
      <c r="N1625" s="54">
        <v>0</v>
      </c>
      <c r="O1625" s="77">
        <v>0</v>
      </c>
      <c r="P1625" s="53">
        <v>12</v>
      </c>
      <c r="Q1625" s="71">
        <v>0</v>
      </c>
      <c r="R1625" s="53">
        <v>0</v>
      </c>
      <c r="S1625" s="53">
        <v>0</v>
      </c>
      <c r="T1625" s="77">
        <f>STOCK[[#This Row],[Costo Unitario (USD)]]+STOCK[[#This Row],[Costo Envío (USD)]]+STOCK[[#This Row],[Comisión 10%]]</f>
        <v>14.5</v>
      </c>
      <c r="U1625" s="53">
        <f>STOCK[[#This Row],[Costo total]]*1.5</f>
        <v>21.75</v>
      </c>
      <c r="V1625" s="53">
        <v>25</v>
      </c>
      <c r="W1625" s="77">
        <f>STOCK[[#This Row],[Precio Final]]-STOCK[[#This Row],[Costo total]]</f>
        <v>10.5</v>
      </c>
      <c r="X1625" s="77">
        <f>STOCK[[#This Row],[Ganancia Unitaria]]*STOCK[[#This Row],[Salidas]]</f>
        <v>0</v>
      </c>
      <c r="Y1625" s="77"/>
      <c r="Z1625" s="77"/>
      <c r="AA1625" s="54">
        <f>STOCK[[#This Row],[Costo total]]*STOCK[[#This Row],[Entradas]]</f>
        <v>14.5</v>
      </c>
      <c r="AB1625" s="54">
        <f>STOCK[[#This Row],[Stock Actual]]*STOCK[[#This Row],[Costo total]]</f>
        <v>14.5</v>
      </c>
      <c r="AC1625" s="77"/>
      <c r="AD1625" s="84"/>
    </row>
    <row r="1626" s="53" customFormat="1" ht="50" customHeight="1" spans="1:30">
      <c r="A1626" s="53" t="s">
        <v>3219</v>
      </c>
      <c r="B1626" s="71" t="str">
        <f>_xlfn.DISPIMG("ID_0A7224B17DBC46D78E3CFBA92FF16148",1)</f>
        <v>=DISPIMG("ID_0A7224B17DBC46D78E3CFBA92FF16148",1)</v>
      </c>
      <c r="C1626" s="53" t="s">
        <v>32</v>
      </c>
      <c r="D1626" s="53" t="s">
        <v>749</v>
      </c>
      <c r="E1626" s="67" t="s">
        <v>3220</v>
      </c>
      <c r="F1626" s="53" t="s">
        <v>40</v>
      </c>
      <c r="H1626" s="77">
        <f>STOCK[[#This Row],[Precio Final]]</f>
        <v>30</v>
      </c>
      <c r="I1626" s="82">
        <f>STOCK[[#This Row],[Precio Venta Ideal (x1.5)]]</f>
        <v>22.5</v>
      </c>
      <c r="J1626" s="71">
        <v>1</v>
      </c>
      <c r="K1626" s="80">
        <f>SUMIFS(VENTAS[Cantidad],VENTAS[Código del producto Vendido],STOCK[[#This Row],[Code]])</f>
        <v>0</v>
      </c>
      <c r="L1626" s="80">
        <f>STOCK[[#This Row],[Entradas]]-STOCK[[#This Row],[Salidas]]</f>
        <v>1</v>
      </c>
      <c r="M1626" s="77">
        <f>STOCK[[#This Row],[Precio Final]]*10%</f>
        <v>3</v>
      </c>
      <c r="N1626" s="54">
        <v>0</v>
      </c>
      <c r="O1626" s="77">
        <v>0</v>
      </c>
      <c r="P1626" s="53">
        <v>12</v>
      </c>
      <c r="Q1626" s="71">
        <v>0</v>
      </c>
      <c r="R1626" s="53">
        <v>0</v>
      </c>
      <c r="S1626" s="54">
        <v>0</v>
      </c>
      <c r="T1626" s="77">
        <f>STOCK[[#This Row],[Costo Unitario (USD)]]+STOCK[[#This Row],[Costo Envío (USD)]]+STOCK[[#This Row],[Comisión 10%]]</f>
        <v>15</v>
      </c>
      <c r="U1626" s="53">
        <f>STOCK[[#This Row],[Costo total]]*1.5</f>
        <v>22.5</v>
      </c>
      <c r="V1626" s="53">
        <v>30</v>
      </c>
      <c r="W1626" s="77">
        <f>STOCK[[#This Row],[Precio Final]]-STOCK[[#This Row],[Costo total]]</f>
        <v>15</v>
      </c>
      <c r="X1626" s="77">
        <f>STOCK[[#This Row],[Ganancia Unitaria]]*STOCK[[#This Row],[Salidas]]</f>
        <v>0</v>
      </c>
      <c r="Y1626" s="77"/>
      <c r="Z1626" s="77"/>
      <c r="AA1626" s="54">
        <f>STOCK[[#This Row],[Costo total]]*STOCK[[#This Row],[Entradas]]</f>
        <v>15</v>
      </c>
      <c r="AB1626" s="54">
        <f>STOCK[[#This Row],[Stock Actual]]*STOCK[[#This Row],[Costo total]]</f>
        <v>15</v>
      </c>
      <c r="AC1626" s="77"/>
      <c r="AD1626" s="84"/>
    </row>
    <row r="1627" s="53" customFormat="1" ht="50" customHeight="1" spans="1:30">
      <c r="A1627" s="53" t="s">
        <v>3221</v>
      </c>
      <c r="B1627" s="71" t="str">
        <f>_xlfn.DISPIMG("ID_10BC08E7CE7C4BF4BAFC2397BD828897",1)</f>
        <v>=DISPIMG("ID_10BC08E7CE7C4BF4BAFC2397BD828897",1)</v>
      </c>
      <c r="C1627" s="53" t="s">
        <v>32</v>
      </c>
      <c r="D1627" s="53" t="s">
        <v>749</v>
      </c>
      <c r="E1627" s="67" t="s">
        <v>3222</v>
      </c>
      <c r="F1627" s="53" t="s">
        <v>49</v>
      </c>
      <c r="H1627" s="77">
        <f>STOCK[[#This Row],[Precio Final]]</f>
        <v>25</v>
      </c>
      <c r="I1627" s="82">
        <f>STOCK[[#This Row],[Precio Venta Ideal (x1.5)]]</f>
        <v>21.75</v>
      </c>
      <c r="J1627" s="71">
        <v>1</v>
      </c>
      <c r="K1627" s="80">
        <f>SUMIFS(VENTAS[Cantidad],VENTAS[Código del producto Vendido],STOCK[[#This Row],[Code]])</f>
        <v>1</v>
      </c>
      <c r="L1627" s="80">
        <f>STOCK[[#This Row],[Entradas]]-STOCK[[#This Row],[Salidas]]</f>
        <v>0</v>
      </c>
      <c r="M1627" s="77">
        <f>STOCK[[#This Row],[Precio Final]]*10%</f>
        <v>2.5</v>
      </c>
      <c r="N1627" s="53">
        <v>0</v>
      </c>
      <c r="O1627" s="77">
        <v>0</v>
      </c>
      <c r="P1627" s="53">
        <v>12</v>
      </c>
      <c r="Q1627" s="72">
        <v>0</v>
      </c>
      <c r="R1627" s="53">
        <v>0</v>
      </c>
      <c r="S1627" s="54">
        <v>0</v>
      </c>
      <c r="T1627" s="77">
        <f>STOCK[[#This Row],[Costo Unitario (USD)]]+STOCK[[#This Row],[Costo Envío (USD)]]+STOCK[[#This Row],[Comisión 10%]]</f>
        <v>14.5</v>
      </c>
      <c r="U1627" s="53">
        <f>STOCK[[#This Row],[Costo total]]*1.5</f>
        <v>21.75</v>
      </c>
      <c r="V1627" s="53">
        <v>25</v>
      </c>
      <c r="W1627" s="77">
        <f>STOCK[[#This Row],[Precio Final]]-STOCK[[#This Row],[Costo total]]</f>
        <v>10.5</v>
      </c>
      <c r="X1627" s="77">
        <f>STOCK[[#This Row],[Ganancia Unitaria]]*STOCK[[#This Row],[Salidas]]</f>
        <v>10.5</v>
      </c>
      <c r="Y1627" s="77"/>
      <c r="Z1627" s="77"/>
      <c r="AA1627" s="54">
        <f>STOCK[[#This Row],[Costo total]]*STOCK[[#This Row],[Entradas]]</f>
        <v>14.5</v>
      </c>
      <c r="AB1627" s="54">
        <f>STOCK[[#This Row],[Stock Actual]]*STOCK[[#This Row],[Costo total]]</f>
        <v>0</v>
      </c>
      <c r="AC1627" s="77"/>
      <c r="AD1627" s="84"/>
    </row>
    <row r="1628" s="53" customFormat="1" ht="50" customHeight="1" spans="1:30">
      <c r="A1628" s="53" t="s">
        <v>3223</v>
      </c>
      <c r="B1628" s="71" t="str">
        <f>_xlfn.DISPIMG("ID_10D057D68DAE4E4B8C0E6236A387883F",1)</f>
        <v>=DISPIMG("ID_10D057D68DAE4E4B8C0E6236A387883F",1)</v>
      </c>
      <c r="C1628" s="53" t="s">
        <v>32</v>
      </c>
      <c r="D1628" s="53" t="s">
        <v>749</v>
      </c>
      <c r="E1628" s="67" t="s">
        <v>3224</v>
      </c>
      <c r="F1628" s="53" t="s">
        <v>46</v>
      </c>
      <c r="H1628" s="77">
        <f>STOCK[[#This Row],[Precio Final]]</f>
        <v>35</v>
      </c>
      <c r="I1628" s="82">
        <f>STOCK[[#This Row],[Precio Venta Ideal (x1.5)]]</f>
        <v>23.25</v>
      </c>
      <c r="J1628" s="71">
        <v>1</v>
      </c>
      <c r="K1628" s="80">
        <f>SUMIFS(VENTAS[Cantidad],VENTAS[Código del producto Vendido],STOCK[[#This Row],[Code]])</f>
        <v>1</v>
      </c>
      <c r="L1628" s="80">
        <f>STOCK[[#This Row],[Entradas]]-STOCK[[#This Row],[Salidas]]</f>
        <v>0</v>
      </c>
      <c r="M1628" s="77">
        <f>STOCK[[#This Row],[Precio Final]]*10%</f>
        <v>3.5</v>
      </c>
      <c r="N1628" s="54">
        <v>0</v>
      </c>
      <c r="O1628" s="77">
        <v>0</v>
      </c>
      <c r="P1628" s="53">
        <v>12</v>
      </c>
      <c r="Q1628" s="71">
        <v>0</v>
      </c>
      <c r="R1628" s="53">
        <v>0</v>
      </c>
      <c r="S1628" s="53">
        <v>0</v>
      </c>
      <c r="T1628" s="77">
        <f>STOCK[[#This Row],[Costo Unitario (USD)]]+STOCK[[#This Row],[Costo Envío (USD)]]+STOCK[[#This Row],[Comisión 10%]]</f>
        <v>15.5</v>
      </c>
      <c r="U1628" s="53">
        <f>STOCK[[#This Row],[Costo total]]*1.5</f>
        <v>23.25</v>
      </c>
      <c r="V1628" s="53">
        <v>35</v>
      </c>
      <c r="W1628" s="77">
        <f>STOCK[[#This Row],[Precio Final]]-STOCK[[#This Row],[Costo total]]</f>
        <v>19.5</v>
      </c>
      <c r="X1628" s="77">
        <f>STOCK[[#This Row],[Ganancia Unitaria]]*STOCK[[#This Row],[Salidas]]</f>
        <v>19.5</v>
      </c>
      <c r="Y1628" s="77"/>
      <c r="Z1628" s="77"/>
      <c r="AA1628" s="54">
        <f>STOCK[[#This Row],[Costo total]]*STOCK[[#This Row],[Entradas]]</f>
        <v>15.5</v>
      </c>
      <c r="AB1628" s="54">
        <f>STOCK[[#This Row],[Stock Actual]]*STOCK[[#This Row],[Costo total]]</f>
        <v>0</v>
      </c>
      <c r="AC1628" s="77"/>
      <c r="AD1628" s="84"/>
    </row>
    <row r="1629" s="53" customFormat="1" ht="50" customHeight="1" spans="1:30">
      <c r="A1629" s="53" t="s">
        <v>3225</v>
      </c>
      <c r="B1629" s="53" t="s">
        <v>3226</v>
      </c>
      <c r="C1629" s="53" t="s">
        <v>32</v>
      </c>
      <c r="D1629" s="53" t="s">
        <v>749</v>
      </c>
      <c r="E1629" s="67" t="s">
        <v>3227</v>
      </c>
      <c r="F1629" s="53" t="s">
        <v>49</v>
      </c>
      <c r="H1629" s="77">
        <f>STOCK[[#This Row],[Precio Final]]</f>
        <v>25</v>
      </c>
      <c r="I1629" s="82">
        <f>STOCK[[#This Row],[Precio Venta Ideal (x1.5)]]</f>
        <v>21.75</v>
      </c>
      <c r="J1629" s="71">
        <v>1</v>
      </c>
      <c r="K1629" s="80">
        <f>SUMIFS(VENTAS[Cantidad],VENTAS[Código del producto Vendido],STOCK[[#This Row],[Code]])</f>
        <v>1</v>
      </c>
      <c r="L1629" s="80">
        <f>STOCK[[#This Row],[Entradas]]-STOCK[[#This Row],[Salidas]]</f>
        <v>0</v>
      </c>
      <c r="M1629" s="77">
        <f>STOCK[[#This Row],[Precio Final]]*10%</f>
        <v>2.5</v>
      </c>
      <c r="N1629" s="54">
        <v>0</v>
      </c>
      <c r="O1629" s="77">
        <v>0</v>
      </c>
      <c r="P1629" s="53">
        <v>12</v>
      </c>
      <c r="Q1629" s="71">
        <v>0</v>
      </c>
      <c r="R1629" s="53">
        <v>0</v>
      </c>
      <c r="S1629" s="54">
        <v>0</v>
      </c>
      <c r="T1629" s="77">
        <f>STOCK[[#This Row],[Costo Unitario (USD)]]+STOCK[[#This Row],[Costo Envío (USD)]]+STOCK[[#This Row],[Comisión 10%]]</f>
        <v>14.5</v>
      </c>
      <c r="U1629" s="53">
        <f>STOCK[[#This Row],[Costo total]]*1.5</f>
        <v>21.75</v>
      </c>
      <c r="V1629" s="53">
        <v>25</v>
      </c>
      <c r="W1629" s="77">
        <f>STOCK[[#This Row],[Precio Final]]-STOCK[[#This Row],[Costo total]]</f>
        <v>10.5</v>
      </c>
      <c r="X1629" s="77">
        <f>STOCK[[#This Row],[Ganancia Unitaria]]*STOCK[[#This Row],[Salidas]]</f>
        <v>10.5</v>
      </c>
      <c r="Y1629" s="77"/>
      <c r="Z1629" s="77"/>
      <c r="AA1629" s="54">
        <f>STOCK[[#This Row],[Costo total]]*STOCK[[#This Row],[Entradas]]</f>
        <v>14.5</v>
      </c>
      <c r="AB1629" s="54">
        <f>STOCK[[#This Row],[Stock Actual]]*STOCK[[#This Row],[Costo total]]</f>
        <v>0</v>
      </c>
      <c r="AC1629" s="77"/>
      <c r="AD1629" s="84"/>
    </row>
    <row r="1630" s="53" customFormat="1" ht="50" customHeight="1" spans="1:30">
      <c r="A1630" s="53" t="s">
        <v>3228</v>
      </c>
      <c r="C1630" s="53" t="s">
        <v>32</v>
      </c>
      <c r="D1630" s="53" t="s">
        <v>749</v>
      </c>
      <c r="E1630" s="67" t="s">
        <v>3229</v>
      </c>
      <c r="F1630" s="53" t="s">
        <v>49</v>
      </c>
      <c r="H1630" s="77">
        <f>STOCK[[#This Row],[Precio Final]]</f>
        <v>0</v>
      </c>
      <c r="I1630" s="82">
        <f>STOCK[[#This Row],[Precio Venta Ideal (x1.5)]]</f>
        <v>18</v>
      </c>
      <c r="J1630" s="71">
        <v>1</v>
      </c>
      <c r="K1630" s="80">
        <f>SUMIFS(VENTAS[Cantidad],VENTAS[Código del producto Vendido],STOCK[[#This Row],[Code]])</f>
        <v>0</v>
      </c>
      <c r="L1630" s="80">
        <f>STOCK[[#This Row],[Entradas]]-STOCK[[#This Row],[Salidas]]</f>
        <v>1</v>
      </c>
      <c r="M1630" s="77">
        <f>STOCK[[#This Row],[Precio Final]]*10%</f>
        <v>0</v>
      </c>
      <c r="N1630" s="53">
        <v>0</v>
      </c>
      <c r="O1630" s="77">
        <v>0</v>
      </c>
      <c r="P1630" s="53">
        <v>12</v>
      </c>
      <c r="Q1630" s="72">
        <v>0</v>
      </c>
      <c r="R1630" s="53">
        <v>0</v>
      </c>
      <c r="S1630" s="54">
        <v>0</v>
      </c>
      <c r="T1630" s="77">
        <f>STOCK[[#This Row],[Costo Unitario (USD)]]+STOCK[[#This Row],[Costo Envío (USD)]]+STOCK[[#This Row],[Comisión 10%]]</f>
        <v>12</v>
      </c>
      <c r="U1630" s="53">
        <f>STOCK[[#This Row],[Costo total]]*1.5</f>
        <v>18</v>
      </c>
      <c r="W1630" s="77">
        <f>STOCK[[#This Row],[Precio Final]]-STOCK[[#This Row],[Costo total]]</f>
        <v>-12</v>
      </c>
      <c r="X1630" s="77">
        <f>STOCK[[#This Row],[Ganancia Unitaria]]*STOCK[[#This Row],[Salidas]]</f>
        <v>0</v>
      </c>
      <c r="Y1630" s="77"/>
      <c r="Z1630" s="77"/>
      <c r="AA1630" s="54">
        <f>STOCK[[#This Row],[Costo total]]*STOCK[[#This Row],[Entradas]]</f>
        <v>12</v>
      </c>
      <c r="AB1630" s="54">
        <f>STOCK[[#This Row],[Stock Actual]]*STOCK[[#This Row],[Costo total]]</f>
        <v>12</v>
      </c>
      <c r="AC1630" s="77"/>
      <c r="AD1630" s="84"/>
    </row>
    <row r="1631" s="53" customFormat="1" ht="50" customHeight="1" spans="1:30">
      <c r="A1631" s="53" t="s">
        <v>3230</v>
      </c>
      <c r="B1631" s="53" t="s">
        <v>3231</v>
      </c>
      <c r="C1631" s="53" t="s">
        <v>32</v>
      </c>
      <c r="D1631" s="53" t="s">
        <v>743</v>
      </c>
      <c r="E1631" s="67" t="s">
        <v>3232</v>
      </c>
      <c r="H1631" s="77">
        <f>STOCK[[#This Row],[Precio Final]]</f>
        <v>0</v>
      </c>
      <c r="I1631" s="82">
        <f>STOCK[[#This Row],[Precio Venta Ideal (x1.5)]]</f>
        <v>12</v>
      </c>
      <c r="J1631" s="71">
        <v>2</v>
      </c>
      <c r="K1631" s="80">
        <f>SUMIFS(VENTAS[Cantidad],VENTAS[Código del producto Vendido],STOCK[[#This Row],[Code]])</f>
        <v>2</v>
      </c>
      <c r="L1631" s="80">
        <f>STOCK[[#This Row],[Entradas]]-STOCK[[#This Row],[Salidas]]</f>
        <v>0</v>
      </c>
      <c r="M1631" s="77">
        <f>STOCK[[#This Row],[Precio Final]]*10%</f>
        <v>0</v>
      </c>
      <c r="N1631" s="54">
        <v>0</v>
      </c>
      <c r="O1631" s="77">
        <v>0</v>
      </c>
      <c r="P1631" s="53">
        <v>8</v>
      </c>
      <c r="Q1631" s="71">
        <v>0</v>
      </c>
      <c r="R1631" s="53">
        <v>0</v>
      </c>
      <c r="S1631" s="53">
        <v>0</v>
      </c>
      <c r="T1631" s="77">
        <f>STOCK[[#This Row],[Costo Unitario (USD)]]+STOCK[[#This Row],[Costo Envío (USD)]]+STOCK[[#This Row],[Comisión 10%]]</f>
        <v>8</v>
      </c>
      <c r="U1631" s="53">
        <f>STOCK[[#This Row],[Costo total]]*1.5</f>
        <v>12</v>
      </c>
      <c r="W1631" s="77">
        <f>STOCK[[#This Row],[Precio Final]]-STOCK[[#This Row],[Costo total]]</f>
        <v>-8</v>
      </c>
      <c r="X1631" s="77">
        <f>STOCK[[#This Row],[Ganancia Unitaria]]*STOCK[[#This Row],[Salidas]]</f>
        <v>-16</v>
      </c>
      <c r="Y1631" s="77"/>
      <c r="Z1631" s="77"/>
      <c r="AA1631" s="54">
        <f>STOCK[[#This Row],[Costo total]]*STOCK[[#This Row],[Entradas]]</f>
        <v>16</v>
      </c>
      <c r="AB1631" s="54">
        <f>STOCK[[#This Row],[Stock Actual]]*STOCK[[#This Row],[Costo total]]</f>
        <v>0</v>
      </c>
      <c r="AC1631" s="77"/>
      <c r="AD1631" s="84"/>
    </row>
    <row r="1632" s="53" customFormat="1" ht="50" customHeight="1" spans="1:30">
      <c r="A1632" s="53" t="s">
        <v>3233</v>
      </c>
      <c r="B1632" s="71" t="str">
        <f>_xlfn.DISPIMG("ID_2D0D706DB7AE40C6B6E6EC219AB5C027",1)</f>
        <v>=DISPIMG("ID_2D0D706DB7AE40C6B6E6EC219AB5C027",1)</v>
      </c>
      <c r="C1632" s="53" t="s">
        <v>32</v>
      </c>
      <c r="D1632" s="53" t="s">
        <v>3234</v>
      </c>
      <c r="E1632" s="67" t="s">
        <v>3235</v>
      </c>
      <c r="F1632" s="53" t="s">
        <v>2108</v>
      </c>
      <c r="H1632" s="77">
        <f>STOCK[[#This Row],[Precio Final]]</f>
        <v>35</v>
      </c>
      <c r="I1632" s="82">
        <f>STOCK[[#This Row],[Precio Venta Ideal (x1.5)]]</f>
        <v>23.25</v>
      </c>
      <c r="J1632" s="71">
        <v>1</v>
      </c>
      <c r="K1632" s="80">
        <f>SUMIFS(VENTAS[Cantidad],VENTAS[Código del producto Vendido],STOCK[[#This Row],[Code]])</f>
        <v>1</v>
      </c>
      <c r="L1632" s="80">
        <f>STOCK[[#This Row],[Entradas]]-STOCK[[#This Row],[Salidas]]</f>
        <v>0</v>
      </c>
      <c r="M1632" s="77">
        <f>STOCK[[#This Row],[Precio Final]]*10%</f>
        <v>3.5</v>
      </c>
      <c r="N1632" s="54">
        <v>0</v>
      </c>
      <c r="O1632" s="77">
        <v>0</v>
      </c>
      <c r="P1632" s="53">
        <v>12</v>
      </c>
      <c r="Q1632" s="71">
        <v>0</v>
      </c>
      <c r="R1632" s="53">
        <v>0</v>
      </c>
      <c r="S1632" s="54">
        <v>0</v>
      </c>
      <c r="T1632" s="77">
        <f>STOCK[[#This Row],[Costo Unitario (USD)]]+STOCK[[#This Row],[Costo Envío (USD)]]+STOCK[[#This Row],[Comisión 10%]]</f>
        <v>15.5</v>
      </c>
      <c r="U1632" s="53">
        <f>STOCK[[#This Row],[Costo total]]*1.5</f>
        <v>23.25</v>
      </c>
      <c r="V1632" s="53">
        <v>35</v>
      </c>
      <c r="W1632" s="77">
        <f>STOCK[[#This Row],[Precio Final]]-STOCK[[#This Row],[Costo total]]</f>
        <v>19.5</v>
      </c>
      <c r="X1632" s="77">
        <f>STOCK[[#This Row],[Ganancia Unitaria]]*STOCK[[#This Row],[Salidas]]</f>
        <v>19.5</v>
      </c>
      <c r="Y1632" s="77"/>
      <c r="Z1632" s="77"/>
      <c r="AA1632" s="54">
        <f>STOCK[[#This Row],[Costo total]]*STOCK[[#This Row],[Entradas]]</f>
        <v>15.5</v>
      </c>
      <c r="AB1632" s="54">
        <f>STOCK[[#This Row],[Stock Actual]]*STOCK[[#This Row],[Costo total]]</f>
        <v>0</v>
      </c>
      <c r="AC1632" s="77"/>
      <c r="AD1632" s="84"/>
    </row>
    <row r="1633" s="53" customFormat="1" ht="50" customHeight="1" spans="1:30">
      <c r="A1633" s="53" t="s">
        <v>3236</v>
      </c>
      <c r="B1633" s="71" t="str">
        <f>_xlfn.DISPIMG("ID_27B5E98B571C49E7944C572ACCBD5B70",1)</f>
        <v>=DISPIMG("ID_27B5E98B571C49E7944C572ACCBD5B70",1)</v>
      </c>
      <c r="C1633" s="53" t="s">
        <v>32</v>
      </c>
      <c r="D1633" s="53" t="s">
        <v>3234</v>
      </c>
      <c r="E1633" s="67" t="s">
        <v>3237</v>
      </c>
      <c r="F1633" s="53" t="s">
        <v>42</v>
      </c>
      <c r="H1633" s="77">
        <f>STOCK[[#This Row],[Precio Final]]</f>
        <v>30</v>
      </c>
      <c r="I1633" s="82">
        <f>STOCK[[#This Row],[Precio Venta Ideal (x1.5)]]</f>
        <v>22.5</v>
      </c>
      <c r="J1633" s="71">
        <v>1</v>
      </c>
      <c r="K1633" s="80">
        <f>SUMIFS(VENTAS[Cantidad],VENTAS[Código del producto Vendido],STOCK[[#This Row],[Code]])</f>
        <v>0</v>
      </c>
      <c r="L1633" s="80">
        <f>STOCK[[#This Row],[Entradas]]-STOCK[[#This Row],[Salidas]]</f>
        <v>1</v>
      </c>
      <c r="M1633" s="77">
        <f>STOCK[[#This Row],[Precio Final]]*10%</f>
        <v>3</v>
      </c>
      <c r="N1633" s="53">
        <v>0</v>
      </c>
      <c r="O1633" s="77">
        <v>0</v>
      </c>
      <c r="P1633" s="53">
        <v>12</v>
      </c>
      <c r="Q1633" s="72">
        <v>0</v>
      </c>
      <c r="R1633" s="53">
        <v>0</v>
      </c>
      <c r="S1633" s="54">
        <v>0</v>
      </c>
      <c r="T1633" s="77">
        <f>STOCK[[#This Row],[Costo Unitario (USD)]]+STOCK[[#This Row],[Costo Envío (USD)]]+STOCK[[#This Row],[Comisión 10%]]</f>
        <v>15</v>
      </c>
      <c r="U1633" s="53">
        <f>STOCK[[#This Row],[Costo total]]*1.5</f>
        <v>22.5</v>
      </c>
      <c r="V1633" s="53">
        <v>30</v>
      </c>
      <c r="W1633" s="77">
        <f>STOCK[[#This Row],[Precio Final]]-STOCK[[#This Row],[Costo total]]</f>
        <v>15</v>
      </c>
      <c r="X1633" s="77">
        <f>STOCK[[#This Row],[Ganancia Unitaria]]*STOCK[[#This Row],[Salidas]]</f>
        <v>0</v>
      </c>
      <c r="Y1633" s="77"/>
      <c r="Z1633" s="77"/>
      <c r="AA1633" s="54">
        <f>STOCK[[#This Row],[Costo total]]*STOCK[[#This Row],[Entradas]]</f>
        <v>15</v>
      </c>
      <c r="AB1633" s="54">
        <f>STOCK[[#This Row],[Stock Actual]]*STOCK[[#This Row],[Costo total]]</f>
        <v>15</v>
      </c>
      <c r="AC1633" s="77"/>
      <c r="AD1633" s="84"/>
    </row>
    <row r="1634" s="53" customFormat="1" ht="50" customHeight="1" spans="1:30">
      <c r="A1634" s="53" t="s">
        <v>3238</v>
      </c>
      <c r="B1634" s="71" t="str">
        <f>_xlfn.DISPIMG("ID_E78F5D080EDD475DAA7CB176C965852E",1)</f>
        <v>=DISPIMG("ID_E78F5D080EDD475DAA7CB176C965852E",1)</v>
      </c>
      <c r="C1634" s="53" t="s">
        <v>32</v>
      </c>
      <c r="D1634" s="53" t="s">
        <v>3234</v>
      </c>
      <c r="E1634" s="67" t="s">
        <v>3239</v>
      </c>
      <c r="F1634" s="53" t="s">
        <v>49</v>
      </c>
      <c r="H1634" s="77">
        <f>STOCK[[#This Row],[Precio Final]]</f>
        <v>35</v>
      </c>
      <c r="I1634" s="82">
        <f>STOCK[[#This Row],[Precio Venta Ideal (x1.5)]]</f>
        <v>23.25</v>
      </c>
      <c r="J1634" s="71">
        <v>1</v>
      </c>
      <c r="K1634" s="80">
        <f>SUMIFS(VENTAS[Cantidad],VENTAS[Código del producto Vendido],STOCK[[#This Row],[Code]])</f>
        <v>0</v>
      </c>
      <c r="L1634" s="80">
        <f>STOCK[[#This Row],[Entradas]]-STOCK[[#This Row],[Salidas]]</f>
        <v>1</v>
      </c>
      <c r="M1634" s="77">
        <f>STOCK[[#This Row],[Precio Final]]*10%</f>
        <v>3.5</v>
      </c>
      <c r="N1634" s="54">
        <v>0</v>
      </c>
      <c r="O1634" s="77">
        <v>0</v>
      </c>
      <c r="P1634" s="53">
        <v>12</v>
      </c>
      <c r="Q1634" s="71">
        <v>0</v>
      </c>
      <c r="R1634" s="53">
        <v>0</v>
      </c>
      <c r="S1634" s="53">
        <v>0</v>
      </c>
      <c r="T1634" s="77">
        <f>STOCK[[#This Row],[Costo Unitario (USD)]]+STOCK[[#This Row],[Costo Envío (USD)]]+STOCK[[#This Row],[Comisión 10%]]</f>
        <v>15.5</v>
      </c>
      <c r="U1634" s="53">
        <f>STOCK[[#This Row],[Costo total]]*1.5</f>
        <v>23.25</v>
      </c>
      <c r="V1634" s="53">
        <v>35</v>
      </c>
      <c r="W1634" s="77">
        <f>STOCK[[#This Row],[Precio Final]]-STOCK[[#This Row],[Costo total]]</f>
        <v>19.5</v>
      </c>
      <c r="X1634" s="77">
        <f>STOCK[[#This Row],[Ganancia Unitaria]]*STOCK[[#This Row],[Salidas]]</f>
        <v>0</v>
      </c>
      <c r="Y1634" s="77"/>
      <c r="Z1634" s="77"/>
      <c r="AA1634" s="54">
        <f>STOCK[[#This Row],[Costo total]]*STOCK[[#This Row],[Entradas]]</f>
        <v>15.5</v>
      </c>
      <c r="AB1634" s="54">
        <f>STOCK[[#This Row],[Stock Actual]]*STOCK[[#This Row],[Costo total]]</f>
        <v>15.5</v>
      </c>
      <c r="AC1634" s="77"/>
      <c r="AD1634" s="84"/>
    </row>
    <row r="1635" s="53" customFormat="1" ht="50" customHeight="1" spans="1:30">
      <c r="A1635" s="53" t="s">
        <v>3240</v>
      </c>
      <c r="B1635" s="71" t="str">
        <f>_xlfn.DISPIMG("ID_F0D76E3F1A9C42489C4E2DA0176D3388",1)</f>
        <v>=DISPIMG("ID_F0D76E3F1A9C42489C4E2DA0176D3388",1)</v>
      </c>
      <c r="C1635" s="53" t="s">
        <v>32</v>
      </c>
      <c r="D1635" s="53" t="s">
        <v>3234</v>
      </c>
      <c r="E1635" s="67" t="s">
        <v>3241</v>
      </c>
      <c r="F1635" s="53" t="s">
        <v>42</v>
      </c>
      <c r="H1635" s="77">
        <f>STOCK[[#This Row],[Precio Final]]</f>
        <v>30</v>
      </c>
      <c r="I1635" s="82">
        <f>STOCK[[#This Row],[Precio Venta Ideal (x1.5)]]</f>
        <v>22.5</v>
      </c>
      <c r="J1635" s="71">
        <v>1</v>
      </c>
      <c r="K1635" s="80">
        <f>SUMIFS(VENTAS[Cantidad],VENTAS[Código del producto Vendido],STOCK[[#This Row],[Code]])</f>
        <v>1</v>
      </c>
      <c r="L1635" s="80">
        <f>STOCK[[#This Row],[Entradas]]-STOCK[[#This Row],[Salidas]]</f>
        <v>0</v>
      </c>
      <c r="M1635" s="77">
        <f>STOCK[[#This Row],[Precio Final]]*10%</f>
        <v>3</v>
      </c>
      <c r="N1635" s="54">
        <v>0</v>
      </c>
      <c r="O1635" s="77">
        <v>0</v>
      </c>
      <c r="P1635" s="53">
        <v>12</v>
      </c>
      <c r="Q1635" s="71">
        <v>0</v>
      </c>
      <c r="R1635" s="53">
        <v>0</v>
      </c>
      <c r="S1635" s="54">
        <v>0</v>
      </c>
      <c r="T1635" s="77">
        <f>STOCK[[#This Row],[Costo Unitario (USD)]]+STOCK[[#This Row],[Costo Envío (USD)]]+STOCK[[#This Row],[Comisión 10%]]</f>
        <v>15</v>
      </c>
      <c r="U1635" s="53">
        <f>STOCK[[#This Row],[Costo total]]*1.5</f>
        <v>22.5</v>
      </c>
      <c r="V1635" s="53">
        <v>30</v>
      </c>
      <c r="W1635" s="77">
        <f>STOCK[[#This Row],[Precio Final]]-STOCK[[#This Row],[Costo total]]</f>
        <v>15</v>
      </c>
      <c r="X1635" s="77">
        <f>STOCK[[#This Row],[Ganancia Unitaria]]*STOCK[[#This Row],[Salidas]]</f>
        <v>15</v>
      </c>
      <c r="Y1635" s="77"/>
      <c r="Z1635" s="77"/>
      <c r="AA1635" s="54">
        <f>STOCK[[#This Row],[Costo total]]*STOCK[[#This Row],[Entradas]]</f>
        <v>15</v>
      </c>
      <c r="AB1635" s="54">
        <f>STOCK[[#This Row],[Stock Actual]]*STOCK[[#This Row],[Costo total]]</f>
        <v>0</v>
      </c>
      <c r="AC1635" s="77"/>
      <c r="AD1635" s="84"/>
    </row>
    <row r="1636" s="53" customFormat="1" ht="50" customHeight="1" spans="1:30">
      <c r="A1636" s="53" t="s">
        <v>3242</v>
      </c>
      <c r="B1636" s="71" t="str">
        <f>_xlfn.DISPIMG("ID_252A756DF14448CB950ADF167E6B2F36",1)</f>
        <v>=DISPIMG("ID_252A756DF14448CB950ADF167E6B2F36",1)</v>
      </c>
      <c r="C1636" s="53" t="s">
        <v>32</v>
      </c>
      <c r="D1636" s="53" t="s">
        <v>3234</v>
      </c>
      <c r="E1636" s="67" t="s">
        <v>3243</v>
      </c>
      <c r="F1636" s="53" t="s">
        <v>49</v>
      </c>
      <c r="H1636" s="77">
        <f>STOCK[[#This Row],[Precio Final]]</f>
        <v>30</v>
      </c>
      <c r="I1636" s="82">
        <f>STOCK[[#This Row],[Precio Venta Ideal (x1.5)]]</f>
        <v>22.5</v>
      </c>
      <c r="J1636" s="71">
        <v>1</v>
      </c>
      <c r="K1636" s="80">
        <f>SUMIFS(VENTAS[Cantidad],VENTAS[Código del producto Vendido],STOCK[[#This Row],[Code]])</f>
        <v>1</v>
      </c>
      <c r="L1636" s="80">
        <f>STOCK[[#This Row],[Entradas]]-STOCK[[#This Row],[Salidas]]</f>
        <v>0</v>
      </c>
      <c r="M1636" s="77">
        <f>STOCK[[#This Row],[Precio Final]]*10%</f>
        <v>3</v>
      </c>
      <c r="N1636" s="53">
        <v>0</v>
      </c>
      <c r="O1636" s="77">
        <v>0</v>
      </c>
      <c r="P1636" s="53">
        <v>12</v>
      </c>
      <c r="Q1636" s="72">
        <v>0</v>
      </c>
      <c r="R1636" s="53">
        <v>0</v>
      </c>
      <c r="S1636" s="54">
        <v>0</v>
      </c>
      <c r="T1636" s="77">
        <f>STOCK[[#This Row],[Costo Unitario (USD)]]+STOCK[[#This Row],[Costo Envío (USD)]]+STOCK[[#This Row],[Comisión 10%]]</f>
        <v>15</v>
      </c>
      <c r="U1636" s="53">
        <f>STOCK[[#This Row],[Costo total]]*1.5</f>
        <v>22.5</v>
      </c>
      <c r="V1636" s="53">
        <v>30</v>
      </c>
      <c r="W1636" s="77">
        <f>STOCK[[#This Row],[Precio Final]]-STOCK[[#This Row],[Costo total]]</f>
        <v>15</v>
      </c>
      <c r="X1636" s="77">
        <f>STOCK[[#This Row],[Ganancia Unitaria]]*STOCK[[#This Row],[Salidas]]</f>
        <v>15</v>
      </c>
      <c r="Y1636" s="77"/>
      <c r="Z1636" s="77"/>
      <c r="AA1636" s="54">
        <f>STOCK[[#This Row],[Costo total]]*STOCK[[#This Row],[Entradas]]</f>
        <v>15</v>
      </c>
      <c r="AB1636" s="54">
        <f>STOCK[[#This Row],[Stock Actual]]*STOCK[[#This Row],[Costo total]]</f>
        <v>0</v>
      </c>
      <c r="AC1636" s="77"/>
      <c r="AD1636" s="84"/>
    </row>
    <row r="1637" s="53" customFormat="1" ht="50" customHeight="1" spans="1:30">
      <c r="A1637" s="53" t="s">
        <v>3244</v>
      </c>
      <c r="B1637" s="71" t="str">
        <f>_xlfn.DISPIMG("ID_BE20E88A6FB349A6927548A6F0EDC81B",1)</f>
        <v>=DISPIMG("ID_BE20E88A6FB349A6927548A6F0EDC81B",1)</v>
      </c>
      <c r="C1637" s="53" t="s">
        <v>32</v>
      </c>
      <c r="D1637" s="53" t="s">
        <v>3234</v>
      </c>
      <c r="E1637" s="67" t="s">
        <v>3243</v>
      </c>
      <c r="F1637" s="53" t="s">
        <v>3245</v>
      </c>
      <c r="H1637" s="77">
        <f>STOCK[[#This Row],[Precio Final]]</f>
        <v>0</v>
      </c>
      <c r="I1637" s="82">
        <f>STOCK[[#This Row],[Precio Venta Ideal (x1.5)]]</f>
        <v>18</v>
      </c>
      <c r="J1637" s="71">
        <v>1</v>
      </c>
      <c r="K1637" s="80">
        <f>SUMIFS(VENTAS[Cantidad],VENTAS[Código del producto Vendido],STOCK[[#This Row],[Code]])</f>
        <v>1</v>
      </c>
      <c r="L1637" s="80">
        <f>STOCK[[#This Row],[Entradas]]-STOCK[[#This Row],[Salidas]]</f>
        <v>0</v>
      </c>
      <c r="M1637" s="77">
        <f>STOCK[[#This Row],[Precio Final]]*10%</f>
        <v>0</v>
      </c>
      <c r="N1637" s="54">
        <v>0</v>
      </c>
      <c r="O1637" s="77">
        <v>0</v>
      </c>
      <c r="P1637" s="53">
        <v>12</v>
      </c>
      <c r="Q1637" s="71">
        <v>0</v>
      </c>
      <c r="R1637" s="53">
        <v>0</v>
      </c>
      <c r="S1637" s="53">
        <v>0</v>
      </c>
      <c r="T1637" s="77">
        <f>STOCK[[#This Row],[Costo Unitario (USD)]]+STOCK[[#This Row],[Costo Envío (USD)]]+STOCK[[#This Row],[Comisión 10%]]</f>
        <v>12</v>
      </c>
      <c r="U1637" s="53">
        <f>STOCK[[#This Row],[Costo total]]*1.5</f>
        <v>18</v>
      </c>
      <c r="W1637" s="77">
        <f>STOCK[[#This Row],[Precio Final]]-STOCK[[#This Row],[Costo total]]</f>
        <v>-12</v>
      </c>
      <c r="X1637" s="77">
        <f>STOCK[[#This Row],[Ganancia Unitaria]]*STOCK[[#This Row],[Salidas]]</f>
        <v>-12</v>
      </c>
      <c r="Y1637" s="77"/>
      <c r="Z1637" s="77"/>
      <c r="AA1637" s="54">
        <f>STOCK[[#This Row],[Costo total]]*STOCK[[#This Row],[Entradas]]</f>
        <v>12</v>
      </c>
      <c r="AB1637" s="54">
        <f>STOCK[[#This Row],[Stock Actual]]*STOCK[[#This Row],[Costo total]]</f>
        <v>0</v>
      </c>
      <c r="AC1637" s="77"/>
      <c r="AD1637" s="84"/>
    </row>
    <row r="1638" s="53" customFormat="1" ht="50" customHeight="1" spans="1:30">
      <c r="A1638" s="53" t="s">
        <v>3246</v>
      </c>
      <c r="B1638" s="53" t="s">
        <v>3247</v>
      </c>
      <c r="C1638" s="53" t="s">
        <v>32</v>
      </c>
      <c r="D1638" s="53" t="s">
        <v>1116</v>
      </c>
      <c r="E1638" s="67" t="s">
        <v>3248</v>
      </c>
      <c r="F1638" s="53" t="s">
        <v>3245</v>
      </c>
      <c r="H1638" s="77">
        <f>STOCK[[#This Row],[Precio Final]]</f>
        <v>0</v>
      </c>
      <c r="I1638" s="82">
        <f>STOCK[[#This Row],[Precio Venta Ideal (x1.5)]]</f>
        <v>4.5</v>
      </c>
      <c r="J1638" s="71">
        <v>1</v>
      </c>
      <c r="K1638" s="80">
        <f>SUMIFS(VENTAS[Cantidad],VENTAS[Código del producto Vendido],STOCK[[#This Row],[Code]])</f>
        <v>1</v>
      </c>
      <c r="L1638" s="80">
        <f>STOCK[[#This Row],[Entradas]]-STOCK[[#This Row],[Salidas]]</f>
        <v>0</v>
      </c>
      <c r="M1638" s="77">
        <f>STOCK[[#This Row],[Precio Final]]*10%</f>
        <v>0</v>
      </c>
      <c r="N1638" s="54">
        <v>0</v>
      </c>
      <c r="O1638" s="77">
        <v>0</v>
      </c>
      <c r="P1638" s="53">
        <v>3</v>
      </c>
      <c r="Q1638" s="71">
        <v>0</v>
      </c>
      <c r="R1638" s="53">
        <v>0</v>
      </c>
      <c r="S1638" s="54">
        <v>0</v>
      </c>
      <c r="T1638" s="77">
        <f>STOCK[[#This Row],[Costo Unitario (USD)]]+STOCK[[#This Row],[Costo Envío (USD)]]+STOCK[[#This Row],[Comisión 10%]]</f>
        <v>3</v>
      </c>
      <c r="U1638" s="53">
        <f>STOCK[[#This Row],[Costo total]]*1.5</f>
        <v>4.5</v>
      </c>
      <c r="W1638" s="77">
        <f>STOCK[[#This Row],[Precio Final]]-STOCK[[#This Row],[Costo total]]</f>
        <v>-3</v>
      </c>
      <c r="X1638" s="77">
        <f>STOCK[[#This Row],[Ganancia Unitaria]]*STOCK[[#This Row],[Salidas]]</f>
        <v>-3</v>
      </c>
      <c r="Y1638" s="77"/>
      <c r="Z1638" s="77"/>
      <c r="AA1638" s="54">
        <f>STOCK[[#This Row],[Costo total]]*STOCK[[#This Row],[Entradas]]</f>
        <v>3</v>
      </c>
      <c r="AB1638" s="54">
        <f>STOCK[[#This Row],[Stock Actual]]*STOCK[[#This Row],[Costo total]]</f>
        <v>0</v>
      </c>
      <c r="AC1638" s="77"/>
      <c r="AD1638" s="84"/>
    </row>
    <row r="1639" s="53" customFormat="1" ht="50" customHeight="1" spans="1:30">
      <c r="A1639" s="53" t="s">
        <v>3249</v>
      </c>
      <c r="B1639" s="53" t="s">
        <v>3250</v>
      </c>
      <c r="C1639" s="53" t="s">
        <v>32</v>
      </c>
      <c r="D1639" s="53" t="s">
        <v>1116</v>
      </c>
      <c r="E1639" s="67" t="s">
        <v>3251</v>
      </c>
      <c r="F1639" s="53" t="s">
        <v>3245</v>
      </c>
      <c r="H1639" s="77">
        <f>STOCK[[#This Row],[Precio Final]]</f>
        <v>0</v>
      </c>
      <c r="I1639" s="82">
        <f>STOCK[[#This Row],[Precio Venta Ideal (x1.5)]]</f>
        <v>4.5</v>
      </c>
      <c r="J1639" s="71">
        <v>1</v>
      </c>
      <c r="K1639" s="80">
        <f>SUMIFS(VENTAS[Cantidad],VENTAS[Código del producto Vendido],STOCK[[#This Row],[Code]])</f>
        <v>1</v>
      </c>
      <c r="L1639" s="80">
        <f>STOCK[[#This Row],[Entradas]]-STOCK[[#This Row],[Salidas]]</f>
        <v>0</v>
      </c>
      <c r="M1639" s="77">
        <f>STOCK[[#This Row],[Precio Final]]*10%</f>
        <v>0</v>
      </c>
      <c r="N1639" s="53">
        <v>0</v>
      </c>
      <c r="O1639" s="77">
        <v>0</v>
      </c>
      <c r="P1639" s="53">
        <v>3</v>
      </c>
      <c r="Q1639" s="72">
        <v>0</v>
      </c>
      <c r="R1639" s="53">
        <v>0</v>
      </c>
      <c r="S1639" s="54">
        <v>0</v>
      </c>
      <c r="T1639" s="77">
        <f>STOCK[[#This Row],[Costo Unitario (USD)]]+STOCK[[#This Row],[Costo Envío (USD)]]+STOCK[[#This Row],[Comisión 10%]]</f>
        <v>3</v>
      </c>
      <c r="U1639" s="53">
        <f>STOCK[[#This Row],[Costo total]]*1.5</f>
        <v>4.5</v>
      </c>
      <c r="W1639" s="77">
        <f>STOCK[[#This Row],[Precio Final]]-STOCK[[#This Row],[Costo total]]</f>
        <v>-3</v>
      </c>
      <c r="X1639" s="77">
        <f>STOCK[[#This Row],[Ganancia Unitaria]]*STOCK[[#This Row],[Salidas]]</f>
        <v>-3</v>
      </c>
      <c r="Y1639" s="77"/>
      <c r="Z1639" s="77"/>
      <c r="AA1639" s="54">
        <f>STOCK[[#This Row],[Costo total]]*STOCK[[#This Row],[Entradas]]</f>
        <v>3</v>
      </c>
      <c r="AB1639" s="54">
        <f>STOCK[[#This Row],[Stock Actual]]*STOCK[[#This Row],[Costo total]]</f>
        <v>0</v>
      </c>
      <c r="AC1639" s="77"/>
      <c r="AD1639" s="84"/>
    </row>
    <row r="1640" s="53" customFormat="1" ht="50" customHeight="1" spans="1:30">
      <c r="A1640" s="53" t="s">
        <v>3252</v>
      </c>
      <c r="B1640" s="71" t="str">
        <f>_xlfn.DISPIMG("ID_CA59C52944AC4C77A7772C624B61C434",1)</f>
        <v>=DISPIMG("ID_CA59C52944AC4C77A7772C624B61C434",1)</v>
      </c>
      <c r="C1640" s="53" t="s">
        <v>32</v>
      </c>
      <c r="D1640" s="53" t="s">
        <v>749</v>
      </c>
      <c r="E1640" s="67" t="s">
        <v>3253</v>
      </c>
      <c r="F1640" s="53" t="s">
        <v>49</v>
      </c>
      <c r="H1640" s="77">
        <f>STOCK[[#This Row],[Precio Final]]</f>
        <v>4</v>
      </c>
      <c r="I1640" s="82">
        <f>STOCK[[#This Row],[Precio Venta Ideal (x1.5)]]</f>
        <v>3.6</v>
      </c>
      <c r="J1640" s="71">
        <v>3</v>
      </c>
      <c r="K1640" s="80">
        <f>SUMIFS(VENTAS[Cantidad],VENTAS[Código del producto Vendido],STOCK[[#This Row],[Code]])</f>
        <v>0</v>
      </c>
      <c r="L1640" s="80">
        <f>STOCK[[#This Row],[Entradas]]-STOCK[[#This Row],[Salidas]]</f>
        <v>3</v>
      </c>
      <c r="M1640" s="77">
        <f>STOCK[[#This Row],[Precio Final]]*10%</f>
        <v>0.4</v>
      </c>
      <c r="N1640" s="54">
        <v>0</v>
      </c>
      <c r="O1640" s="77">
        <v>0</v>
      </c>
      <c r="P1640" s="53">
        <v>2</v>
      </c>
      <c r="Q1640" s="71">
        <v>0</v>
      </c>
      <c r="R1640" s="53">
        <v>0</v>
      </c>
      <c r="S1640" s="53">
        <v>0</v>
      </c>
      <c r="T1640" s="77">
        <f>STOCK[[#This Row],[Costo Unitario (USD)]]+STOCK[[#This Row],[Costo Envío (USD)]]+STOCK[[#This Row],[Comisión 10%]]</f>
        <v>2.4</v>
      </c>
      <c r="U1640" s="53">
        <f>STOCK[[#This Row],[Costo total]]*1.5</f>
        <v>3.6</v>
      </c>
      <c r="V1640" s="53">
        <v>4</v>
      </c>
      <c r="W1640" s="77">
        <f>STOCK[[#This Row],[Precio Final]]-STOCK[[#This Row],[Costo total]]</f>
        <v>1.6</v>
      </c>
      <c r="X1640" s="77">
        <f>STOCK[[#This Row],[Ganancia Unitaria]]*STOCK[[#This Row],[Salidas]]</f>
        <v>0</v>
      </c>
      <c r="Y1640" s="77"/>
      <c r="Z1640" s="77"/>
      <c r="AA1640" s="54">
        <f>STOCK[[#This Row],[Costo total]]*STOCK[[#This Row],[Entradas]]</f>
        <v>7.2</v>
      </c>
      <c r="AB1640" s="54">
        <f>STOCK[[#This Row],[Stock Actual]]*STOCK[[#This Row],[Costo total]]</f>
        <v>7.2</v>
      </c>
      <c r="AC1640" s="77"/>
      <c r="AD1640" s="84"/>
    </row>
    <row r="1641" s="53" customFormat="1" ht="50" customHeight="1" spans="1:30">
      <c r="A1641" s="53" t="s">
        <v>3254</v>
      </c>
      <c r="B1641" s="71" t="str">
        <f>_xlfn.DISPIMG("ID_0505384F87244B17A5F12EC5E5CE6025",1)</f>
        <v>=DISPIMG("ID_0505384F87244B17A5F12EC5E5CE6025",1)</v>
      </c>
      <c r="C1641" s="53" t="s">
        <v>32</v>
      </c>
      <c r="D1641" s="53" t="s">
        <v>749</v>
      </c>
      <c r="E1641" s="67" t="s">
        <v>3255</v>
      </c>
      <c r="F1641" s="53" t="s">
        <v>46</v>
      </c>
      <c r="H1641" s="77">
        <f>STOCK[[#This Row],[Precio Final]]</f>
        <v>4</v>
      </c>
      <c r="I1641" s="82">
        <f>STOCK[[#This Row],[Precio Venta Ideal (x1.5)]]</f>
        <v>3.6</v>
      </c>
      <c r="J1641" s="71">
        <v>3</v>
      </c>
      <c r="K1641" s="80">
        <f>SUMIFS(VENTAS[Cantidad],VENTAS[Código del producto Vendido],STOCK[[#This Row],[Code]])</f>
        <v>3</v>
      </c>
      <c r="L1641" s="80">
        <f>STOCK[[#This Row],[Entradas]]-STOCK[[#This Row],[Salidas]]</f>
        <v>0</v>
      </c>
      <c r="M1641" s="77">
        <f>STOCK[[#This Row],[Precio Final]]*10%</f>
        <v>0.4</v>
      </c>
      <c r="N1641" s="54">
        <v>0</v>
      </c>
      <c r="O1641" s="77">
        <v>0</v>
      </c>
      <c r="P1641" s="53">
        <v>2</v>
      </c>
      <c r="Q1641" s="71">
        <v>0</v>
      </c>
      <c r="R1641" s="53">
        <v>0</v>
      </c>
      <c r="S1641" s="53">
        <v>0</v>
      </c>
      <c r="T1641" s="77">
        <f>STOCK[[#This Row],[Costo Unitario (USD)]]+STOCK[[#This Row],[Costo Envío (USD)]]+STOCK[[#This Row],[Comisión 10%]]</f>
        <v>2.4</v>
      </c>
      <c r="U1641" s="53">
        <f>STOCK[[#This Row],[Costo total]]*1.5</f>
        <v>3.6</v>
      </c>
      <c r="V1641" s="53">
        <v>4</v>
      </c>
      <c r="W1641" s="77">
        <f>STOCK[[#This Row],[Precio Final]]-STOCK[[#This Row],[Costo total]]</f>
        <v>1.6</v>
      </c>
      <c r="X1641" s="77">
        <f>STOCK[[#This Row],[Ganancia Unitaria]]*STOCK[[#This Row],[Salidas]]</f>
        <v>4.8</v>
      </c>
      <c r="Y1641" s="77"/>
      <c r="Z1641" s="77"/>
      <c r="AA1641" s="54">
        <f>STOCK[[#This Row],[Costo total]]*STOCK[[#This Row],[Entradas]]</f>
        <v>7.2</v>
      </c>
      <c r="AB1641" s="54">
        <f>STOCK[[#This Row],[Stock Actual]]*STOCK[[#This Row],[Costo total]]</f>
        <v>0</v>
      </c>
      <c r="AC1641" s="77"/>
      <c r="AD1641" s="84"/>
    </row>
    <row r="1642" s="53" customFormat="1" ht="50" customHeight="1" spans="1:30">
      <c r="A1642" s="53" t="s">
        <v>3256</v>
      </c>
      <c r="B1642" s="71" t="str">
        <f>_xlfn.DISPIMG("ID_55313014813345A0B08CAA51D07E216F",1)</f>
        <v>=DISPIMG("ID_55313014813345A0B08CAA51D07E216F",1)</v>
      </c>
      <c r="C1642" s="53" t="s">
        <v>32</v>
      </c>
      <c r="D1642" s="53" t="s">
        <v>3257</v>
      </c>
      <c r="E1642" s="67" t="s">
        <v>3258</v>
      </c>
      <c r="F1642" s="53" t="s">
        <v>525</v>
      </c>
      <c r="H1642" s="77">
        <f>STOCK[[#This Row],[Precio Final]]</f>
        <v>3</v>
      </c>
      <c r="I1642" s="82">
        <f>STOCK[[#This Row],[Precio Venta Ideal (x1.5)]]</f>
        <v>1.74</v>
      </c>
      <c r="J1642" s="71">
        <v>4</v>
      </c>
      <c r="K1642" s="80">
        <f>SUMIFS(VENTAS[Cantidad],VENTAS[Código del producto Vendido],STOCK[[#This Row],[Code]])</f>
        <v>2</v>
      </c>
      <c r="L1642" s="80">
        <f>STOCK[[#This Row],[Entradas]]-STOCK[[#This Row],[Salidas]]</f>
        <v>2</v>
      </c>
      <c r="M1642" s="77">
        <f>STOCK[[#This Row],[Precio Final]]*10%</f>
        <v>0.3</v>
      </c>
      <c r="N1642" s="54">
        <v>0</v>
      </c>
      <c r="O1642" s="77">
        <v>0</v>
      </c>
      <c r="P1642" s="53">
        <v>0.86</v>
      </c>
      <c r="Q1642" s="71">
        <v>0</v>
      </c>
      <c r="R1642" s="53">
        <v>0</v>
      </c>
      <c r="S1642" s="53">
        <v>0</v>
      </c>
      <c r="T1642" s="77">
        <f>STOCK[[#This Row],[Costo Unitario (USD)]]+STOCK[[#This Row],[Costo Envío (USD)]]+STOCK[[#This Row],[Comisión 10%]]</f>
        <v>1.16</v>
      </c>
      <c r="U1642" s="53">
        <f>STOCK[[#This Row],[Costo total]]*1.5</f>
        <v>1.74</v>
      </c>
      <c r="V1642" s="53">
        <v>3</v>
      </c>
      <c r="W1642" s="77">
        <f>STOCK[[#This Row],[Precio Final]]-STOCK[[#This Row],[Costo total]]</f>
        <v>1.84</v>
      </c>
      <c r="X1642" s="77">
        <f>STOCK[[#This Row],[Ganancia Unitaria]]*STOCK[[#This Row],[Salidas]]</f>
        <v>3.68</v>
      </c>
      <c r="Y1642" s="77"/>
      <c r="Z1642" s="77"/>
      <c r="AA1642" s="54">
        <f>STOCK[[#This Row],[Costo total]]*STOCK[[#This Row],[Entradas]]</f>
        <v>4.64</v>
      </c>
      <c r="AB1642" s="54">
        <f>STOCK[[#This Row],[Stock Actual]]*STOCK[[#This Row],[Costo total]]</f>
        <v>2.32</v>
      </c>
      <c r="AC1642" s="77"/>
      <c r="AD1642" s="84"/>
    </row>
    <row r="1643" s="53" customFormat="1" ht="50" customHeight="1" spans="1:30">
      <c r="A1643" s="53" t="s">
        <v>3259</v>
      </c>
      <c r="B1643" s="71"/>
      <c r="C1643" s="53" t="s">
        <v>32</v>
      </c>
      <c r="D1643" s="53" t="s">
        <v>3257</v>
      </c>
      <c r="E1643" s="67" t="s">
        <v>3260</v>
      </c>
      <c r="F1643" s="53" t="s">
        <v>525</v>
      </c>
      <c r="H1643" s="77">
        <f>STOCK[[#This Row],[Precio Final]]</f>
        <v>3</v>
      </c>
      <c r="I1643" s="82">
        <f>STOCK[[#This Row],[Precio Venta Ideal (x1.5)]]</f>
        <v>1.74</v>
      </c>
      <c r="J1643" s="71">
        <v>3</v>
      </c>
      <c r="K1643" s="80">
        <f>SUMIFS(VENTAS[Cantidad],VENTAS[Código del producto Vendido],STOCK[[#This Row],[Code]])</f>
        <v>2</v>
      </c>
      <c r="L1643" s="80">
        <f>STOCK[[#This Row],[Entradas]]-STOCK[[#This Row],[Salidas]]</f>
        <v>1</v>
      </c>
      <c r="M1643" s="77">
        <f>STOCK[[#This Row],[Precio Final]]*10%</f>
        <v>0.3</v>
      </c>
      <c r="N1643" s="54">
        <v>0</v>
      </c>
      <c r="O1643" s="77">
        <v>0</v>
      </c>
      <c r="P1643" s="53">
        <v>0.86</v>
      </c>
      <c r="Q1643" s="71">
        <v>0</v>
      </c>
      <c r="R1643" s="53">
        <v>0</v>
      </c>
      <c r="S1643" s="53">
        <v>0</v>
      </c>
      <c r="T1643" s="77">
        <f>STOCK[[#This Row],[Costo Unitario (USD)]]+STOCK[[#This Row],[Costo Envío (USD)]]+STOCK[[#This Row],[Comisión 10%]]</f>
        <v>1.16</v>
      </c>
      <c r="U1643" s="53">
        <f>STOCK[[#This Row],[Costo total]]*1.5</f>
        <v>1.74</v>
      </c>
      <c r="V1643" s="53">
        <v>3</v>
      </c>
      <c r="W1643" s="77">
        <f>STOCK[[#This Row],[Precio Final]]-STOCK[[#This Row],[Costo total]]</f>
        <v>1.84</v>
      </c>
      <c r="X1643" s="77">
        <f>STOCK[[#This Row],[Ganancia Unitaria]]*STOCK[[#This Row],[Salidas]]</f>
        <v>3.68</v>
      </c>
      <c r="Y1643" s="77"/>
      <c r="Z1643" s="77"/>
      <c r="AA1643" s="54">
        <f>STOCK[[#This Row],[Costo total]]*STOCK[[#This Row],[Entradas]]</f>
        <v>3.48</v>
      </c>
      <c r="AB1643" s="54">
        <f>STOCK[[#This Row],[Stock Actual]]*STOCK[[#This Row],[Costo total]]</f>
        <v>1.16</v>
      </c>
      <c r="AC1643" s="77"/>
      <c r="AD1643" s="84"/>
    </row>
    <row r="1644" s="53" customFormat="1" ht="50" customHeight="1" spans="1:30">
      <c r="A1644" s="53" t="s">
        <v>3261</v>
      </c>
      <c r="B1644" s="53" t="s">
        <v>1345</v>
      </c>
      <c r="C1644" s="53" t="s">
        <v>32</v>
      </c>
      <c r="D1644" s="53" t="s">
        <v>3257</v>
      </c>
      <c r="E1644" s="67" t="s">
        <v>3262</v>
      </c>
      <c r="F1644" s="53" t="s">
        <v>62</v>
      </c>
      <c r="H1644" s="77">
        <f>STOCK[[#This Row],[Precio Final]]</f>
        <v>2.5</v>
      </c>
      <c r="I1644" s="82">
        <f>STOCK[[#This Row],[Precio Venta Ideal (x1.5)]]</f>
        <v>1.665</v>
      </c>
      <c r="J1644" s="71">
        <v>2</v>
      </c>
      <c r="K1644" s="80">
        <f>SUMIFS(VENTAS[Cantidad],VENTAS[Código del producto Vendido],STOCK[[#This Row],[Code]])</f>
        <v>0</v>
      </c>
      <c r="L1644" s="80">
        <f>STOCK[[#This Row],[Entradas]]-STOCK[[#This Row],[Salidas]]</f>
        <v>2</v>
      </c>
      <c r="M1644" s="77">
        <f>STOCK[[#This Row],[Precio Final]]*10%</f>
        <v>0.25</v>
      </c>
      <c r="N1644" s="54">
        <v>0</v>
      </c>
      <c r="O1644" s="77">
        <v>0</v>
      </c>
      <c r="P1644" s="53">
        <v>0.86</v>
      </c>
      <c r="Q1644" s="71">
        <v>0</v>
      </c>
      <c r="R1644" s="53">
        <v>0</v>
      </c>
      <c r="S1644" s="53">
        <v>0</v>
      </c>
      <c r="T1644" s="77">
        <f>STOCK[[#This Row],[Costo Unitario (USD)]]+STOCK[[#This Row],[Costo Envío (USD)]]+STOCK[[#This Row],[Comisión 10%]]</f>
        <v>1.11</v>
      </c>
      <c r="U1644" s="53">
        <f>STOCK[[#This Row],[Costo total]]*1.5</f>
        <v>1.665</v>
      </c>
      <c r="V1644" s="53">
        <v>2.5</v>
      </c>
      <c r="W1644" s="77">
        <f>STOCK[[#This Row],[Precio Final]]-STOCK[[#This Row],[Costo total]]</f>
        <v>1.39</v>
      </c>
      <c r="X1644" s="77">
        <f>STOCK[[#This Row],[Ganancia Unitaria]]*STOCK[[#This Row],[Salidas]]</f>
        <v>0</v>
      </c>
      <c r="Y1644" s="77"/>
      <c r="Z1644" s="77"/>
      <c r="AA1644" s="54">
        <f>STOCK[[#This Row],[Costo total]]*STOCK[[#This Row],[Entradas]]</f>
        <v>2.22</v>
      </c>
      <c r="AB1644" s="54">
        <f>STOCK[[#This Row],[Stock Actual]]*STOCK[[#This Row],[Costo total]]</f>
        <v>2.22</v>
      </c>
      <c r="AC1644" s="77"/>
      <c r="AD1644" s="84"/>
    </row>
    <row r="1645" s="53" customFormat="1" ht="50" customHeight="1" spans="1:30">
      <c r="A1645" s="53" t="s">
        <v>3263</v>
      </c>
      <c r="B1645" s="53" t="s">
        <v>1345</v>
      </c>
      <c r="C1645" s="53" t="s">
        <v>32</v>
      </c>
      <c r="D1645" s="53" t="s">
        <v>3257</v>
      </c>
      <c r="E1645" s="67" t="s">
        <v>3264</v>
      </c>
      <c r="F1645" s="53" t="s">
        <v>62</v>
      </c>
      <c r="H1645" s="77">
        <f>STOCK[[#This Row],[Precio Final]]</f>
        <v>2.5</v>
      </c>
      <c r="I1645" s="82">
        <f>STOCK[[#This Row],[Precio Venta Ideal (x1.5)]]</f>
        <v>1.665</v>
      </c>
      <c r="J1645" s="71">
        <v>2</v>
      </c>
      <c r="K1645" s="80">
        <f>SUMIFS(VENTAS[Cantidad],VENTAS[Código del producto Vendido],STOCK[[#This Row],[Code]])</f>
        <v>2</v>
      </c>
      <c r="L1645" s="80">
        <f>STOCK[[#This Row],[Entradas]]-STOCK[[#This Row],[Salidas]]</f>
        <v>0</v>
      </c>
      <c r="M1645" s="77">
        <f>STOCK[[#This Row],[Precio Final]]*10%</f>
        <v>0.25</v>
      </c>
      <c r="N1645" s="54">
        <v>0</v>
      </c>
      <c r="O1645" s="77">
        <v>0</v>
      </c>
      <c r="P1645" s="53">
        <v>0.86</v>
      </c>
      <c r="Q1645" s="71">
        <v>0</v>
      </c>
      <c r="R1645" s="53">
        <v>0</v>
      </c>
      <c r="S1645" s="53">
        <v>0</v>
      </c>
      <c r="T1645" s="77">
        <f>STOCK[[#This Row],[Costo Unitario (USD)]]+STOCK[[#This Row],[Costo Envío (USD)]]+STOCK[[#This Row],[Comisión 10%]]</f>
        <v>1.11</v>
      </c>
      <c r="U1645" s="53">
        <f>STOCK[[#This Row],[Costo total]]*1.5</f>
        <v>1.665</v>
      </c>
      <c r="V1645" s="53">
        <v>2.5</v>
      </c>
      <c r="W1645" s="77">
        <f>STOCK[[#This Row],[Precio Final]]-STOCK[[#This Row],[Costo total]]</f>
        <v>1.39</v>
      </c>
      <c r="X1645" s="77">
        <f>STOCK[[#This Row],[Ganancia Unitaria]]*STOCK[[#This Row],[Salidas]]</f>
        <v>2.78</v>
      </c>
      <c r="Y1645" s="77"/>
      <c r="Z1645" s="77"/>
      <c r="AA1645" s="54">
        <f>STOCK[[#This Row],[Costo total]]*STOCK[[#This Row],[Entradas]]</f>
        <v>2.22</v>
      </c>
      <c r="AB1645" s="54">
        <f>STOCK[[#This Row],[Stock Actual]]*STOCK[[#This Row],[Costo total]]</f>
        <v>0</v>
      </c>
      <c r="AC1645" s="77"/>
      <c r="AD1645" s="84"/>
    </row>
    <row r="1646" s="53" customFormat="1" ht="50" customHeight="1" spans="1:30">
      <c r="A1646" s="53" t="s">
        <v>3265</v>
      </c>
      <c r="B1646" s="53" t="s">
        <v>1345</v>
      </c>
      <c r="C1646" s="53" t="s">
        <v>32</v>
      </c>
      <c r="D1646" s="53" t="s">
        <v>3257</v>
      </c>
      <c r="E1646" s="67" t="s">
        <v>3266</v>
      </c>
      <c r="F1646" s="53" t="s">
        <v>62</v>
      </c>
      <c r="H1646" s="77">
        <f>STOCK[[#This Row],[Precio Final]]</f>
        <v>2.5</v>
      </c>
      <c r="I1646" s="82">
        <f>STOCK[[#This Row],[Precio Venta Ideal (x1.5)]]</f>
        <v>1.665</v>
      </c>
      <c r="J1646" s="71">
        <v>1</v>
      </c>
      <c r="K1646" s="80">
        <f>SUMIFS(VENTAS[Cantidad],VENTAS[Código del producto Vendido],STOCK[[#This Row],[Code]])</f>
        <v>0</v>
      </c>
      <c r="L1646" s="80">
        <f>STOCK[[#This Row],[Entradas]]-STOCK[[#This Row],[Salidas]]</f>
        <v>1</v>
      </c>
      <c r="M1646" s="77">
        <f>STOCK[[#This Row],[Precio Final]]*10%</f>
        <v>0.25</v>
      </c>
      <c r="N1646" s="54">
        <v>0</v>
      </c>
      <c r="O1646" s="77">
        <v>0</v>
      </c>
      <c r="P1646" s="53">
        <v>0.86</v>
      </c>
      <c r="Q1646" s="71">
        <v>0</v>
      </c>
      <c r="R1646" s="53">
        <v>0</v>
      </c>
      <c r="S1646" s="53">
        <v>0</v>
      </c>
      <c r="T1646" s="77">
        <f>STOCK[[#This Row],[Costo Unitario (USD)]]+STOCK[[#This Row],[Costo Envío (USD)]]+STOCK[[#This Row],[Comisión 10%]]</f>
        <v>1.11</v>
      </c>
      <c r="U1646" s="53">
        <f>STOCK[[#This Row],[Costo total]]*1.5</f>
        <v>1.665</v>
      </c>
      <c r="V1646" s="53">
        <v>2.5</v>
      </c>
      <c r="W1646" s="77">
        <f>STOCK[[#This Row],[Precio Final]]-STOCK[[#This Row],[Costo total]]</f>
        <v>1.39</v>
      </c>
      <c r="X1646" s="77">
        <f>STOCK[[#This Row],[Ganancia Unitaria]]*STOCK[[#This Row],[Salidas]]</f>
        <v>0</v>
      </c>
      <c r="Y1646" s="77"/>
      <c r="Z1646" s="77"/>
      <c r="AA1646" s="54">
        <f>STOCK[[#This Row],[Costo total]]*STOCK[[#This Row],[Entradas]]</f>
        <v>1.11</v>
      </c>
      <c r="AB1646" s="54">
        <f>STOCK[[#This Row],[Stock Actual]]*STOCK[[#This Row],[Costo total]]</f>
        <v>1.11</v>
      </c>
      <c r="AC1646" s="77"/>
      <c r="AD1646" s="84"/>
    </row>
    <row r="1647" s="53" customFormat="1" ht="50" customHeight="1" spans="1:30">
      <c r="A1647" s="53" t="s">
        <v>3267</v>
      </c>
      <c r="B1647" s="71" t="str">
        <f>_xlfn.DISPIMG("ID_3D450F2A6B7C47C59B1BC9781F1455B8",1)</f>
        <v>=DISPIMG("ID_3D450F2A6B7C47C59B1BC9781F1455B8",1)</v>
      </c>
      <c r="C1647" s="53" t="s">
        <v>32</v>
      </c>
      <c r="D1647" s="53" t="s">
        <v>3268</v>
      </c>
      <c r="E1647" s="67" t="s">
        <v>3269</v>
      </c>
      <c r="F1647" s="53" t="s">
        <v>525</v>
      </c>
      <c r="H1647" s="77">
        <f>STOCK[[#This Row],[Precio Final]]</f>
        <v>3.5</v>
      </c>
      <c r="I1647" s="82">
        <f>STOCK[[#This Row],[Precio Venta Ideal (x1.5)]]</f>
        <v>3.525</v>
      </c>
      <c r="J1647" s="71">
        <v>1</v>
      </c>
      <c r="K1647" s="80">
        <f>SUMIFS(VENTAS[Cantidad],VENTAS[Código del producto Vendido],STOCK[[#This Row],[Code]])</f>
        <v>0</v>
      </c>
      <c r="L1647" s="80">
        <f>STOCK[[#This Row],[Entradas]]-STOCK[[#This Row],[Salidas]]</f>
        <v>1</v>
      </c>
      <c r="M1647" s="77">
        <f>STOCK[[#This Row],[Precio Final]]*10%</f>
        <v>0.35</v>
      </c>
      <c r="N1647" s="54">
        <v>0</v>
      </c>
      <c r="O1647" s="77">
        <v>0</v>
      </c>
      <c r="P1647" s="53">
        <v>2</v>
      </c>
      <c r="Q1647" s="71">
        <v>0</v>
      </c>
      <c r="R1647" s="53">
        <v>0</v>
      </c>
      <c r="S1647" s="53">
        <v>0</v>
      </c>
      <c r="T1647" s="77">
        <f>STOCK[[#This Row],[Costo Unitario (USD)]]+STOCK[[#This Row],[Costo Envío (USD)]]+STOCK[[#This Row],[Comisión 10%]]</f>
        <v>2.35</v>
      </c>
      <c r="U1647" s="53">
        <f>STOCK[[#This Row],[Costo total]]*1.5</f>
        <v>3.525</v>
      </c>
      <c r="V1647" s="53">
        <v>3.5</v>
      </c>
      <c r="W1647" s="77">
        <f>STOCK[[#This Row],[Precio Final]]-STOCK[[#This Row],[Costo total]]</f>
        <v>1.15</v>
      </c>
      <c r="X1647" s="77">
        <f>STOCK[[#This Row],[Ganancia Unitaria]]*STOCK[[#This Row],[Salidas]]</f>
        <v>0</v>
      </c>
      <c r="Y1647" s="77"/>
      <c r="Z1647" s="77"/>
      <c r="AA1647" s="54">
        <f>STOCK[[#This Row],[Costo total]]*STOCK[[#This Row],[Entradas]]</f>
        <v>2.35</v>
      </c>
      <c r="AB1647" s="54">
        <f>STOCK[[#This Row],[Stock Actual]]*STOCK[[#This Row],[Costo total]]</f>
        <v>2.35</v>
      </c>
      <c r="AC1647" s="77"/>
      <c r="AD1647" s="84"/>
    </row>
    <row r="1648" s="53" customFormat="1" ht="50" customHeight="1" spans="1:30">
      <c r="A1648" s="53" t="s">
        <v>3270</v>
      </c>
      <c r="B1648" s="71" t="str">
        <f>_xlfn.DISPIMG("ID_FEA31DA4C4624707BACE85D4A3AE66F3",1)</f>
        <v>=DISPIMG("ID_FEA31DA4C4624707BACE85D4A3AE66F3",1)</v>
      </c>
      <c r="C1648" s="53" t="s">
        <v>32</v>
      </c>
      <c r="D1648" s="53" t="s">
        <v>3268</v>
      </c>
      <c r="E1648" s="67" t="s">
        <v>3271</v>
      </c>
      <c r="F1648" s="53" t="s">
        <v>525</v>
      </c>
      <c r="H1648" s="77">
        <f>STOCK[[#This Row],[Precio Final]]</f>
        <v>5</v>
      </c>
      <c r="I1648" s="82">
        <f>STOCK[[#This Row],[Precio Venta Ideal (x1.5)]]</f>
        <v>3.75</v>
      </c>
      <c r="J1648" s="71">
        <v>2</v>
      </c>
      <c r="K1648" s="80">
        <f>SUMIFS(VENTAS[Cantidad],VENTAS[Código del producto Vendido],STOCK[[#This Row],[Code]])</f>
        <v>0</v>
      </c>
      <c r="L1648" s="80">
        <f>STOCK[[#This Row],[Entradas]]-STOCK[[#This Row],[Salidas]]</f>
        <v>2</v>
      </c>
      <c r="M1648" s="77">
        <f>STOCK[[#This Row],[Precio Final]]*10%</f>
        <v>0.5</v>
      </c>
      <c r="N1648" s="54">
        <v>0</v>
      </c>
      <c r="O1648" s="77">
        <v>0</v>
      </c>
      <c r="P1648" s="53">
        <v>2</v>
      </c>
      <c r="Q1648" s="71">
        <v>0</v>
      </c>
      <c r="R1648" s="53">
        <v>0</v>
      </c>
      <c r="S1648" s="53">
        <v>0</v>
      </c>
      <c r="T1648" s="77">
        <f>STOCK[[#This Row],[Costo Unitario (USD)]]+STOCK[[#This Row],[Costo Envío (USD)]]+STOCK[[#This Row],[Comisión 10%]]</f>
        <v>2.5</v>
      </c>
      <c r="U1648" s="53">
        <f>STOCK[[#This Row],[Costo total]]*1.5</f>
        <v>3.75</v>
      </c>
      <c r="V1648" s="53">
        <v>5</v>
      </c>
      <c r="W1648" s="77">
        <f>STOCK[[#This Row],[Precio Final]]-STOCK[[#This Row],[Costo total]]</f>
        <v>2.5</v>
      </c>
      <c r="X1648" s="77">
        <f>STOCK[[#This Row],[Ganancia Unitaria]]*STOCK[[#This Row],[Salidas]]</f>
        <v>0</v>
      </c>
      <c r="Y1648" s="77"/>
      <c r="Z1648" s="77"/>
      <c r="AA1648" s="54">
        <f>STOCK[[#This Row],[Costo total]]*STOCK[[#This Row],[Entradas]]</f>
        <v>5</v>
      </c>
      <c r="AB1648" s="54">
        <f>STOCK[[#This Row],[Stock Actual]]*STOCK[[#This Row],[Costo total]]</f>
        <v>5</v>
      </c>
      <c r="AC1648" s="77"/>
      <c r="AD1648" s="84"/>
    </row>
    <row r="1649" s="53" customFormat="1" ht="50" customHeight="1" spans="1:30">
      <c r="A1649" s="53" t="s">
        <v>3272</v>
      </c>
      <c r="B1649" s="71" t="str">
        <f>_xlfn.DISPIMG("ID_22CAB55638B04FF8A0B296359D1A0FC6",1)</f>
        <v>=DISPIMG("ID_22CAB55638B04FF8A0B296359D1A0FC6",1)</v>
      </c>
      <c r="C1649" s="53" t="s">
        <v>32</v>
      </c>
      <c r="D1649" s="53" t="s">
        <v>3268</v>
      </c>
      <c r="E1649" s="67" t="s">
        <v>3273</v>
      </c>
      <c r="F1649" s="53" t="s">
        <v>525</v>
      </c>
      <c r="H1649" s="77">
        <f>STOCK[[#This Row],[Precio Final]]</f>
        <v>5</v>
      </c>
      <c r="I1649" s="82">
        <f>STOCK[[#This Row],[Precio Venta Ideal (x1.5)]]</f>
        <v>3.75</v>
      </c>
      <c r="J1649" s="71">
        <v>1</v>
      </c>
      <c r="K1649" s="80">
        <f>SUMIFS(VENTAS[Cantidad],VENTAS[Código del producto Vendido],STOCK[[#This Row],[Code]])</f>
        <v>0</v>
      </c>
      <c r="L1649" s="80">
        <f>STOCK[[#This Row],[Entradas]]-STOCK[[#This Row],[Salidas]]</f>
        <v>1</v>
      </c>
      <c r="M1649" s="77">
        <f>STOCK[[#This Row],[Precio Final]]*10%</f>
        <v>0.5</v>
      </c>
      <c r="N1649" s="54">
        <v>0</v>
      </c>
      <c r="O1649" s="77">
        <v>0</v>
      </c>
      <c r="P1649" s="53">
        <v>2</v>
      </c>
      <c r="Q1649" s="71">
        <v>0</v>
      </c>
      <c r="R1649" s="53">
        <v>0</v>
      </c>
      <c r="S1649" s="53">
        <v>0</v>
      </c>
      <c r="T1649" s="77">
        <f>STOCK[[#This Row],[Costo Unitario (USD)]]+STOCK[[#This Row],[Costo Envío (USD)]]+STOCK[[#This Row],[Comisión 10%]]</f>
        <v>2.5</v>
      </c>
      <c r="U1649" s="53">
        <f>STOCK[[#This Row],[Costo total]]*1.5</f>
        <v>3.75</v>
      </c>
      <c r="V1649" s="53">
        <v>5</v>
      </c>
      <c r="W1649" s="77">
        <f>STOCK[[#This Row],[Precio Final]]-STOCK[[#This Row],[Costo total]]</f>
        <v>2.5</v>
      </c>
      <c r="X1649" s="77">
        <f>STOCK[[#This Row],[Ganancia Unitaria]]*STOCK[[#This Row],[Salidas]]</f>
        <v>0</v>
      </c>
      <c r="Y1649" s="77"/>
      <c r="Z1649" s="77"/>
      <c r="AA1649" s="54">
        <f>STOCK[[#This Row],[Costo total]]*STOCK[[#This Row],[Entradas]]</f>
        <v>2.5</v>
      </c>
      <c r="AB1649" s="54">
        <f>STOCK[[#This Row],[Stock Actual]]*STOCK[[#This Row],[Costo total]]</f>
        <v>2.5</v>
      </c>
      <c r="AC1649" s="77"/>
      <c r="AD1649" s="84"/>
    </row>
    <row r="1650" s="53" customFormat="1" ht="50" customHeight="1" spans="1:30">
      <c r="A1650" s="53" t="s">
        <v>3274</v>
      </c>
      <c r="C1650" s="53" t="s">
        <v>32</v>
      </c>
      <c r="D1650" s="53" t="s">
        <v>3275</v>
      </c>
      <c r="E1650" s="67" t="s">
        <v>3276</v>
      </c>
      <c r="F1650" s="53" t="s">
        <v>62</v>
      </c>
      <c r="H1650" s="77">
        <f>STOCK[[#This Row],[Precio Final]]</f>
        <v>18</v>
      </c>
      <c r="I1650" s="82">
        <f>STOCK[[#This Row],[Precio Venta Ideal (x1.5)]]</f>
        <v>14.7</v>
      </c>
      <c r="J1650" s="71">
        <v>1</v>
      </c>
      <c r="K1650" s="80">
        <f>SUMIFS(VENTAS[Cantidad],VENTAS[Código del producto Vendido],STOCK[[#This Row],[Code]])</f>
        <v>1</v>
      </c>
      <c r="L1650" s="80">
        <f>STOCK[[#This Row],[Entradas]]-STOCK[[#This Row],[Salidas]]</f>
        <v>0</v>
      </c>
      <c r="M1650" s="77">
        <f>STOCK[[#This Row],[Precio Final]]*10%</f>
        <v>1.8</v>
      </c>
      <c r="N1650" s="54">
        <v>0</v>
      </c>
      <c r="O1650" s="77">
        <v>0</v>
      </c>
      <c r="P1650" s="53">
        <v>8</v>
      </c>
      <c r="Q1650" s="71">
        <v>0</v>
      </c>
      <c r="R1650" s="53">
        <v>0</v>
      </c>
      <c r="S1650" s="53">
        <v>0</v>
      </c>
      <c r="T1650" s="77">
        <f>STOCK[[#This Row],[Costo Unitario (USD)]]+STOCK[[#This Row],[Costo Envío (USD)]]+STOCK[[#This Row],[Comisión 10%]]</f>
        <v>9.8</v>
      </c>
      <c r="U1650" s="53">
        <f>STOCK[[#This Row],[Costo total]]*1.5</f>
        <v>14.7</v>
      </c>
      <c r="V1650" s="53">
        <v>18</v>
      </c>
      <c r="W1650" s="77">
        <f>STOCK[[#This Row],[Precio Final]]-STOCK[[#This Row],[Costo total]]</f>
        <v>8.2</v>
      </c>
      <c r="X1650" s="77">
        <f>STOCK[[#This Row],[Ganancia Unitaria]]*STOCK[[#This Row],[Salidas]]</f>
        <v>8.2</v>
      </c>
      <c r="Y1650" s="77"/>
      <c r="Z1650" s="77"/>
      <c r="AA1650" s="54">
        <f>STOCK[[#This Row],[Costo total]]*STOCK[[#This Row],[Entradas]]</f>
        <v>9.8</v>
      </c>
      <c r="AB1650" s="54">
        <f>STOCK[[#This Row],[Stock Actual]]*STOCK[[#This Row],[Costo total]]</f>
        <v>0</v>
      </c>
      <c r="AC1650" s="77"/>
      <c r="AD1650" s="84"/>
    </row>
    <row r="1651" s="53" customFormat="1" ht="50" customHeight="1" spans="1:30">
      <c r="A1651" s="53" t="s">
        <v>3277</v>
      </c>
      <c r="B1651" s="85"/>
      <c r="C1651" s="53" t="s">
        <v>32</v>
      </c>
      <c r="D1651" s="86" t="s">
        <v>3278</v>
      </c>
      <c r="E1651" s="87" t="s">
        <v>3279</v>
      </c>
      <c r="F1651" s="88" t="s">
        <v>49</v>
      </c>
      <c r="G1651" s="77"/>
      <c r="H1651" s="77">
        <f>STOCK[[#This Row],[Precio Final]]</f>
        <v>19.575</v>
      </c>
      <c r="I1651" s="82">
        <f>STOCK[[#This Row],[Precio Venta Ideal (x1.5)]]</f>
        <v>2.93625</v>
      </c>
      <c r="J1651" s="89">
        <v>1</v>
      </c>
      <c r="K1651" s="80">
        <f>SUMIFS(VENTAS[Cantidad],VENTAS[Código del producto Vendido],STOCK[[#This Row],[Code]])</f>
        <v>0</v>
      </c>
      <c r="L1651" s="80">
        <f>STOCK[[#This Row],[Entradas]]-STOCK[[#This Row],[Salidas]]</f>
        <v>1</v>
      </c>
      <c r="M1651" s="77">
        <f>STOCK[[#This Row],[Precio Final]]*10%</f>
        <v>1.9575</v>
      </c>
      <c r="N1651" s="54">
        <v>0</v>
      </c>
      <c r="O1651" s="77">
        <v>0</v>
      </c>
      <c r="P1651" s="77"/>
      <c r="Q1651" s="77">
        <v>9.5</v>
      </c>
      <c r="R1651" s="80"/>
      <c r="S1651" s="77"/>
      <c r="T1651" s="77">
        <f>STOCK[[#This Row],[Costo Unitario (USD)]]+STOCK[[#This Row],[Costo Envío (USD)]]+STOCK[[#This Row],[Comisión 10%]]</f>
        <v>1.9575</v>
      </c>
      <c r="U1651" s="53">
        <f>STOCK[[#This Row],[Costo total]]*1.5</f>
        <v>2.93625</v>
      </c>
      <c r="V1651" s="53">
        <v>19.575</v>
      </c>
      <c r="W1651" s="77">
        <f>STOCK[[#This Row],[Precio Final]]-STOCK[[#This Row],[Costo total]]</f>
        <v>17.6175</v>
      </c>
      <c r="X1651" s="77">
        <f>STOCK[[#This Row],[Ganancia Unitaria]]*STOCK[[#This Row],[Salidas]]</f>
        <v>0</v>
      </c>
      <c r="Y1651" s="77">
        <v>0</v>
      </c>
      <c r="Z1651" s="90"/>
      <c r="AA1651" s="54">
        <f>STOCK[[#This Row],[Costo total]]*STOCK[[#This Row],[Entradas]]</f>
        <v>1.9575</v>
      </c>
      <c r="AB1651" s="54">
        <f>STOCK[[#This Row],[Stock Actual]]*STOCK[[#This Row],[Costo total]]</f>
        <v>1.9575</v>
      </c>
      <c r="AC1651" s="77">
        <v>13.05</v>
      </c>
      <c r="AD1651" s="77"/>
    </row>
    <row r="1652" s="53" customFormat="1" ht="50" customHeight="1" spans="1:30">
      <c r="A1652" s="53" t="s">
        <v>3280</v>
      </c>
      <c r="B1652" s="85"/>
      <c r="C1652" s="53" t="s">
        <v>32</v>
      </c>
      <c r="D1652" s="86" t="s">
        <v>3278</v>
      </c>
      <c r="E1652" s="87" t="s">
        <v>3279</v>
      </c>
      <c r="F1652" s="88" t="s">
        <v>42</v>
      </c>
      <c r="G1652" s="77"/>
      <c r="H1652" s="77">
        <f>STOCK[[#This Row],[Precio Final]]</f>
        <v>19.575</v>
      </c>
      <c r="I1652" s="82">
        <f>STOCK[[#This Row],[Precio Venta Ideal (x1.5)]]</f>
        <v>2.93625</v>
      </c>
      <c r="J1652" s="89">
        <v>1</v>
      </c>
      <c r="K1652" s="80">
        <f>SUMIFS(VENTAS[Cantidad],VENTAS[Código del producto Vendido],STOCK[[#This Row],[Code]])</f>
        <v>0</v>
      </c>
      <c r="L1652" s="80">
        <f>STOCK[[#This Row],[Entradas]]-STOCK[[#This Row],[Salidas]]</f>
        <v>1</v>
      </c>
      <c r="M1652" s="77">
        <f>STOCK[[#This Row],[Precio Final]]*10%</f>
        <v>1.9575</v>
      </c>
      <c r="N1652" s="54">
        <v>0</v>
      </c>
      <c r="O1652" s="77">
        <v>0</v>
      </c>
      <c r="P1652" s="77"/>
      <c r="Q1652" s="77">
        <v>9.5</v>
      </c>
      <c r="R1652" s="80"/>
      <c r="S1652" s="77"/>
      <c r="T1652" s="77">
        <f>STOCK[[#This Row],[Costo Unitario (USD)]]+STOCK[[#This Row],[Costo Envío (USD)]]+STOCK[[#This Row],[Comisión 10%]]</f>
        <v>1.9575</v>
      </c>
      <c r="U1652" s="53">
        <f>STOCK[[#This Row],[Costo total]]*1.5</f>
        <v>2.93625</v>
      </c>
      <c r="V1652" s="53">
        <v>19.575</v>
      </c>
      <c r="W1652" s="77">
        <f>STOCK[[#This Row],[Precio Final]]-STOCK[[#This Row],[Costo total]]</f>
        <v>17.6175</v>
      </c>
      <c r="X1652" s="77">
        <f>STOCK[[#This Row],[Ganancia Unitaria]]*STOCK[[#This Row],[Salidas]]</f>
        <v>0</v>
      </c>
      <c r="Y1652" s="77">
        <v>0</v>
      </c>
      <c r="Z1652" s="90"/>
      <c r="AA1652" s="54">
        <f>STOCK[[#This Row],[Costo total]]*STOCK[[#This Row],[Entradas]]</f>
        <v>1.9575</v>
      </c>
      <c r="AB1652" s="54">
        <f>STOCK[[#This Row],[Stock Actual]]*STOCK[[#This Row],[Costo total]]</f>
        <v>1.9575</v>
      </c>
      <c r="AC1652" s="77">
        <v>13.05</v>
      </c>
      <c r="AD1652" s="77"/>
    </row>
    <row r="1653" s="53" customFormat="1" ht="50" customHeight="1" spans="1:30">
      <c r="A1653" s="53" t="s">
        <v>3281</v>
      </c>
      <c r="B1653" s="85"/>
      <c r="C1653" s="53" t="s">
        <v>32</v>
      </c>
      <c r="D1653" s="86" t="s">
        <v>3278</v>
      </c>
      <c r="E1653" s="87" t="s">
        <v>3282</v>
      </c>
      <c r="F1653" s="88" t="s">
        <v>525</v>
      </c>
      <c r="G1653" s="77"/>
      <c r="H1653" s="77">
        <f>STOCK[[#This Row],[Precio Final]]</f>
        <v>7.875</v>
      </c>
      <c r="I1653" s="82">
        <f>STOCK[[#This Row],[Precio Venta Ideal (x1.5)]]</f>
        <v>1.18125</v>
      </c>
      <c r="J1653" s="89">
        <v>6</v>
      </c>
      <c r="K1653" s="80">
        <f>SUMIFS(VENTAS[Cantidad],VENTAS[Código del producto Vendido],STOCK[[#This Row],[Code]])</f>
        <v>0</v>
      </c>
      <c r="L1653" s="80">
        <f>STOCK[[#This Row],[Entradas]]-STOCK[[#This Row],[Salidas]]</f>
        <v>6</v>
      </c>
      <c r="M1653" s="77">
        <f>STOCK[[#This Row],[Precio Final]]*10%</f>
        <v>0.7875</v>
      </c>
      <c r="N1653" s="54">
        <v>0</v>
      </c>
      <c r="O1653" s="77">
        <v>0</v>
      </c>
      <c r="P1653" s="77"/>
      <c r="Q1653" s="77">
        <v>3</v>
      </c>
      <c r="R1653" s="80"/>
      <c r="S1653" s="77"/>
      <c r="T1653" s="77">
        <f>STOCK[[#This Row],[Costo Unitario (USD)]]+STOCK[[#This Row],[Costo Envío (USD)]]+STOCK[[#This Row],[Comisión 10%]]</f>
        <v>0.7875</v>
      </c>
      <c r="U1653" s="53">
        <f>STOCK[[#This Row],[Costo total]]*1.5</f>
        <v>1.18125</v>
      </c>
      <c r="V1653" s="53">
        <v>7.875</v>
      </c>
      <c r="W1653" s="77">
        <f>STOCK[[#This Row],[Precio Final]]-STOCK[[#This Row],[Costo total]]</f>
        <v>7.0875</v>
      </c>
      <c r="X1653" s="77">
        <f>STOCK[[#This Row],[Ganancia Unitaria]]*STOCK[[#This Row],[Salidas]]</f>
        <v>0</v>
      </c>
      <c r="Y1653" s="77">
        <v>0</v>
      </c>
      <c r="Z1653" s="90"/>
      <c r="AA1653" s="54">
        <f>STOCK[[#This Row],[Costo total]]*STOCK[[#This Row],[Entradas]]</f>
        <v>4.725</v>
      </c>
      <c r="AB1653" s="54">
        <f>STOCK[[#This Row],[Stock Actual]]*STOCK[[#This Row],[Costo total]]</f>
        <v>4.725</v>
      </c>
      <c r="AC1653" s="77">
        <v>31.5</v>
      </c>
      <c r="AD1653" s="77"/>
    </row>
    <row r="1654" s="53" customFormat="1" ht="50" customHeight="1" spans="1:30">
      <c r="A1654" s="53" t="s">
        <v>3283</v>
      </c>
      <c r="B1654" s="85"/>
      <c r="C1654" s="53" t="s">
        <v>32</v>
      </c>
      <c r="D1654" s="86" t="s">
        <v>3278</v>
      </c>
      <c r="E1654" s="87" t="s">
        <v>3284</v>
      </c>
      <c r="F1654" s="88" t="s">
        <v>62</v>
      </c>
      <c r="G1654" s="77"/>
      <c r="H1654" s="77">
        <f>STOCK[[#This Row],[Precio Final]]</f>
        <v>21.075</v>
      </c>
      <c r="I1654" s="82">
        <f>STOCK[[#This Row],[Precio Venta Ideal (x1.5)]]</f>
        <v>3.16125</v>
      </c>
      <c r="J1654" s="89">
        <v>3</v>
      </c>
      <c r="K1654" s="80">
        <f>SUMIFS(VENTAS[Cantidad],VENTAS[Código del producto Vendido],STOCK[[#This Row],[Code]])</f>
        <v>0</v>
      </c>
      <c r="L1654" s="80">
        <f>STOCK[[#This Row],[Entradas]]-STOCK[[#This Row],[Salidas]]</f>
        <v>3</v>
      </c>
      <c r="M1654" s="77">
        <f>STOCK[[#This Row],[Precio Final]]*10%</f>
        <v>2.1075</v>
      </c>
      <c r="N1654" s="54">
        <v>0</v>
      </c>
      <c r="O1654" s="77">
        <v>0</v>
      </c>
      <c r="P1654" s="77"/>
      <c r="Q1654" s="77">
        <v>11</v>
      </c>
      <c r="R1654" s="80"/>
      <c r="S1654" s="77"/>
      <c r="T1654" s="77">
        <f>STOCK[[#This Row],[Costo Unitario (USD)]]+STOCK[[#This Row],[Costo Envío (USD)]]+STOCK[[#This Row],[Comisión 10%]]</f>
        <v>2.1075</v>
      </c>
      <c r="U1654" s="53">
        <f>STOCK[[#This Row],[Costo total]]*1.5</f>
        <v>3.16125</v>
      </c>
      <c r="V1654" s="53">
        <v>21.075</v>
      </c>
      <c r="W1654" s="77">
        <f>STOCK[[#This Row],[Precio Final]]-STOCK[[#This Row],[Costo total]]</f>
        <v>18.9675</v>
      </c>
      <c r="X1654" s="77">
        <f>STOCK[[#This Row],[Ganancia Unitaria]]*STOCK[[#This Row],[Salidas]]</f>
        <v>0</v>
      </c>
      <c r="Y1654" s="77">
        <v>0</v>
      </c>
      <c r="Z1654" s="90"/>
      <c r="AA1654" s="54">
        <f>STOCK[[#This Row],[Costo total]]*STOCK[[#This Row],[Entradas]]</f>
        <v>6.3225</v>
      </c>
      <c r="AB1654" s="54">
        <f>STOCK[[#This Row],[Stock Actual]]*STOCK[[#This Row],[Costo total]]</f>
        <v>6.3225</v>
      </c>
      <c r="AC1654" s="77">
        <v>42.15</v>
      </c>
      <c r="AD1654" s="77"/>
    </row>
    <row r="1655" s="53" customFormat="1" ht="50" customHeight="1" spans="1:30">
      <c r="A1655" s="53" t="s">
        <v>3285</v>
      </c>
      <c r="B1655" s="85"/>
      <c r="C1655" s="53" t="s">
        <v>32</v>
      </c>
      <c r="D1655" s="86" t="s">
        <v>3278</v>
      </c>
      <c r="E1655" s="87" t="s">
        <v>3284</v>
      </c>
      <c r="F1655" s="88" t="s">
        <v>46</v>
      </c>
      <c r="G1655" s="77"/>
      <c r="H1655" s="77">
        <f>STOCK[[#This Row],[Precio Final]]</f>
        <v>21.075</v>
      </c>
      <c r="I1655" s="82">
        <f>STOCK[[#This Row],[Precio Venta Ideal (x1.5)]]</f>
        <v>3.16125</v>
      </c>
      <c r="J1655" s="89">
        <v>3</v>
      </c>
      <c r="K1655" s="80">
        <f>SUMIFS(VENTAS[Cantidad],VENTAS[Código del producto Vendido],STOCK[[#This Row],[Code]])</f>
        <v>0</v>
      </c>
      <c r="L1655" s="80">
        <f>STOCK[[#This Row],[Entradas]]-STOCK[[#This Row],[Salidas]]</f>
        <v>3</v>
      </c>
      <c r="M1655" s="77">
        <f>STOCK[[#This Row],[Precio Final]]*10%</f>
        <v>2.1075</v>
      </c>
      <c r="N1655" s="54">
        <v>0</v>
      </c>
      <c r="O1655" s="77">
        <v>0</v>
      </c>
      <c r="P1655" s="77"/>
      <c r="Q1655" s="77">
        <v>11</v>
      </c>
      <c r="R1655" s="80"/>
      <c r="S1655" s="77"/>
      <c r="T1655" s="77">
        <f>STOCK[[#This Row],[Costo Unitario (USD)]]+STOCK[[#This Row],[Costo Envío (USD)]]+STOCK[[#This Row],[Comisión 10%]]</f>
        <v>2.1075</v>
      </c>
      <c r="U1655" s="53">
        <f>STOCK[[#This Row],[Costo total]]*1.5</f>
        <v>3.16125</v>
      </c>
      <c r="V1655" s="53">
        <v>21.075</v>
      </c>
      <c r="W1655" s="77">
        <f>STOCK[[#This Row],[Precio Final]]-STOCK[[#This Row],[Costo total]]</f>
        <v>18.9675</v>
      </c>
      <c r="X1655" s="77">
        <f>STOCK[[#This Row],[Ganancia Unitaria]]*STOCK[[#This Row],[Salidas]]</f>
        <v>0</v>
      </c>
      <c r="Y1655" s="77">
        <v>0</v>
      </c>
      <c r="Z1655" s="90"/>
      <c r="AA1655" s="54">
        <f>STOCK[[#This Row],[Costo total]]*STOCK[[#This Row],[Entradas]]</f>
        <v>6.3225</v>
      </c>
      <c r="AB1655" s="54">
        <f>STOCK[[#This Row],[Stock Actual]]*STOCK[[#This Row],[Costo total]]</f>
        <v>6.3225</v>
      </c>
      <c r="AC1655" s="77">
        <v>42.15</v>
      </c>
      <c r="AD1655" s="77"/>
    </row>
    <row r="1656" s="53" customFormat="1" ht="50" customHeight="1" spans="1:30">
      <c r="A1656" s="53" t="s">
        <v>3286</v>
      </c>
      <c r="B1656" s="85"/>
      <c r="C1656" s="53" t="s">
        <v>32</v>
      </c>
      <c r="D1656" s="86" t="s">
        <v>3278</v>
      </c>
      <c r="E1656" s="87" t="s">
        <v>3287</v>
      </c>
      <c r="F1656" s="88" t="s">
        <v>49</v>
      </c>
      <c r="G1656" s="77"/>
      <c r="H1656" s="77">
        <f>STOCK[[#This Row],[Precio Final]]</f>
        <v>18.075</v>
      </c>
      <c r="I1656" s="82">
        <f>STOCK[[#This Row],[Precio Venta Ideal (x1.5)]]</f>
        <v>2.71125</v>
      </c>
      <c r="J1656" s="89">
        <v>1</v>
      </c>
      <c r="K1656" s="80">
        <f>SUMIFS(VENTAS[Cantidad],VENTAS[Código del producto Vendido],STOCK[[#This Row],[Code]])</f>
        <v>0</v>
      </c>
      <c r="L1656" s="80">
        <f>STOCK[[#This Row],[Entradas]]-STOCK[[#This Row],[Salidas]]</f>
        <v>1</v>
      </c>
      <c r="M1656" s="77">
        <f>STOCK[[#This Row],[Precio Final]]*10%</f>
        <v>1.8075</v>
      </c>
      <c r="N1656" s="54">
        <v>0</v>
      </c>
      <c r="O1656" s="77">
        <v>0</v>
      </c>
      <c r="P1656" s="77"/>
      <c r="Q1656" s="77">
        <v>9</v>
      </c>
      <c r="R1656" s="80"/>
      <c r="S1656" s="77"/>
      <c r="T1656" s="77">
        <f>STOCK[[#This Row],[Costo Unitario (USD)]]+STOCK[[#This Row],[Costo Envío (USD)]]+STOCK[[#This Row],[Comisión 10%]]</f>
        <v>1.8075</v>
      </c>
      <c r="U1656" s="53">
        <f>STOCK[[#This Row],[Costo total]]*1.5</f>
        <v>2.71125</v>
      </c>
      <c r="V1656" s="53">
        <v>18.075</v>
      </c>
      <c r="W1656" s="77">
        <f>STOCK[[#This Row],[Precio Final]]-STOCK[[#This Row],[Costo total]]</f>
        <v>16.2675</v>
      </c>
      <c r="X1656" s="77">
        <f>STOCK[[#This Row],[Ganancia Unitaria]]*STOCK[[#This Row],[Salidas]]</f>
        <v>0</v>
      </c>
      <c r="Y1656" s="77">
        <v>0</v>
      </c>
      <c r="Z1656" s="90"/>
      <c r="AA1656" s="54">
        <f>STOCK[[#This Row],[Costo total]]*STOCK[[#This Row],[Entradas]]</f>
        <v>1.8075</v>
      </c>
      <c r="AB1656" s="54">
        <f>STOCK[[#This Row],[Stock Actual]]*STOCK[[#This Row],[Costo total]]</f>
        <v>1.8075</v>
      </c>
      <c r="AC1656" s="77">
        <v>12.05</v>
      </c>
      <c r="AD1656" s="77"/>
    </row>
    <row r="1657" s="53" customFormat="1" ht="50" customHeight="1" spans="1:30">
      <c r="A1657" s="53" t="s">
        <v>3288</v>
      </c>
      <c r="B1657" s="85"/>
      <c r="C1657" s="53" t="s">
        <v>32</v>
      </c>
      <c r="D1657" s="86" t="s">
        <v>3278</v>
      </c>
      <c r="E1657" s="87" t="s">
        <v>3287</v>
      </c>
      <c r="F1657" s="88" t="s">
        <v>40</v>
      </c>
      <c r="G1657" s="77"/>
      <c r="H1657" s="77">
        <f>STOCK[[#This Row],[Precio Final]]</f>
        <v>18.825</v>
      </c>
      <c r="I1657" s="82">
        <f>STOCK[[#This Row],[Precio Venta Ideal (x1.5)]]</f>
        <v>2.82375</v>
      </c>
      <c r="J1657" s="89">
        <v>2</v>
      </c>
      <c r="K1657" s="80">
        <f>SUMIFS(VENTAS[Cantidad],VENTAS[Código del producto Vendido],STOCK[[#This Row],[Code]])</f>
        <v>1</v>
      </c>
      <c r="L1657" s="80">
        <f>STOCK[[#This Row],[Entradas]]-STOCK[[#This Row],[Salidas]]</f>
        <v>1</v>
      </c>
      <c r="M1657" s="77">
        <f>STOCK[[#This Row],[Precio Final]]*10%</f>
        <v>1.8825</v>
      </c>
      <c r="N1657" s="54">
        <v>0</v>
      </c>
      <c r="O1657" s="77">
        <v>0</v>
      </c>
      <c r="P1657" s="77"/>
      <c r="Q1657" s="77">
        <v>9</v>
      </c>
      <c r="R1657" s="80"/>
      <c r="S1657" s="77"/>
      <c r="T1657" s="77">
        <f>STOCK[[#This Row],[Costo Unitario (USD)]]+STOCK[[#This Row],[Costo Envío (USD)]]+STOCK[[#This Row],[Comisión 10%]]</f>
        <v>1.8825</v>
      </c>
      <c r="U1657" s="53">
        <f>STOCK[[#This Row],[Costo total]]*1.5</f>
        <v>2.82375</v>
      </c>
      <c r="V1657" s="53">
        <v>18.825</v>
      </c>
      <c r="W1657" s="77">
        <f>STOCK[[#This Row],[Precio Final]]-STOCK[[#This Row],[Costo total]]</f>
        <v>16.9425</v>
      </c>
      <c r="X1657" s="77">
        <f>STOCK[[#This Row],[Ganancia Unitaria]]*STOCK[[#This Row],[Salidas]]</f>
        <v>16.9425</v>
      </c>
      <c r="Y1657" s="77">
        <v>0</v>
      </c>
      <c r="Z1657" s="90"/>
      <c r="AA1657" s="54">
        <f>STOCK[[#This Row],[Costo total]]*STOCK[[#This Row],[Entradas]]</f>
        <v>3.765</v>
      </c>
      <c r="AB1657" s="54">
        <f>STOCK[[#This Row],[Stock Actual]]*STOCK[[#This Row],[Costo total]]</f>
        <v>1.8825</v>
      </c>
      <c r="AC1657" s="77">
        <v>25.1</v>
      </c>
      <c r="AD1657" s="77"/>
    </row>
    <row r="1658" s="53" customFormat="1" ht="50" customHeight="1" spans="1:30">
      <c r="A1658" s="53" t="s">
        <v>3289</v>
      </c>
      <c r="B1658" s="85"/>
      <c r="C1658" s="53" t="s">
        <v>32</v>
      </c>
      <c r="D1658" s="86" t="s">
        <v>3278</v>
      </c>
      <c r="E1658" s="87" t="s">
        <v>3287</v>
      </c>
      <c r="F1658" s="88" t="s">
        <v>46</v>
      </c>
      <c r="G1658" s="77"/>
      <c r="H1658" s="77">
        <f>STOCK[[#This Row],[Precio Final]]</f>
        <v>18.825</v>
      </c>
      <c r="I1658" s="82">
        <f>STOCK[[#This Row],[Precio Venta Ideal (x1.5)]]</f>
        <v>2.82375</v>
      </c>
      <c r="J1658" s="89">
        <v>2</v>
      </c>
      <c r="K1658" s="80">
        <f>SUMIFS(VENTAS[Cantidad],VENTAS[Código del producto Vendido],STOCK[[#This Row],[Code]])</f>
        <v>0</v>
      </c>
      <c r="L1658" s="80">
        <f>STOCK[[#This Row],[Entradas]]-STOCK[[#This Row],[Salidas]]</f>
        <v>2</v>
      </c>
      <c r="M1658" s="77">
        <f>STOCK[[#This Row],[Precio Final]]*10%</f>
        <v>1.8825</v>
      </c>
      <c r="N1658" s="54">
        <v>0</v>
      </c>
      <c r="O1658" s="77">
        <v>0</v>
      </c>
      <c r="P1658" s="77"/>
      <c r="Q1658" s="77">
        <v>9</v>
      </c>
      <c r="R1658" s="80"/>
      <c r="S1658" s="77"/>
      <c r="T1658" s="77">
        <f>STOCK[[#This Row],[Costo Unitario (USD)]]+STOCK[[#This Row],[Costo Envío (USD)]]+STOCK[[#This Row],[Comisión 10%]]</f>
        <v>1.8825</v>
      </c>
      <c r="U1658" s="53">
        <f>STOCK[[#This Row],[Costo total]]*1.5</f>
        <v>2.82375</v>
      </c>
      <c r="V1658" s="53">
        <v>18.825</v>
      </c>
      <c r="W1658" s="77">
        <f>STOCK[[#This Row],[Precio Final]]-STOCK[[#This Row],[Costo total]]</f>
        <v>16.9425</v>
      </c>
      <c r="X1658" s="77">
        <f>STOCK[[#This Row],[Ganancia Unitaria]]*STOCK[[#This Row],[Salidas]]</f>
        <v>0</v>
      </c>
      <c r="Y1658" s="77">
        <v>0</v>
      </c>
      <c r="Z1658" s="90"/>
      <c r="AA1658" s="54">
        <f>STOCK[[#This Row],[Costo total]]*STOCK[[#This Row],[Entradas]]</f>
        <v>3.765</v>
      </c>
      <c r="AB1658" s="54">
        <f>STOCK[[#This Row],[Stock Actual]]*STOCK[[#This Row],[Costo total]]</f>
        <v>3.765</v>
      </c>
      <c r="AC1658" s="77">
        <v>25.1</v>
      </c>
      <c r="AD1658" s="77"/>
    </row>
    <row r="1659" s="53" customFormat="1" ht="50" customHeight="1" spans="1:30">
      <c r="A1659" s="53" t="s">
        <v>3290</v>
      </c>
      <c r="B1659" s="85"/>
      <c r="C1659" s="53" t="s">
        <v>32</v>
      </c>
      <c r="D1659" s="86" t="s">
        <v>3278</v>
      </c>
      <c r="E1659" s="87" t="s">
        <v>3291</v>
      </c>
      <c r="F1659" s="88" t="s">
        <v>525</v>
      </c>
      <c r="G1659" s="77"/>
      <c r="H1659" s="77">
        <f>STOCK[[#This Row],[Precio Final]]</f>
        <v>12.075</v>
      </c>
      <c r="I1659" s="82">
        <f>STOCK[[#This Row],[Precio Venta Ideal (x1.5)]]</f>
        <v>1.81125</v>
      </c>
      <c r="J1659" s="89">
        <v>7</v>
      </c>
      <c r="K1659" s="80">
        <f>SUMIFS(VENTAS[Cantidad],VENTAS[Código del producto Vendido],STOCK[[#This Row],[Code]])</f>
        <v>3</v>
      </c>
      <c r="L1659" s="80">
        <f>STOCK[[#This Row],[Entradas]]-STOCK[[#This Row],[Salidas]]</f>
        <v>4</v>
      </c>
      <c r="M1659" s="77">
        <f>STOCK[[#This Row],[Precio Final]]*10%</f>
        <v>1.2075</v>
      </c>
      <c r="N1659" s="54">
        <v>0</v>
      </c>
      <c r="O1659" s="77">
        <v>0</v>
      </c>
      <c r="P1659" s="77"/>
      <c r="Q1659" s="77">
        <v>4.5</v>
      </c>
      <c r="R1659" s="80"/>
      <c r="S1659" s="77"/>
      <c r="T1659" s="77">
        <f>STOCK[[#This Row],[Costo Unitario (USD)]]+STOCK[[#This Row],[Costo Envío (USD)]]+STOCK[[#This Row],[Comisión 10%]]</f>
        <v>1.2075</v>
      </c>
      <c r="U1659" s="53">
        <f>STOCK[[#This Row],[Costo total]]*1.5</f>
        <v>1.81125</v>
      </c>
      <c r="V1659" s="53">
        <v>12.075</v>
      </c>
      <c r="W1659" s="77">
        <f>STOCK[[#This Row],[Precio Final]]-STOCK[[#This Row],[Costo total]]</f>
        <v>10.8675</v>
      </c>
      <c r="X1659" s="77">
        <f>STOCK[[#This Row],[Ganancia Unitaria]]*STOCK[[#This Row],[Salidas]]</f>
        <v>32.6025</v>
      </c>
      <c r="Y1659" s="77">
        <v>0</v>
      </c>
      <c r="Z1659" s="90"/>
      <c r="AA1659" s="54">
        <f>STOCK[[#This Row],[Costo total]]*STOCK[[#This Row],[Entradas]]</f>
        <v>8.4525</v>
      </c>
      <c r="AB1659" s="54">
        <f>STOCK[[#This Row],[Stock Actual]]*STOCK[[#This Row],[Costo total]]</f>
        <v>4.83</v>
      </c>
      <c r="AC1659" s="77">
        <v>56.35</v>
      </c>
      <c r="AD1659" s="77"/>
    </row>
    <row r="1660" s="53" customFormat="1" ht="50" customHeight="1" spans="1:30">
      <c r="A1660" s="53" t="s">
        <v>3292</v>
      </c>
      <c r="B1660" s="85"/>
      <c r="C1660" s="53" t="s">
        <v>32</v>
      </c>
      <c r="D1660" s="86" t="s">
        <v>3278</v>
      </c>
      <c r="E1660" s="87" t="s">
        <v>3293</v>
      </c>
      <c r="F1660" s="88" t="s">
        <v>525</v>
      </c>
      <c r="G1660" s="77"/>
      <c r="H1660" s="77">
        <f>STOCK[[#This Row],[Precio Final]]</f>
        <v>5.295</v>
      </c>
      <c r="I1660" s="82">
        <f>STOCK[[#This Row],[Precio Venta Ideal (x1.5)]]</f>
        <v>0.79425</v>
      </c>
      <c r="J1660" s="89">
        <v>2</v>
      </c>
      <c r="K1660" s="80">
        <f>SUMIFS(VENTAS[Cantidad],VENTAS[Código del producto Vendido],STOCK[[#This Row],[Code]])</f>
        <v>2</v>
      </c>
      <c r="L1660" s="80">
        <f>STOCK[[#This Row],[Entradas]]-STOCK[[#This Row],[Salidas]]</f>
        <v>0</v>
      </c>
      <c r="M1660" s="77">
        <f>STOCK[[#This Row],[Precio Final]]*10%</f>
        <v>0.5295</v>
      </c>
      <c r="N1660" s="54">
        <v>0</v>
      </c>
      <c r="O1660" s="77">
        <v>0</v>
      </c>
      <c r="P1660" s="77"/>
      <c r="Q1660" s="77">
        <v>1.68</v>
      </c>
      <c r="R1660" s="80"/>
      <c r="S1660" s="77"/>
      <c r="T1660" s="77">
        <f>STOCK[[#This Row],[Costo Unitario (USD)]]+STOCK[[#This Row],[Costo Envío (USD)]]+STOCK[[#This Row],[Comisión 10%]]</f>
        <v>0.5295</v>
      </c>
      <c r="U1660" s="53">
        <f>STOCK[[#This Row],[Costo total]]*1.5</f>
        <v>0.79425</v>
      </c>
      <c r="V1660" s="53">
        <v>5.295</v>
      </c>
      <c r="W1660" s="77">
        <f>STOCK[[#This Row],[Precio Final]]-STOCK[[#This Row],[Costo total]]</f>
        <v>4.7655</v>
      </c>
      <c r="X1660" s="77">
        <f>STOCK[[#This Row],[Ganancia Unitaria]]*STOCK[[#This Row],[Salidas]]</f>
        <v>9.531</v>
      </c>
      <c r="Y1660" s="77">
        <v>0</v>
      </c>
      <c r="Z1660" s="90"/>
      <c r="AA1660" s="54">
        <f>STOCK[[#This Row],[Costo total]]*STOCK[[#This Row],[Entradas]]</f>
        <v>1.059</v>
      </c>
      <c r="AB1660" s="54">
        <f>STOCK[[#This Row],[Stock Actual]]*STOCK[[#This Row],[Costo total]]</f>
        <v>0</v>
      </c>
      <c r="AC1660" s="77">
        <v>7.06</v>
      </c>
      <c r="AD1660" s="77"/>
    </row>
    <row r="1661" s="53" customFormat="1" ht="50" customHeight="1" spans="1:30">
      <c r="A1661" s="53" t="s">
        <v>3294</v>
      </c>
      <c r="B1661" s="85"/>
      <c r="C1661" s="53" t="s">
        <v>32</v>
      </c>
      <c r="D1661" s="86" t="s">
        <v>3278</v>
      </c>
      <c r="E1661" s="87" t="s">
        <v>3295</v>
      </c>
      <c r="F1661" s="88" t="s">
        <v>62</v>
      </c>
      <c r="G1661" s="77"/>
      <c r="H1661" s="77">
        <f>STOCK[[#This Row],[Precio Final]]</f>
        <v>17.7</v>
      </c>
      <c r="I1661" s="82">
        <f>STOCK[[#This Row],[Precio Venta Ideal (x1.5)]]</f>
        <v>2.655</v>
      </c>
      <c r="J1661" s="89">
        <v>2</v>
      </c>
      <c r="K1661" s="80">
        <f>SUMIFS(VENTAS[Cantidad],VENTAS[Código del producto Vendido],STOCK[[#This Row],[Code]])</f>
        <v>2</v>
      </c>
      <c r="L1661" s="80">
        <f>STOCK[[#This Row],[Entradas]]-STOCK[[#This Row],[Salidas]]</f>
        <v>0</v>
      </c>
      <c r="M1661" s="77">
        <f>STOCK[[#This Row],[Precio Final]]*10%</f>
        <v>1.77</v>
      </c>
      <c r="N1661" s="54">
        <v>0</v>
      </c>
      <c r="O1661" s="77">
        <v>0</v>
      </c>
      <c r="P1661" s="77"/>
      <c r="Q1661" s="77">
        <v>8.55</v>
      </c>
      <c r="R1661" s="80"/>
      <c r="S1661" s="77"/>
      <c r="T1661" s="77">
        <f>STOCK[[#This Row],[Costo Unitario (USD)]]+STOCK[[#This Row],[Costo Envío (USD)]]+STOCK[[#This Row],[Comisión 10%]]</f>
        <v>1.77</v>
      </c>
      <c r="U1661" s="53">
        <f>STOCK[[#This Row],[Costo total]]*1.5</f>
        <v>2.655</v>
      </c>
      <c r="V1661" s="53">
        <v>17.7</v>
      </c>
      <c r="W1661" s="77">
        <f>STOCK[[#This Row],[Precio Final]]-STOCK[[#This Row],[Costo total]]</f>
        <v>15.93</v>
      </c>
      <c r="X1661" s="77">
        <f>STOCK[[#This Row],[Ganancia Unitaria]]*STOCK[[#This Row],[Salidas]]</f>
        <v>31.86</v>
      </c>
      <c r="Y1661" s="77">
        <v>10.2</v>
      </c>
      <c r="Z1661" s="90"/>
      <c r="AA1661" s="54">
        <f>STOCK[[#This Row],[Costo total]]*STOCK[[#This Row],[Entradas]]</f>
        <v>3.54</v>
      </c>
      <c r="AB1661" s="54">
        <f>STOCK[[#This Row],[Stock Actual]]*STOCK[[#This Row],[Costo total]]</f>
        <v>0</v>
      </c>
      <c r="AC1661" s="77">
        <v>11.8</v>
      </c>
      <c r="AD1661" s="77"/>
    </row>
    <row r="1662" s="53" customFormat="1" ht="50" customHeight="1" spans="1:30">
      <c r="A1662" s="53" t="s">
        <v>3296</v>
      </c>
      <c r="B1662" s="85"/>
      <c r="C1662" s="53" t="s">
        <v>32</v>
      </c>
      <c r="D1662" s="86" t="s">
        <v>3278</v>
      </c>
      <c r="E1662" s="87" t="s">
        <v>3297</v>
      </c>
      <c r="F1662" s="88" t="s">
        <v>525</v>
      </c>
      <c r="G1662" s="77"/>
      <c r="H1662" s="77">
        <f>STOCK[[#This Row],[Precio Final]]</f>
        <v>4.83</v>
      </c>
      <c r="I1662" s="82">
        <f>STOCK[[#This Row],[Precio Venta Ideal (x1.5)]]</f>
        <v>0.7245</v>
      </c>
      <c r="J1662" s="89">
        <v>5</v>
      </c>
      <c r="K1662" s="80">
        <f>SUMIFS(VENTAS[Cantidad],VENTAS[Código del producto Vendido],STOCK[[#This Row],[Code]])</f>
        <v>5</v>
      </c>
      <c r="L1662" s="80">
        <f>STOCK[[#This Row],[Entradas]]-STOCK[[#This Row],[Salidas]]</f>
        <v>0</v>
      </c>
      <c r="M1662" s="77">
        <f>STOCK[[#This Row],[Precio Final]]*10%</f>
        <v>0.483</v>
      </c>
      <c r="N1662" s="54">
        <v>0</v>
      </c>
      <c r="O1662" s="77">
        <v>0</v>
      </c>
      <c r="P1662" s="77"/>
      <c r="Q1662" s="77">
        <v>1.67</v>
      </c>
      <c r="R1662" s="80"/>
      <c r="S1662" s="77"/>
      <c r="T1662" s="77">
        <f>STOCK[[#This Row],[Costo Unitario (USD)]]+STOCK[[#This Row],[Costo Envío (USD)]]+STOCK[[#This Row],[Comisión 10%]]</f>
        <v>0.483</v>
      </c>
      <c r="U1662" s="53">
        <f>STOCK[[#This Row],[Costo total]]*1.5</f>
        <v>0.7245</v>
      </c>
      <c r="V1662" s="53">
        <v>4.83</v>
      </c>
      <c r="W1662" s="77">
        <f>STOCK[[#This Row],[Precio Final]]-STOCK[[#This Row],[Costo total]]</f>
        <v>4.347</v>
      </c>
      <c r="X1662" s="77">
        <f>STOCK[[#This Row],[Ganancia Unitaria]]*STOCK[[#This Row],[Salidas]]</f>
        <v>21.735</v>
      </c>
      <c r="Y1662" s="77">
        <v>0</v>
      </c>
      <c r="Z1662" s="90"/>
      <c r="AA1662" s="54">
        <f>STOCK[[#This Row],[Costo total]]*STOCK[[#This Row],[Entradas]]</f>
        <v>2.415</v>
      </c>
      <c r="AB1662" s="54">
        <f>STOCK[[#This Row],[Stock Actual]]*STOCK[[#This Row],[Costo total]]</f>
        <v>0</v>
      </c>
      <c r="AC1662" s="77">
        <v>16.1</v>
      </c>
      <c r="AD1662" s="77"/>
    </row>
    <row r="1663" s="53" customFormat="1" ht="50" customHeight="1" spans="1:30">
      <c r="A1663" s="53" t="s">
        <v>3298</v>
      </c>
      <c r="B1663" s="85"/>
      <c r="C1663" s="53" t="s">
        <v>32</v>
      </c>
      <c r="D1663" s="86" t="s">
        <v>3278</v>
      </c>
      <c r="E1663" s="87" t="s">
        <v>3299</v>
      </c>
      <c r="F1663" s="88" t="s">
        <v>525</v>
      </c>
      <c r="G1663" s="77"/>
      <c r="H1663" s="77">
        <f>STOCK[[#This Row],[Precio Final]]</f>
        <v>2.97</v>
      </c>
      <c r="I1663" s="82">
        <f>STOCK[[#This Row],[Precio Venta Ideal (x1.5)]]</f>
        <v>0.4455</v>
      </c>
      <c r="J1663" s="89">
        <v>8</v>
      </c>
      <c r="K1663" s="80">
        <f>SUMIFS(VENTAS[Cantidad],VENTAS[Código del producto Vendido],STOCK[[#This Row],[Code]])</f>
        <v>5</v>
      </c>
      <c r="L1663" s="80">
        <f>STOCK[[#This Row],[Entradas]]-STOCK[[#This Row],[Salidas]]</f>
        <v>3</v>
      </c>
      <c r="M1663" s="77">
        <f>STOCK[[#This Row],[Precio Final]]*10%</f>
        <v>0.297</v>
      </c>
      <c r="N1663" s="54">
        <v>0</v>
      </c>
      <c r="O1663" s="77">
        <v>0</v>
      </c>
      <c r="P1663" s="77"/>
      <c r="Q1663" s="77">
        <v>0.63</v>
      </c>
      <c r="R1663" s="80"/>
      <c r="S1663" s="77"/>
      <c r="T1663" s="77">
        <f>STOCK[[#This Row],[Costo Unitario (USD)]]+STOCK[[#This Row],[Costo Envío (USD)]]+STOCK[[#This Row],[Comisión 10%]]</f>
        <v>0.297</v>
      </c>
      <c r="U1663" s="53">
        <f>STOCK[[#This Row],[Costo total]]*1.5</f>
        <v>0.4455</v>
      </c>
      <c r="V1663" s="53">
        <v>2.97</v>
      </c>
      <c r="W1663" s="77">
        <f>STOCK[[#This Row],[Precio Final]]-STOCK[[#This Row],[Costo total]]</f>
        <v>2.673</v>
      </c>
      <c r="X1663" s="77">
        <f>STOCK[[#This Row],[Ganancia Unitaria]]*STOCK[[#This Row],[Salidas]]</f>
        <v>13.365</v>
      </c>
      <c r="Y1663" s="77">
        <v>0</v>
      </c>
      <c r="Z1663" s="90"/>
      <c r="AA1663" s="54">
        <f>STOCK[[#This Row],[Costo total]]*STOCK[[#This Row],[Entradas]]</f>
        <v>2.376</v>
      </c>
      <c r="AB1663" s="54">
        <f>STOCK[[#This Row],[Stock Actual]]*STOCK[[#This Row],[Costo total]]</f>
        <v>0.891</v>
      </c>
      <c r="AC1663" s="77">
        <v>15.84</v>
      </c>
      <c r="AD1663" s="77"/>
    </row>
    <row r="1664" s="53" customFormat="1" ht="50" customHeight="1" spans="1:30">
      <c r="A1664" s="53" t="s">
        <v>3300</v>
      </c>
      <c r="B1664" s="85"/>
      <c r="C1664" s="53" t="s">
        <v>32</v>
      </c>
      <c r="D1664" s="86" t="s">
        <v>3278</v>
      </c>
      <c r="E1664" s="87" t="s">
        <v>3301</v>
      </c>
      <c r="F1664" s="88" t="s">
        <v>49</v>
      </c>
      <c r="G1664" s="77"/>
      <c r="H1664" s="77">
        <f>STOCK[[#This Row],[Precio Final]]</f>
        <v>18.15</v>
      </c>
      <c r="I1664" s="82">
        <f>STOCK[[#This Row],[Precio Venta Ideal (x1.5)]]</f>
        <v>2.7225</v>
      </c>
      <c r="J1664" s="89">
        <v>3</v>
      </c>
      <c r="K1664" s="80">
        <f>SUMIFS(VENTAS[Cantidad],VENTAS[Código del producto Vendido],STOCK[[#This Row],[Code]])</f>
        <v>3</v>
      </c>
      <c r="L1664" s="80">
        <f>STOCK[[#This Row],[Entradas]]-STOCK[[#This Row],[Salidas]]</f>
        <v>0</v>
      </c>
      <c r="M1664" s="77">
        <f>STOCK[[#This Row],[Precio Final]]*10%</f>
        <v>1.815</v>
      </c>
      <c r="N1664" s="54">
        <v>0</v>
      </c>
      <c r="O1664" s="77">
        <v>0</v>
      </c>
      <c r="P1664" s="77"/>
      <c r="Q1664" s="77">
        <v>8.55</v>
      </c>
      <c r="R1664" s="80"/>
      <c r="S1664" s="77"/>
      <c r="T1664" s="77">
        <f>STOCK[[#This Row],[Costo Unitario (USD)]]+STOCK[[#This Row],[Costo Envío (USD)]]+STOCK[[#This Row],[Comisión 10%]]</f>
        <v>1.815</v>
      </c>
      <c r="U1664" s="53">
        <f>STOCK[[#This Row],[Costo total]]*1.5</f>
        <v>2.7225</v>
      </c>
      <c r="V1664" s="53">
        <v>18.15</v>
      </c>
      <c r="W1664" s="77">
        <f>STOCK[[#This Row],[Precio Final]]-STOCK[[#This Row],[Costo total]]</f>
        <v>16.335</v>
      </c>
      <c r="X1664" s="77">
        <f>STOCK[[#This Row],[Ganancia Unitaria]]*STOCK[[#This Row],[Salidas]]</f>
        <v>49.005</v>
      </c>
      <c r="Y1664" s="77">
        <v>0</v>
      </c>
      <c r="Z1664" s="90"/>
      <c r="AA1664" s="54">
        <f>STOCK[[#This Row],[Costo total]]*STOCK[[#This Row],[Entradas]]</f>
        <v>5.445</v>
      </c>
      <c r="AB1664" s="54">
        <f>STOCK[[#This Row],[Stock Actual]]*STOCK[[#This Row],[Costo total]]</f>
        <v>0</v>
      </c>
      <c r="AC1664" s="77">
        <v>36.3</v>
      </c>
      <c r="AD1664" s="77"/>
    </row>
    <row r="1665" s="53" customFormat="1" ht="50" customHeight="1" spans="1:30">
      <c r="A1665" s="53" t="s">
        <v>3302</v>
      </c>
      <c r="B1665" s="85"/>
      <c r="C1665" s="53" t="s">
        <v>32</v>
      </c>
      <c r="D1665" s="86" t="s">
        <v>3278</v>
      </c>
      <c r="E1665" s="87" t="s">
        <v>3303</v>
      </c>
      <c r="F1665" s="88" t="s">
        <v>525</v>
      </c>
      <c r="G1665" s="77"/>
      <c r="H1665" s="77">
        <f>STOCK[[#This Row],[Precio Final]]</f>
        <v>7.215</v>
      </c>
      <c r="I1665" s="82">
        <f>STOCK[[#This Row],[Precio Venta Ideal (x1.5)]]</f>
        <v>1.08225</v>
      </c>
      <c r="J1665" s="89">
        <v>4</v>
      </c>
      <c r="K1665" s="80">
        <f>SUMIFS(VENTAS[Cantidad],VENTAS[Código del producto Vendido],STOCK[[#This Row],[Code]])</f>
        <v>4</v>
      </c>
      <c r="L1665" s="80">
        <f>STOCK[[#This Row],[Entradas]]-STOCK[[#This Row],[Salidas]]</f>
        <v>0</v>
      </c>
      <c r="M1665" s="77">
        <f>STOCK[[#This Row],[Precio Final]]*10%</f>
        <v>0.7215</v>
      </c>
      <c r="N1665" s="54">
        <v>0</v>
      </c>
      <c r="O1665" s="77">
        <v>0</v>
      </c>
      <c r="P1665" s="77"/>
      <c r="Q1665" s="77">
        <v>2.56</v>
      </c>
      <c r="R1665" s="80"/>
      <c r="S1665" s="77"/>
      <c r="T1665" s="77">
        <f>STOCK[[#This Row],[Costo Unitario (USD)]]+STOCK[[#This Row],[Costo Envío (USD)]]+STOCK[[#This Row],[Comisión 10%]]</f>
        <v>0.7215</v>
      </c>
      <c r="U1665" s="53">
        <f>STOCK[[#This Row],[Costo total]]*1.5</f>
        <v>1.08225</v>
      </c>
      <c r="V1665" s="53">
        <v>7.215</v>
      </c>
      <c r="W1665" s="77">
        <f>STOCK[[#This Row],[Precio Final]]-STOCK[[#This Row],[Costo total]]</f>
        <v>6.4935</v>
      </c>
      <c r="X1665" s="77">
        <f>STOCK[[#This Row],[Ganancia Unitaria]]*STOCK[[#This Row],[Salidas]]</f>
        <v>25.974</v>
      </c>
      <c r="Y1665" s="77">
        <v>0</v>
      </c>
      <c r="Z1665" s="90"/>
      <c r="AA1665" s="54">
        <f>STOCK[[#This Row],[Costo total]]*STOCK[[#This Row],[Entradas]]</f>
        <v>2.886</v>
      </c>
      <c r="AB1665" s="54">
        <f>STOCK[[#This Row],[Stock Actual]]*STOCK[[#This Row],[Costo total]]</f>
        <v>0</v>
      </c>
      <c r="AC1665" s="77">
        <v>19.24</v>
      </c>
      <c r="AD1665" s="77"/>
    </row>
    <row r="1666" s="53" customFormat="1" ht="50" customHeight="1" spans="1:30">
      <c r="A1666" s="53" t="s">
        <v>3304</v>
      </c>
      <c r="B1666" s="85"/>
      <c r="C1666" s="53" t="s">
        <v>32</v>
      </c>
      <c r="D1666" s="86" t="s">
        <v>3278</v>
      </c>
      <c r="E1666" s="87" t="s">
        <v>3305</v>
      </c>
      <c r="F1666" s="88" t="s">
        <v>525</v>
      </c>
      <c r="G1666" s="77"/>
      <c r="H1666" s="77">
        <f>STOCK[[#This Row],[Precio Final]]</f>
        <v>6.225</v>
      </c>
      <c r="I1666" s="82">
        <f>STOCK[[#This Row],[Precio Venta Ideal (x1.5)]]</f>
        <v>0.93375</v>
      </c>
      <c r="J1666" s="89">
        <v>4</v>
      </c>
      <c r="K1666" s="80">
        <f>SUMIFS(VENTAS[Cantidad],VENTAS[Código del producto Vendido],STOCK[[#This Row],[Code]])</f>
        <v>1</v>
      </c>
      <c r="L1666" s="80">
        <f>STOCK[[#This Row],[Entradas]]-STOCK[[#This Row],[Salidas]]</f>
        <v>3</v>
      </c>
      <c r="M1666" s="77">
        <f>STOCK[[#This Row],[Precio Final]]*10%</f>
        <v>0.6225</v>
      </c>
      <c r="N1666" s="54">
        <v>0</v>
      </c>
      <c r="O1666" s="77">
        <v>0</v>
      </c>
      <c r="P1666" s="77"/>
      <c r="Q1666" s="77">
        <v>2.3</v>
      </c>
      <c r="R1666" s="80"/>
      <c r="S1666" s="77"/>
      <c r="T1666" s="77">
        <f>STOCK[[#This Row],[Costo Unitario (USD)]]+STOCK[[#This Row],[Costo Envío (USD)]]+STOCK[[#This Row],[Comisión 10%]]</f>
        <v>0.6225</v>
      </c>
      <c r="U1666" s="53">
        <f>STOCK[[#This Row],[Costo total]]*1.5</f>
        <v>0.93375</v>
      </c>
      <c r="V1666" s="53">
        <v>6.225</v>
      </c>
      <c r="W1666" s="77">
        <f>STOCK[[#This Row],[Precio Final]]-STOCK[[#This Row],[Costo total]]</f>
        <v>5.6025</v>
      </c>
      <c r="X1666" s="77">
        <f>STOCK[[#This Row],[Ganancia Unitaria]]*STOCK[[#This Row],[Salidas]]</f>
        <v>5.6025</v>
      </c>
      <c r="Y1666" s="77">
        <v>0</v>
      </c>
      <c r="Z1666" s="90"/>
      <c r="AA1666" s="54">
        <f>STOCK[[#This Row],[Costo total]]*STOCK[[#This Row],[Entradas]]</f>
        <v>2.49</v>
      </c>
      <c r="AB1666" s="54">
        <f>STOCK[[#This Row],[Stock Actual]]*STOCK[[#This Row],[Costo total]]</f>
        <v>1.8675</v>
      </c>
      <c r="AC1666" s="77">
        <v>16.6</v>
      </c>
      <c r="AD1666" s="77"/>
    </row>
    <row r="1667" s="53" customFormat="1" ht="50" customHeight="1" spans="1:30">
      <c r="A1667" s="53" t="s">
        <v>3306</v>
      </c>
      <c r="B1667" s="85"/>
      <c r="C1667" s="53" t="s">
        <v>32</v>
      </c>
      <c r="D1667" s="86" t="s">
        <v>3278</v>
      </c>
      <c r="E1667" s="87" t="s">
        <v>3307</v>
      </c>
      <c r="F1667" s="88" t="s">
        <v>525</v>
      </c>
      <c r="G1667" s="77"/>
      <c r="H1667" s="77">
        <f>STOCK[[#This Row],[Precio Final]]</f>
        <v>9.225</v>
      </c>
      <c r="I1667" s="82">
        <f>STOCK[[#This Row],[Precio Venta Ideal (x1.5)]]</f>
        <v>1.38375</v>
      </c>
      <c r="J1667" s="89">
        <v>6</v>
      </c>
      <c r="K1667" s="80">
        <f>SUMIFS(VENTAS[Cantidad],VENTAS[Código del producto Vendido],STOCK[[#This Row],[Code]])</f>
        <v>6</v>
      </c>
      <c r="L1667" s="80">
        <f>STOCK[[#This Row],[Entradas]]-STOCK[[#This Row],[Salidas]]</f>
        <v>0</v>
      </c>
      <c r="M1667" s="77">
        <f>STOCK[[#This Row],[Precio Final]]*10%</f>
        <v>0.9225</v>
      </c>
      <c r="N1667" s="54">
        <v>0</v>
      </c>
      <c r="O1667" s="77">
        <v>0</v>
      </c>
      <c r="P1667" s="77"/>
      <c r="Q1667" s="77">
        <v>3.6</v>
      </c>
      <c r="R1667" s="80"/>
      <c r="S1667" s="77"/>
      <c r="T1667" s="77">
        <f>STOCK[[#This Row],[Costo Unitario (USD)]]+STOCK[[#This Row],[Costo Envío (USD)]]+STOCK[[#This Row],[Comisión 10%]]</f>
        <v>0.9225</v>
      </c>
      <c r="U1667" s="53">
        <f>STOCK[[#This Row],[Costo total]]*1.5</f>
        <v>1.38375</v>
      </c>
      <c r="V1667" s="53">
        <v>9.225</v>
      </c>
      <c r="W1667" s="77">
        <f>STOCK[[#This Row],[Precio Final]]-STOCK[[#This Row],[Costo total]]</f>
        <v>8.3025</v>
      </c>
      <c r="X1667" s="77">
        <f>STOCK[[#This Row],[Ganancia Unitaria]]*STOCK[[#This Row],[Salidas]]</f>
        <v>49.815</v>
      </c>
      <c r="Y1667" s="77">
        <v>0</v>
      </c>
      <c r="Z1667" s="90"/>
      <c r="AA1667" s="54">
        <f>STOCK[[#This Row],[Costo total]]*STOCK[[#This Row],[Entradas]]</f>
        <v>5.535</v>
      </c>
      <c r="AB1667" s="54">
        <f>STOCK[[#This Row],[Stock Actual]]*STOCK[[#This Row],[Costo total]]</f>
        <v>0</v>
      </c>
      <c r="AC1667" s="77">
        <v>36.9</v>
      </c>
      <c r="AD1667" s="77"/>
    </row>
    <row r="1668" s="53" customFormat="1" ht="50" customHeight="1" spans="1:30">
      <c r="A1668" s="53" t="s">
        <v>3308</v>
      </c>
      <c r="B1668" s="85"/>
      <c r="C1668" s="53" t="s">
        <v>32</v>
      </c>
      <c r="D1668" s="86" t="s">
        <v>3278</v>
      </c>
      <c r="E1668" s="87" t="s">
        <v>3309</v>
      </c>
      <c r="F1668" s="88" t="s">
        <v>525</v>
      </c>
      <c r="G1668" s="77"/>
      <c r="H1668" s="77">
        <f>STOCK[[#This Row],[Precio Final]]</f>
        <v>2.685</v>
      </c>
      <c r="I1668" s="82">
        <f>STOCK[[#This Row],[Precio Venta Ideal (x1.5)]]</f>
        <v>0.40275</v>
      </c>
      <c r="J1668" s="89">
        <v>0</v>
      </c>
      <c r="K1668" s="80">
        <f>SUMIFS(VENTAS[Cantidad],VENTAS[Código del producto Vendido],STOCK[[#This Row],[Code]])</f>
        <v>0</v>
      </c>
      <c r="L1668" s="80">
        <f>STOCK[[#This Row],[Entradas]]-STOCK[[#This Row],[Salidas]]</f>
        <v>0</v>
      </c>
      <c r="M1668" s="77">
        <f>STOCK[[#This Row],[Precio Final]]*10%</f>
        <v>0.2685</v>
      </c>
      <c r="N1668" s="54">
        <v>0</v>
      </c>
      <c r="O1668" s="77">
        <v>0</v>
      </c>
      <c r="P1668" s="77"/>
      <c r="Q1668" s="77">
        <v>0.74</v>
      </c>
      <c r="R1668" s="80"/>
      <c r="S1668" s="77"/>
      <c r="T1668" s="77">
        <f>STOCK[[#This Row],[Costo Unitario (USD)]]+STOCK[[#This Row],[Costo Envío (USD)]]+STOCK[[#This Row],[Comisión 10%]]</f>
        <v>0.2685</v>
      </c>
      <c r="U1668" s="53">
        <f>STOCK[[#This Row],[Costo total]]*1.5</f>
        <v>0.40275</v>
      </c>
      <c r="V1668" s="53">
        <v>2.685</v>
      </c>
      <c r="W1668" s="77">
        <f>STOCK[[#This Row],[Precio Final]]-STOCK[[#This Row],[Costo total]]</f>
        <v>2.4165</v>
      </c>
      <c r="X1668" s="77">
        <f>STOCK[[#This Row],[Ganancia Unitaria]]*STOCK[[#This Row],[Salidas]]</f>
        <v>0</v>
      </c>
      <c r="Y1668" s="77">
        <v>0</v>
      </c>
      <c r="Z1668" s="90"/>
      <c r="AA1668" s="54">
        <f>STOCK[[#This Row],[Costo total]]*STOCK[[#This Row],[Entradas]]</f>
        <v>0</v>
      </c>
      <c r="AB1668" s="54">
        <f>STOCK[[#This Row],[Stock Actual]]*STOCK[[#This Row],[Costo total]]</f>
        <v>0</v>
      </c>
      <c r="AC1668" s="77">
        <v>0</v>
      </c>
      <c r="AD1668" s="77"/>
    </row>
    <row r="1669" s="53" customFormat="1" ht="50" customHeight="1" spans="1:30">
      <c r="A1669" s="53" t="s">
        <v>3310</v>
      </c>
      <c r="B1669" s="85"/>
      <c r="C1669" s="53" t="s">
        <v>32</v>
      </c>
      <c r="D1669" s="86" t="s">
        <v>3278</v>
      </c>
      <c r="E1669" s="87" t="s">
        <v>3311</v>
      </c>
      <c r="F1669" s="88" t="s">
        <v>46</v>
      </c>
      <c r="G1669" s="77"/>
      <c r="H1669" s="77">
        <f>STOCK[[#This Row],[Precio Final]]</f>
        <v>8.745</v>
      </c>
      <c r="I1669" s="82">
        <f>STOCK[[#This Row],[Precio Venta Ideal (x1.5)]]</f>
        <v>1.31175</v>
      </c>
      <c r="J1669" s="89">
        <v>2</v>
      </c>
      <c r="K1669" s="80">
        <f>SUMIFS(VENTAS[Cantidad],VENTAS[Código del producto Vendido],STOCK[[#This Row],[Code]])</f>
        <v>2</v>
      </c>
      <c r="L1669" s="80">
        <f>STOCK[[#This Row],[Entradas]]-STOCK[[#This Row],[Salidas]]</f>
        <v>0</v>
      </c>
      <c r="M1669" s="77">
        <f>STOCK[[#This Row],[Precio Final]]*10%</f>
        <v>0.8745</v>
      </c>
      <c r="N1669" s="54">
        <v>0</v>
      </c>
      <c r="O1669" s="77">
        <v>0</v>
      </c>
      <c r="P1669" s="77"/>
      <c r="Q1669" s="77">
        <v>3.58</v>
      </c>
      <c r="R1669" s="80"/>
      <c r="S1669" s="77"/>
      <c r="T1669" s="77">
        <f>STOCK[[#This Row],[Costo Unitario (USD)]]+STOCK[[#This Row],[Costo Envío (USD)]]+STOCK[[#This Row],[Comisión 10%]]</f>
        <v>0.8745</v>
      </c>
      <c r="U1669" s="53">
        <f>STOCK[[#This Row],[Costo total]]*1.5</f>
        <v>1.31175</v>
      </c>
      <c r="V1669" s="53">
        <v>8.745</v>
      </c>
      <c r="W1669" s="77">
        <f>STOCK[[#This Row],[Precio Final]]-STOCK[[#This Row],[Costo total]]</f>
        <v>7.8705</v>
      </c>
      <c r="X1669" s="77">
        <f>STOCK[[#This Row],[Ganancia Unitaria]]*STOCK[[#This Row],[Salidas]]</f>
        <v>15.741</v>
      </c>
      <c r="Y1669" s="77">
        <v>0</v>
      </c>
      <c r="Z1669" s="90"/>
      <c r="AA1669" s="54">
        <f>STOCK[[#This Row],[Costo total]]*STOCK[[#This Row],[Entradas]]</f>
        <v>1.749</v>
      </c>
      <c r="AB1669" s="54">
        <f>STOCK[[#This Row],[Stock Actual]]*STOCK[[#This Row],[Costo total]]</f>
        <v>0</v>
      </c>
      <c r="AC1669" s="77">
        <v>11.66</v>
      </c>
      <c r="AD1669" s="77"/>
    </row>
    <row r="1670" s="53" customFormat="1" ht="50" customHeight="1" spans="1:30">
      <c r="A1670" s="53" t="s">
        <v>3312</v>
      </c>
      <c r="B1670" s="85"/>
      <c r="C1670" s="53" t="s">
        <v>32</v>
      </c>
      <c r="D1670" s="86" t="s">
        <v>3278</v>
      </c>
      <c r="E1670" s="87" t="s">
        <v>3311</v>
      </c>
      <c r="F1670" s="88" t="s">
        <v>49</v>
      </c>
      <c r="G1670" s="77"/>
      <c r="H1670" s="77">
        <f>STOCK[[#This Row],[Precio Final]]</f>
        <v>8.745</v>
      </c>
      <c r="I1670" s="82">
        <f>STOCK[[#This Row],[Precio Venta Ideal (x1.5)]]</f>
        <v>1.31175</v>
      </c>
      <c r="J1670" s="89">
        <v>2</v>
      </c>
      <c r="K1670" s="80">
        <f>SUMIFS(VENTAS[Cantidad],VENTAS[Código del producto Vendido],STOCK[[#This Row],[Code]])</f>
        <v>2</v>
      </c>
      <c r="L1670" s="80">
        <f>STOCK[[#This Row],[Entradas]]-STOCK[[#This Row],[Salidas]]</f>
        <v>0</v>
      </c>
      <c r="M1670" s="77">
        <f>STOCK[[#This Row],[Precio Final]]*10%</f>
        <v>0.8745</v>
      </c>
      <c r="N1670" s="54">
        <v>0</v>
      </c>
      <c r="O1670" s="77">
        <v>0</v>
      </c>
      <c r="P1670" s="77"/>
      <c r="Q1670" s="77">
        <v>3.58</v>
      </c>
      <c r="R1670" s="80"/>
      <c r="S1670" s="77"/>
      <c r="T1670" s="77">
        <f>STOCK[[#This Row],[Costo Unitario (USD)]]+STOCK[[#This Row],[Costo Envío (USD)]]+STOCK[[#This Row],[Comisión 10%]]</f>
        <v>0.8745</v>
      </c>
      <c r="U1670" s="53">
        <f>STOCK[[#This Row],[Costo total]]*1.5</f>
        <v>1.31175</v>
      </c>
      <c r="V1670" s="53">
        <v>8.745</v>
      </c>
      <c r="W1670" s="77">
        <f>STOCK[[#This Row],[Precio Final]]-STOCK[[#This Row],[Costo total]]</f>
        <v>7.8705</v>
      </c>
      <c r="X1670" s="77">
        <f>STOCK[[#This Row],[Ganancia Unitaria]]*STOCK[[#This Row],[Salidas]]</f>
        <v>15.741</v>
      </c>
      <c r="Y1670" s="77">
        <v>0</v>
      </c>
      <c r="Z1670" s="90"/>
      <c r="AA1670" s="54">
        <f>STOCK[[#This Row],[Costo total]]*STOCK[[#This Row],[Entradas]]</f>
        <v>1.749</v>
      </c>
      <c r="AB1670" s="54">
        <f>STOCK[[#This Row],[Stock Actual]]*STOCK[[#This Row],[Costo total]]</f>
        <v>0</v>
      </c>
      <c r="AC1670" s="77">
        <v>11.66</v>
      </c>
      <c r="AD1670" s="77"/>
    </row>
    <row r="1671" s="53" customFormat="1" ht="50" customHeight="1" spans="1:30">
      <c r="A1671" s="53" t="s">
        <v>3313</v>
      </c>
      <c r="B1671" s="85"/>
      <c r="C1671" s="53" t="s">
        <v>32</v>
      </c>
      <c r="D1671" s="86" t="s">
        <v>3278</v>
      </c>
      <c r="E1671" s="87" t="s">
        <v>3311</v>
      </c>
      <c r="F1671" s="88" t="s">
        <v>62</v>
      </c>
      <c r="G1671" s="77"/>
      <c r="H1671" s="77">
        <f>STOCK[[#This Row],[Precio Final]]</f>
        <v>8.745</v>
      </c>
      <c r="I1671" s="82">
        <f>STOCK[[#This Row],[Precio Venta Ideal (x1.5)]]</f>
        <v>1.31175</v>
      </c>
      <c r="J1671" s="89">
        <v>2</v>
      </c>
      <c r="K1671" s="80">
        <f>SUMIFS(VENTAS[Cantidad],VENTAS[Código del producto Vendido],STOCK[[#This Row],[Code]])</f>
        <v>2</v>
      </c>
      <c r="L1671" s="80">
        <f>STOCK[[#This Row],[Entradas]]-STOCK[[#This Row],[Salidas]]</f>
        <v>0</v>
      </c>
      <c r="M1671" s="77">
        <f>STOCK[[#This Row],[Precio Final]]*10%</f>
        <v>0.8745</v>
      </c>
      <c r="N1671" s="54">
        <v>0</v>
      </c>
      <c r="O1671" s="77">
        <v>0</v>
      </c>
      <c r="P1671" s="77"/>
      <c r="Q1671" s="77">
        <v>3.58</v>
      </c>
      <c r="R1671" s="80"/>
      <c r="S1671" s="77"/>
      <c r="T1671" s="77">
        <f>STOCK[[#This Row],[Costo Unitario (USD)]]+STOCK[[#This Row],[Costo Envío (USD)]]+STOCK[[#This Row],[Comisión 10%]]</f>
        <v>0.8745</v>
      </c>
      <c r="U1671" s="53">
        <f>STOCK[[#This Row],[Costo total]]*1.5</f>
        <v>1.31175</v>
      </c>
      <c r="V1671" s="53">
        <v>8.745</v>
      </c>
      <c r="W1671" s="77">
        <f>STOCK[[#This Row],[Precio Final]]-STOCK[[#This Row],[Costo total]]</f>
        <v>7.8705</v>
      </c>
      <c r="X1671" s="77">
        <f>STOCK[[#This Row],[Ganancia Unitaria]]*STOCK[[#This Row],[Salidas]]</f>
        <v>15.741</v>
      </c>
      <c r="Y1671" s="77">
        <v>0</v>
      </c>
      <c r="Z1671" s="90"/>
      <c r="AA1671" s="54">
        <f>STOCK[[#This Row],[Costo total]]*STOCK[[#This Row],[Entradas]]</f>
        <v>1.749</v>
      </c>
      <c r="AB1671" s="54">
        <f>STOCK[[#This Row],[Stock Actual]]*STOCK[[#This Row],[Costo total]]</f>
        <v>0</v>
      </c>
      <c r="AC1671" s="77">
        <v>11.66</v>
      </c>
      <c r="AD1671" s="77"/>
    </row>
    <row r="1672" s="53" customFormat="1" ht="50" customHeight="1" spans="1:30">
      <c r="A1672" s="53" t="s">
        <v>3314</v>
      </c>
      <c r="B1672" s="85"/>
      <c r="C1672" s="53" t="s">
        <v>32</v>
      </c>
      <c r="D1672" s="86" t="s">
        <v>3278</v>
      </c>
      <c r="E1672" s="87" t="s">
        <v>3315</v>
      </c>
      <c r="F1672" s="88" t="s">
        <v>40</v>
      </c>
      <c r="G1672" s="77"/>
      <c r="H1672" s="77">
        <f>STOCK[[#This Row],[Precio Final]]</f>
        <v>15.555</v>
      </c>
      <c r="I1672" s="82">
        <f>STOCK[[#This Row],[Precio Venta Ideal (x1.5)]]</f>
        <v>2.33325</v>
      </c>
      <c r="J1672" s="89">
        <v>2</v>
      </c>
      <c r="K1672" s="80">
        <f>SUMIFS(VENTAS[Cantidad],VENTAS[Código del producto Vendido],STOCK[[#This Row],[Code]])</f>
        <v>2</v>
      </c>
      <c r="L1672" s="80">
        <f>STOCK[[#This Row],[Entradas]]-STOCK[[#This Row],[Salidas]]</f>
        <v>0</v>
      </c>
      <c r="M1672" s="77">
        <f>STOCK[[#This Row],[Precio Final]]*10%</f>
        <v>1.5555</v>
      </c>
      <c r="N1672" s="54">
        <v>0</v>
      </c>
      <c r="O1672" s="77">
        <v>0</v>
      </c>
      <c r="P1672" s="77"/>
      <c r="Q1672" s="77">
        <v>7.32</v>
      </c>
      <c r="R1672" s="80"/>
      <c r="S1672" s="77"/>
      <c r="T1672" s="77">
        <f>STOCK[[#This Row],[Costo Unitario (USD)]]+STOCK[[#This Row],[Costo Envío (USD)]]+STOCK[[#This Row],[Comisión 10%]]</f>
        <v>1.5555</v>
      </c>
      <c r="U1672" s="53">
        <f>STOCK[[#This Row],[Costo total]]*1.5</f>
        <v>2.33325</v>
      </c>
      <c r="V1672" s="53">
        <v>15.555</v>
      </c>
      <c r="W1672" s="77">
        <f>STOCK[[#This Row],[Precio Final]]-STOCK[[#This Row],[Costo total]]</f>
        <v>13.9995</v>
      </c>
      <c r="X1672" s="77">
        <f>STOCK[[#This Row],[Ganancia Unitaria]]*STOCK[[#This Row],[Salidas]]</f>
        <v>27.999</v>
      </c>
      <c r="Y1672" s="77">
        <v>0</v>
      </c>
      <c r="Z1672" s="90"/>
      <c r="AA1672" s="54">
        <f>STOCK[[#This Row],[Costo total]]*STOCK[[#This Row],[Entradas]]</f>
        <v>3.111</v>
      </c>
      <c r="AB1672" s="54">
        <f>STOCK[[#This Row],[Stock Actual]]*STOCK[[#This Row],[Costo total]]</f>
        <v>0</v>
      </c>
      <c r="AC1672" s="77">
        <v>20.74</v>
      </c>
      <c r="AD1672" s="77"/>
    </row>
    <row r="1673" s="53" customFormat="1" ht="50" customHeight="1" spans="1:30">
      <c r="A1673" s="53" t="s">
        <v>3316</v>
      </c>
      <c r="B1673" s="85"/>
      <c r="C1673" s="53" t="s">
        <v>32</v>
      </c>
      <c r="D1673" s="86" t="s">
        <v>3278</v>
      </c>
      <c r="E1673" s="87" t="s">
        <v>3317</v>
      </c>
      <c r="F1673" s="88" t="s">
        <v>62</v>
      </c>
      <c r="G1673" s="77"/>
      <c r="H1673" s="77">
        <f>STOCK[[#This Row],[Precio Final]]</f>
        <v>17.445</v>
      </c>
      <c r="I1673" s="82">
        <f>STOCK[[#This Row],[Precio Venta Ideal (x1.5)]]</f>
        <v>2.61675</v>
      </c>
      <c r="J1673" s="89">
        <v>2</v>
      </c>
      <c r="K1673" s="80">
        <f>SUMIFS(VENTAS[Cantidad],VENTAS[Código del producto Vendido],STOCK[[#This Row],[Code]])</f>
        <v>0</v>
      </c>
      <c r="L1673" s="80">
        <f>STOCK[[#This Row],[Entradas]]-STOCK[[#This Row],[Salidas]]</f>
        <v>2</v>
      </c>
      <c r="M1673" s="77">
        <f>STOCK[[#This Row],[Precio Final]]*10%</f>
        <v>1.7445</v>
      </c>
      <c r="N1673" s="54">
        <v>0</v>
      </c>
      <c r="O1673" s="77">
        <v>0</v>
      </c>
      <c r="P1673" s="77"/>
      <c r="Q1673" s="77">
        <v>8.38</v>
      </c>
      <c r="R1673" s="80"/>
      <c r="S1673" s="77"/>
      <c r="T1673" s="77">
        <f>STOCK[[#This Row],[Costo Unitario (USD)]]+STOCK[[#This Row],[Costo Envío (USD)]]+STOCK[[#This Row],[Comisión 10%]]</f>
        <v>1.7445</v>
      </c>
      <c r="U1673" s="53">
        <f>STOCK[[#This Row],[Costo total]]*1.5</f>
        <v>2.61675</v>
      </c>
      <c r="V1673" s="53">
        <v>17.445</v>
      </c>
      <c r="W1673" s="77">
        <f>STOCK[[#This Row],[Precio Final]]-STOCK[[#This Row],[Costo total]]</f>
        <v>15.7005</v>
      </c>
      <c r="X1673" s="77">
        <f>STOCK[[#This Row],[Ganancia Unitaria]]*STOCK[[#This Row],[Salidas]]</f>
        <v>0</v>
      </c>
      <c r="Y1673" s="77">
        <v>0</v>
      </c>
      <c r="Z1673" s="90"/>
      <c r="AA1673" s="54">
        <f>STOCK[[#This Row],[Costo total]]*STOCK[[#This Row],[Entradas]]</f>
        <v>3.489</v>
      </c>
      <c r="AB1673" s="54">
        <f>STOCK[[#This Row],[Stock Actual]]*STOCK[[#This Row],[Costo total]]</f>
        <v>3.489</v>
      </c>
      <c r="AC1673" s="77">
        <v>23.26</v>
      </c>
      <c r="AD1673" s="77"/>
    </row>
    <row r="1674" s="53" customFormat="1" ht="50" customHeight="1" spans="1:29">
      <c r="A1674" s="53" t="s">
        <v>3318</v>
      </c>
      <c r="B1674" s="85"/>
      <c r="C1674" s="53" t="s">
        <v>32</v>
      </c>
      <c r="D1674" s="86" t="s">
        <v>3278</v>
      </c>
      <c r="E1674" s="87" t="s">
        <v>3317</v>
      </c>
      <c r="F1674" s="91" t="s">
        <v>49</v>
      </c>
      <c r="H1674" s="77">
        <f>STOCK[[#This Row],[Precio Final]]</f>
        <v>17.445</v>
      </c>
      <c r="I1674" s="82">
        <f>STOCK[[#This Row],[Precio Venta Ideal (x1.5)]]</f>
        <v>2.61675</v>
      </c>
      <c r="J1674" s="92">
        <v>2</v>
      </c>
      <c r="K1674" s="80">
        <f>SUMIFS(VENTAS[Cantidad],VENTAS[Código del producto Vendido],STOCK[[#This Row],[Code]])</f>
        <v>1</v>
      </c>
      <c r="L1674" s="80">
        <f>STOCK[[#This Row],[Entradas]]-STOCK[[#This Row],[Salidas]]</f>
        <v>1</v>
      </c>
      <c r="M1674" s="77">
        <f>STOCK[[#This Row],[Precio Final]]*10%</f>
        <v>1.7445</v>
      </c>
      <c r="N1674" s="54">
        <v>0</v>
      </c>
      <c r="O1674" s="77">
        <v>0</v>
      </c>
      <c r="P1674" s="77"/>
      <c r="Q1674" s="77">
        <v>8.38</v>
      </c>
      <c r="R1674" s="71"/>
      <c r="T1674" s="77">
        <f>STOCK[[#This Row],[Costo Unitario (USD)]]+STOCK[[#This Row],[Costo Envío (USD)]]+STOCK[[#This Row],[Comisión 10%]]</f>
        <v>1.7445</v>
      </c>
      <c r="U1674" s="53">
        <f>STOCK[[#This Row],[Costo total]]*1.5</f>
        <v>2.61675</v>
      </c>
      <c r="V1674" s="53">
        <v>17.445</v>
      </c>
      <c r="W1674" s="77">
        <f>STOCK[[#This Row],[Precio Final]]-STOCK[[#This Row],[Costo total]]</f>
        <v>15.7005</v>
      </c>
      <c r="X1674" s="77">
        <f>STOCK[[#This Row],[Ganancia Unitaria]]*STOCK[[#This Row],[Salidas]]</f>
        <v>15.7005</v>
      </c>
      <c r="Y1674" s="53">
        <v>0</v>
      </c>
      <c r="Z1674" s="93"/>
      <c r="AA1674" s="54">
        <f>STOCK[[#This Row],[Costo total]]*STOCK[[#This Row],[Entradas]]</f>
        <v>3.489</v>
      </c>
      <c r="AB1674" s="54">
        <f>STOCK[[#This Row],[Stock Actual]]*STOCK[[#This Row],[Costo total]]</f>
        <v>1.7445</v>
      </c>
      <c r="AC1674" s="53">
        <v>23.26</v>
      </c>
    </row>
    <row r="1675" s="53" customFormat="1" ht="50" customHeight="1" spans="1:30">
      <c r="A1675" s="53" t="s">
        <v>3319</v>
      </c>
      <c r="B1675" s="85"/>
      <c r="C1675" s="53" t="s">
        <v>32</v>
      </c>
      <c r="D1675" s="86" t="s">
        <v>3278</v>
      </c>
      <c r="E1675" s="87" t="s">
        <v>3317</v>
      </c>
      <c r="F1675" s="88" t="s">
        <v>46</v>
      </c>
      <c r="G1675" s="77"/>
      <c r="H1675" s="77">
        <f>STOCK[[#This Row],[Precio Final]]</f>
        <v>17.445</v>
      </c>
      <c r="I1675" s="82">
        <f>STOCK[[#This Row],[Precio Venta Ideal (x1.5)]]</f>
        <v>2.61675</v>
      </c>
      <c r="J1675" s="89">
        <v>2</v>
      </c>
      <c r="K1675" s="80">
        <f>SUMIFS(VENTAS[Cantidad],VENTAS[Código del producto Vendido],STOCK[[#This Row],[Code]])</f>
        <v>0</v>
      </c>
      <c r="L1675" s="80">
        <f>STOCK[[#This Row],[Entradas]]-STOCK[[#This Row],[Salidas]]</f>
        <v>2</v>
      </c>
      <c r="M1675" s="77">
        <f>STOCK[[#This Row],[Precio Final]]*10%</f>
        <v>1.7445</v>
      </c>
      <c r="N1675" s="54">
        <v>0</v>
      </c>
      <c r="O1675" s="77">
        <v>0</v>
      </c>
      <c r="P1675" s="77"/>
      <c r="Q1675" s="77">
        <v>8.38</v>
      </c>
      <c r="R1675" s="80"/>
      <c r="S1675" s="77"/>
      <c r="T1675" s="77">
        <f>STOCK[[#This Row],[Costo Unitario (USD)]]+STOCK[[#This Row],[Costo Envío (USD)]]+STOCK[[#This Row],[Comisión 10%]]</f>
        <v>1.7445</v>
      </c>
      <c r="U1675" s="53">
        <f>STOCK[[#This Row],[Costo total]]*1.5</f>
        <v>2.61675</v>
      </c>
      <c r="V1675" s="53">
        <v>17.445</v>
      </c>
      <c r="W1675" s="77">
        <f>STOCK[[#This Row],[Precio Final]]-STOCK[[#This Row],[Costo total]]</f>
        <v>15.7005</v>
      </c>
      <c r="X1675" s="77">
        <f>STOCK[[#This Row],[Ganancia Unitaria]]*STOCK[[#This Row],[Salidas]]</f>
        <v>0</v>
      </c>
      <c r="Y1675" s="77">
        <v>0</v>
      </c>
      <c r="Z1675" s="90"/>
      <c r="AA1675" s="54">
        <f>STOCK[[#This Row],[Costo total]]*STOCK[[#This Row],[Entradas]]</f>
        <v>3.489</v>
      </c>
      <c r="AB1675" s="54">
        <f>STOCK[[#This Row],[Stock Actual]]*STOCK[[#This Row],[Costo total]]</f>
        <v>3.489</v>
      </c>
      <c r="AC1675" s="77">
        <v>23.26</v>
      </c>
      <c r="AD1675" s="77"/>
    </row>
    <row r="1676" s="53" customFormat="1" ht="50" customHeight="1" spans="1:30">
      <c r="A1676" s="53" t="s">
        <v>3320</v>
      </c>
      <c r="B1676" s="85"/>
      <c r="C1676" s="53" t="s">
        <v>32</v>
      </c>
      <c r="D1676" s="86" t="s">
        <v>3278</v>
      </c>
      <c r="E1676" s="87" t="s">
        <v>3321</v>
      </c>
      <c r="F1676" s="88" t="s">
        <v>3322</v>
      </c>
      <c r="G1676" s="77"/>
      <c r="H1676" s="77">
        <f>STOCK[[#This Row],[Precio Final]]</f>
        <v>17.655</v>
      </c>
      <c r="I1676" s="82">
        <f>STOCK[[#This Row],[Precio Venta Ideal (x1.5)]]</f>
        <v>2.64825</v>
      </c>
      <c r="J1676" s="89">
        <v>2</v>
      </c>
      <c r="K1676" s="80">
        <f>SUMIFS(VENTAS[Cantidad],VENTAS[Código del producto Vendido],STOCK[[#This Row],[Code]])</f>
        <v>0</v>
      </c>
      <c r="L1676" s="80">
        <f>STOCK[[#This Row],[Entradas]]-STOCK[[#This Row],[Salidas]]</f>
        <v>2</v>
      </c>
      <c r="M1676" s="77">
        <f>STOCK[[#This Row],[Precio Final]]*10%</f>
        <v>1.7655</v>
      </c>
      <c r="N1676" s="54">
        <v>0</v>
      </c>
      <c r="O1676" s="77">
        <v>0</v>
      </c>
      <c r="P1676" s="77"/>
      <c r="Q1676" s="77">
        <v>8.52</v>
      </c>
      <c r="R1676" s="80"/>
      <c r="S1676" s="77"/>
      <c r="T1676" s="77">
        <f>STOCK[[#This Row],[Costo Unitario (USD)]]+STOCK[[#This Row],[Costo Envío (USD)]]+STOCK[[#This Row],[Comisión 10%]]</f>
        <v>1.7655</v>
      </c>
      <c r="U1676" s="53">
        <f>STOCK[[#This Row],[Costo total]]*1.5</f>
        <v>2.64825</v>
      </c>
      <c r="V1676" s="53">
        <v>17.655</v>
      </c>
      <c r="W1676" s="77">
        <f>STOCK[[#This Row],[Precio Final]]-STOCK[[#This Row],[Costo total]]</f>
        <v>15.8895</v>
      </c>
      <c r="X1676" s="77">
        <f>STOCK[[#This Row],[Ganancia Unitaria]]*STOCK[[#This Row],[Salidas]]</f>
        <v>0</v>
      </c>
      <c r="Y1676" s="77">
        <v>0</v>
      </c>
      <c r="Z1676" s="90"/>
      <c r="AA1676" s="54">
        <f>STOCK[[#This Row],[Costo total]]*STOCK[[#This Row],[Entradas]]</f>
        <v>3.531</v>
      </c>
      <c r="AB1676" s="54">
        <f>STOCK[[#This Row],[Stock Actual]]*STOCK[[#This Row],[Costo total]]</f>
        <v>3.531</v>
      </c>
      <c r="AC1676" s="77">
        <v>23.54</v>
      </c>
      <c r="AD1676" s="77"/>
    </row>
    <row r="1677" s="53" customFormat="1" ht="50" customHeight="1" spans="1:30">
      <c r="A1677" s="53" t="s">
        <v>3323</v>
      </c>
      <c r="B1677" s="85"/>
      <c r="C1677" s="53" t="s">
        <v>32</v>
      </c>
      <c r="D1677" s="86" t="s">
        <v>3278</v>
      </c>
      <c r="E1677" s="87" t="s">
        <v>3324</v>
      </c>
      <c r="F1677" s="88" t="s">
        <v>525</v>
      </c>
      <c r="G1677" s="77"/>
      <c r="H1677" s="77">
        <f>STOCK[[#This Row],[Precio Final]]</f>
        <v>8.46</v>
      </c>
      <c r="I1677" s="82">
        <f>STOCK[[#This Row],[Precio Venta Ideal (x1.5)]]</f>
        <v>1.269</v>
      </c>
      <c r="J1677" s="89">
        <v>7</v>
      </c>
      <c r="K1677" s="80">
        <f>SUMIFS(VENTAS[Cantidad],VENTAS[Código del producto Vendido],STOCK[[#This Row],[Code]])</f>
        <v>3</v>
      </c>
      <c r="L1677" s="80">
        <f>STOCK[[#This Row],[Entradas]]-STOCK[[#This Row],[Salidas]]</f>
        <v>4</v>
      </c>
      <c r="M1677" s="77">
        <f>STOCK[[#This Row],[Precio Final]]*10%</f>
        <v>0.846</v>
      </c>
      <c r="N1677" s="54">
        <v>0</v>
      </c>
      <c r="O1677" s="77">
        <v>0</v>
      </c>
      <c r="P1677" s="77"/>
      <c r="Q1677" s="77">
        <v>3.69</v>
      </c>
      <c r="R1677" s="80"/>
      <c r="S1677" s="77"/>
      <c r="T1677" s="77">
        <f>STOCK[[#This Row],[Costo Unitario (USD)]]+STOCK[[#This Row],[Costo Envío (USD)]]+STOCK[[#This Row],[Comisión 10%]]</f>
        <v>0.846</v>
      </c>
      <c r="U1677" s="53">
        <f>STOCK[[#This Row],[Costo total]]*1.5</f>
        <v>1.269</v>
      </c>
      <c r="V1677" s="53">
        <v>8.46</v>
      </c>
      <c r="W1677" s="77">
        <f>STOCK[[#This Row],[Precio Final]]-STOCK[[#This Row],[Costo total]]</f>
        <v>7.614</v>
      </c>
      <c r="X1677" s="77">
        <f>STOCK[[#This Row],[Ganancia Unitaria]]*STOCK[[#This Row],[Salidas]]</f>
        <v>22.842</v>
      </c>
      <c r="Y1677" s="77">
        <v>0</v>
      </c>
      <c r="Z1677" s="90"/>
      <c r="AA1677" s="54">
        <f>STOCK[[#This Row],[Costo total]]*STOCK[[#This Row],[Entradas]]</f>
        <v>5.922</v>
      </c>
      <c r="AB1677" s="54">
        <f>STOCK[[#This Row],[Stock Actual]]*STOCK[[#This Row],[Costo total]]</f>
        <v>3.384</v>
      </c>
      <c r="AC1677" s="77">
        <v>39.48</v>
      </c>
      <c r="AD1677" s="77"/>
    </row>
    <row r="1678" s="53" customFormat="1" ht="50" customHeight="1" spans="1:30">
      <c r="A1678" s="53" t="s">
        <v>3325</v>
      </c>
      <c r="B1678" s="85"/>
      <c r="C1678" s="53" t="s">
        <v>32</v>
      </c>
      <c r="D1678" s="86" t="s">
        <v>3278</v>
      </c>
      <c r="E1678" s="87" t="s">
        <v>3326</v>
      </c>
      <c r="F1678" s="88" t="s">
        <v>525</v>
      </c>
      <c r="G1678" s="77"/>
      <c r="H1678" s="77">
        <f>STOCK[[#This Row],[Precio Final]]</f>
        <v>14.58</v>
      </c>
      <c r="I1678" s="82">
        <f>STOCK[[#This Row],[Precio Venta Ideal (x1.5)]]</f>
        <v>2.187</v>
      </c>
      <c r="J1678" s="89">
        <v>3</v>
      </c>
      <c r="K1678" s="80">
        <f>SUMIFS(VENTAS[Cantidad],VENTAS[Código del producto Vendido],STOCK[[#This Row],[Code]])</f>
        <v>5</v>
      </c>
      <c r="L1678" s="80">
        <f>STOCK[[#This Row],[Entradas]]-STOCK[[#This Row],[Salidas]]</f>
        <v>-2</v>
      </c>
      <c r="M1678" s="77">
        <f>STOCK[[#This Row],[Precio Final]]*10%</f>
        <v>1.458</v>
      </c>
      <c r="N1678" s="54">
        <v>0</v>
      </c>
      <c r="O1678" s="77">
        <v>0</v>
      </c>
      <c r="P1678" s="77"/>
      <c r="Q1678" s="77">
        <v>6.67</v>
      </c>
      <c r="R1678" s="80"/>
      <c r="S1678" s="77"/>
      <c r="T1678" s="77">
        <f>STOCK[[#This Row],[Costo Unitario (USD)]]+STOCK[[#This Row],[Costo Envío (USD)]]+STOCK[[#This Row],[Comisión 10%]]</f>
        <v>1.458</v>
      </c>
      <c r="U1678" s="53">
        <f>STOCK[[#This Row],[Costo total]]*1.5</f>
        <v>2.187</v>
      </c>
      <c r="V1678" s="53">
        <v>14.58</v>
      </c>
      <c r="W1678" s="77">
        <f>STOCK[[#This Row],[Precio Final]]-STOCK[[#This Row],[Costo total]]</f>
        <v>13.122</v>
      </c>
      <c r="X1678" s="77">
        <f>STOCK[[#This Row],[Ganancia Unitaria]]*STOCK[[#This Row],[Salidas]]</f>
        <v>65.61</v>
      </c>
      <c r="Y1678" s="77">
        <v>0</v>
      </c>
      <c r="Z1678" s="90"/>
      <c r="AA1678" s="54">
        <f>STOCK[[#This Row],[Costo total]]*STOCK[[#This Row],[Entradas]]</f>
        <v>4.374</v>
      </c>
      <c r="AB1678" s="54">
        <f>STOCK[[#This Row],[Stock Actual]]*STOCK[[#This Row],[Costo total]]</f>
        <v>-2.916</v>
      </c>
      <c r="AC1678" s="77">
        <v>29.16</v>
      </c>
      <c r="AD1678" s="77"/>
    </row>
    <row r="1679" s="53" customFormat="1" ht="50" customHeight="1" spans="1:30">
      <c r="A1679" s="53" t="s">
        <v>3327</v>
      </c>
      <c r="B1679" s="85"/>
      <c r="C1679" s="53" t="s">
        <v>32</v>
      </c>
      <c r="D1679" s="86" t="s">
        <v>3278</v>
      </c>
      <c r="E1679" s="87" t="s">
        <v>3328</v>
      </c>
      <c r="F1679" s="88" t="s">
        <v>525</v>
      </c>
      <c r="G1679" s="77"/>
      <c r="H1679" s="77">
        <f>STOCK[[#This Row],[Precio Final]]</f>
        <v>4.5</v>
      </c>
      <c r="I1679" s="82">
        <f>STOCK[[#This Row],[Precio Venta Ideal (x1.5)]]</f>
        <v>0.675</v>
      </c>
      <c r="J1679" s="89">
        <v>8</v>
      </c>
      <c r="K1679" s="80">
        <f>SUMIFS(VENTAS[Cantidad],VENTAS[Código del producto Vendido],STOCK[[#This Row],[Code]])</f>
        <v>11</v>
      </c>
      <c r="L1679" s="80">
        <f>STOCK[[#This Row],[Entradas]]-STOCK[[#This Row],[Salidas]]</f>
        <v>-3</v>
      </c>
      <c r="M1679" s="77">
        <f>STOCK[[#This Row],[Precio Final]]*10%</f>
        <v>0.45</v>
      </c>
      <c r="N1679" s="54">
        <v>0</v>
      </c>
      <c r="O1679" s="77">
        <v>0</v>
      </c>
      <c r="P1679" s="77"/>
      <c r="Q1679" s="77">
        <v>1.25</v>
      </c>
      <c r="R1679" s="80"/>
      <c r="S1679" s="77"/>
      <c r="T1679" s="77">
        <f>STOCK[[#This Row],[Costo Unitario (USD)]]+STOCK[[#This Row],[Costo Envío (USD)]]+STOCK[[#This Row],[Comisión 10%]]</f>
        <v>0.45</v>
      </c>
      <c r="U1679" s="53">
        <f>STOCK[[#This Row],[Costo total]]*1.5</f>
        <v>0.675</v>
      </c>
      <c r="V1679" s="53">
        <v>4.5</v>
      </c>
      <c r="W1679" s="77">
        <f>STOCK[[#This Row],[Precio Final]]-STOCK[[#This Row],[Costo total]]</f>
        <v>4.05</v>
      </c>
      <c r="X1679" s="77">
        <f>STOCK[[#This Row],[Ganancia Unitaria]]*STOCK[[#This Row],[Salidas]]</f>
        <v>44.55</v>
      </c>
      <c r="Y1679" s="77">
        <v>0</v>
      </c>
      <c r="Z1679" s="90"/>
      <c r="AA1679" s="54">
        <f>STOCK[[#This Row],[Costo total]]*STOCK[[#This Row],[Entradas]]</f>
        <v>3.6</v>
      </c>
      <c r="AB1679" s="54">
        <f>STOCK[[#This Row],[Stock Actual]]*STOCK[[#This Row],[Costo total]]</f>
        <v>-1.35</v>
      </c>
      <c r="AC1679" s="77">
        <v>24</v>
      </c>
      <c r="AD1679" s="77"/>
    </row>
    <row r="1680" s="53" customFormat="1" ht="50" customHeight="1" spans="1:30">
      <c r="A1680" s="53" t="s">
        <v>3329</v>
      </c>
      <c r="B1680" s="85"/>
      <c r="C1680" s="53" t="s">
        <v>32</v>
      </c>
      <c r="D1680" s="86" t="s">
        <v>3278</v>
      </c>
      <c r="E1680" s="87" t="s">
        <v>3330</v>
      </c>
      <c r="F1680" s="88" t="s">
        <v>2108</v>
      </c>
      <c r="G1680" s="77"/>
      <c r="H1680" s="77">
        <f>STOCK[[#This Row],[Precio Final]]</f>
        <v>6.405</v>
      </c>
      <c r="I1680" s="82">
        <f>STOCK[[#This Row],[Precio Venta Ideal (x1.5)]]</f>
        <v>0.96075</v>
      </c>
      <c r="J1680" s="89">
        <v>0</v>
      </c>
      <c r="K1680" s="80">
        <f>SUMIFS(VENTAS[Cantidad],VENTAS[Código del producto Vendido],STOCK[[#This Row],[Code]])</f>
        <v>0</v>
      </c>
      <c r="L1680" s="80">
        <f>STOCK[[#This Row],[Entradas]]-STOCK[[#This Row],[Salidas]]</f>
        <v>0</v>
      </c>
      <c r="M1680" s="77">
        <f>STOCK[[#This Row],[Precio Final]]*10%</f>
        <v>0.6405</v>
      </c>
      <c r="N1680" s="54">
        <v>0</v>
      </c>
      <c r="O1680" s="77">
        <v>0</v>
      </c>
      <c r="P1680" s="77"/>
      <c r="Q1680" s="77">
        <v>3.22</v>
      </c>
      <c r="R1680" s="80"/>
      <c r="S1680" s="77"/>
      <c r="T1680" s="77">
        <f>STOCK[[#This Row],[Costo Unitario (USD)]]+STOCK[[#This Row],[Costo Envío (USD)]]+STOCK[[#This Row],[Comisión 10%]]</f>
        <v>0.6405</v>
      </c>
      <c r="U1680" s="53">
        <f>STOCK[[#This Row],[Costo total]]*1.5</f>
        <v>0.96075</v>
      </c>
      <c r="V1680" s="53">
        <v>6.405</v>
      </c>
      <c r="W1680" s="77">
        <f>STOCK[[#This Row],[Precio Final]]-STOCK[[#This Row],[Costo total]]</f>
        <v>5.7645</v>
      </c>
      <c r="X1680" s="77">
        <f>STOCK[[#This Row],[Ganancia Unitaria]]*STOCK[[#This Row],[Salidas]]</f>
        <v>0</v>
      </c>
      <c r="Y1680" s="77">
        <v>0</v>
      </c>
      <c r="Z1680" s="90"/>
      <c r="AA1680" s="54">
        <f>STOCK[[#This Row],[Costo total]]*STOCK[[#This Row],[Entradas]]</f>
        <v>0</v>
      </c>
      <c r="AB1680" s="54">
        <f>STOCK[[#This Row],[Stock Actual]]*STOCK[[#This Row],[Costo total]]</f>
        <v>0</v>
      </c>
      <c r="AC1680" s="77">
        <v>0</v>
      </c>
      <c r="AD1680" s="77"/>
    </row>
    <row r="1681" s="53" customFormat="1" ht="50" customHeight="1" spans="1:30">
      <c r="A1681" s="53" t="s">
        <v>3331</v>
      </c>
      <c r="B1681" s="85"/>
      <c r="C1681" s="53" t="s">
        <v>32</v>
      </c>
      <c r="D1681" s="86" t="s">
        <v>3278</v>
      </c>
      <c r="E1681" s="87" t="s">
        <v>3332</v>
      </c>
      <c r="F1681" s="88" t="s">
        <v>3333</v>
      </c>
      <c r="G1681" s="77"/>
      <c r="H1681" s="77">
        <f>STOCK[[#This Row],[Precio Final]]</f>
        <v>4.74</v>
      </c>
      <c r="I1681" s="82">
        <f>STOCK[[#This Row],[Precio Venta Ideal (x1.5)]]</f>
        <v>0.711</v>
      </c>
      <c r="J1681" s="89">
        <v>8</v>
      </c>
      <c r="K1681" s="80">
        <f>SUMIFS(VENTAS[Cantidad],VENTAS[Código del producto Vendido],STOCK[[#This Row],[Code]])</f>
        <v>0</v>
      </c>
      <c r="L1681" s="80">
        <f>STOCK[[#This Row],[Entradas]]-STOCK[[#This Row],[Salidas]]</f>
        <v>8</v>
      </c>
      <c r="M1681" s="77">
        <f>STOCK[[#This Row],[Precio Final]]*10%</f>
        <v>0.474</v>
      </c>
      <c r="N1681" s="54">
        <v>0</v>
      </c>
      <c r="O1681" s="77">
        <v>0</v>
      </c>
      <c r="P1681" s="77"/>
      <c r="Q1681" s="77">
        <v>1.61</v>
      </c>
      <c r="R1681" s="80"/>
      <c r="S1681" s="77"/>
      <c r="T1681" s="77">
        <f>STOCK[[#This Row],[Costo Unitario (USD)]]+STOCK[[#This Row],[Costo Envío (USD)]]+STOCK[[#This Row],[Comisión 10%]]</f>
        <v>0.474</v>
      </c>
      <c r="U1681" s="53">
        <f>STOCK[[#This Row],[Costo total]]*1.5</f>
        <v>0.711</v>
      </c>
      <c r="V1681" s="53">
        <v>4.74</v>
      </c>
      <c r="W1681" s="77">
        <f>STOCK[[#This Row],[Precio Final]]-STOCK[[#This Row],[Costo total]]</f>
        <v>4.266</v>
      </c>
      <c r="X1681" s="77">
        <f>STOCK[[#This Row],[Ganancia Unitaria]]*STOCK[[#This Row],[Salidas]]</f>
        <v>0</v>
      </c>
      <c r="Y1681" s="77">
        <v>0</v>
      </c>
      <c r="Z1681" s="90"/>
      <c r="AA1681" s="54">
        <f>STOCK[[#This Row],[Costo total]]*STOCK[[#This Row],[Entradas]]</f>
        <v>3.792</v>
      </c>
      <c r="AB1681" s="54">
        <f>STOCK[[#This Row],[Stock Actual]]*STOCK[[#This Row],[Costo total]]</f>
        <v>3.792</v>
      </c>
      <c r="AC1681" s="77">
        <v>25.28</v>
      </c>
      <c r="AD1681" s="77"/>
    </row>
    <row r="1682" s="53" customFormat="1" ht="50" customHeight="1" spans="1:30">
      <c r="A1682" s="53" t="s">
        <v>3334</v>
      </c>
      <c r="B1682" s="85"/>
      <c r="C1682" s="53" t="s">
        <v>32</v>
      </c>
      <c r="D1682" s="86" t="s">
        <v>3278</v>
      </c>
      <c r="E1682" s="87" t="s">
        <v>3335</v>
      </c>
      <c r="F1682" s="88" t="s">
        <v>3336</v>
      </c>
      <c r="G1682" s="77"/>
      <c r="H1682" s="77">
        <f>STOCK[[#This Row],[Precio Final]]</f>
        <v>3.6</v>
      </c>
      <c r="I1682" s="82">
        <f>STOCK[[#This Row],[Precio Venta Ideal (x1.5)]]</f>
        <v>0.54</v>
      </c>
      <c r="J1682" s="89">
        <v>5</v>
      </c>
      <c r="K1682" s="80">
        <f>SUMIFS(VENTAS[Cantidad],VENTAS[Código del producto Vendido],STOCK[[#This Row],[Code]])</f>
        <v>5</v>
      </c>
      <c r="L1682" s="80">
        <f>STOCK[[#This Row],[Entradas]]-STOCK[[#This Row],[Salidas]]</f>
        <v>0</v>
      </c>
      <c r="M1682" s="77">
        <f>STOCK[[#This Row],[Precio Final]]*10%</f>
        <v>0.36</v>
      </c>
      <c r="N1682" s="54">
        <v>0</v>
      </c>
      <c r="O1682" s="77">
        <v>0</v>
      </c>
      <c r="P1682" s="77"/>
      <c r="Q1682" s="77">
        <v>0.85</v>
      </c>
      <c r="R1682" s="80"/>
      <c r="S1682" s="77"/>
      <c r="T1682" s="77">
        <f>STOCK[[#This Row],[Costo Unitario (USD)]]+STOCK[[#This Row],[Costo Envío (USD)]]+STOCK[[#This Row],[Comisión 10%]]</f>
        <v>0.36</v>
      </c>
      <c r="U1682" s="53">
        <f>STOCK[[#This Row],[Costo total]]*1.5</f>
        <v>0.54</v>
      </c>
      <c r="V1682" s="53">
        <v>3.6</v>
      </c>
      <c r="W1682" s="77">
        <f>STOCK[[#This Row],[Precio Final]]-STOCK[[#This Row],[Costo total]]</f>
        <v>3.24</v>
      </c>
      <c r="X1682" s="77">
        <f>STOCK[[#This Row],[Ganancia Unitaria]]*STOCK[[#This Row],[Salidas]]</f>
        <v>16.2</v>
      </c>
      <c r="Y1682" s="77">
        <v>0</v>
      </c>
      <c r="Z1682" s="90"/>
      <c r="AA1682" s="54">
        <f>STOCK[[#This Row],[Costo total]]*STOCK[[#This Row],[Entradas]]</f>
        <v>1.8</v>
      </c>
      <c r="AB1682" s="54">
        <f>STOCK[[#This Row],[Stock Actual]]*STOCK[[#This Row],[Costo total]]</f>
        <v>0</v>
      </c>
      <c r="AC1682" s="77">
        <v>12</v>
      </c>
      <c r="AD1682" s="77"/>
    </row>
    <row r="1683" s="53" customFormat="1" ht="50" customHeight="1" spans="1:30">
      <c r="A1683" s="53" t="s">
        <v>3337</v>
      </c>
      <c r="B1683" s="85"/>
      <c r="C1683" s="53" t="s">
        <v>32</v>
      </c>
      <c r="D1683" s="86" t="s">
        <v>3278</v>
      </c>
      <c r="E1683" s="87" t="s">
        <v>3338</v>
      </c>
      <c r="F1683" s="88" t="s">
        <v>3339</v>
      </c>
      <c r="G1683" s="77"/>
      <c r="H1683" s="77">
        <f>STOCK[[#This Row],[Precio Final]]</f>
        <v>8.67</v>
      </c>
      <c r="I1683" s="82">
        <f>STOCK[[#This Row],[Precio Venta Ideal (x1.5)]]</f>
        <v>1.3005</v>
      </c>
      <c r="J1683" s="89">
        <v>0</v>
      </c>
      <c r="K1683" s="80">
        <f>SUMIFS(VENTAS[Cantidad],VENTAS[Código del producto Vendido],STOCK[[#This Row],[Code]])</f>
        <v>0</v>
      </c>
      <c r="L1683" s="80">
        <f>STOCK[[#This Row],[Entradas]]-STOCK[[#This Row],[Salidas]]</f>
        <v>0</v>
      </c>
      <c r="M1683" s="77">
        <f>STOCK[[#This Row],[Precio Final]]*10%</f>
        <v>0.867</v>
      </c>
      <c r="N1683" s="54">
        <v>0</v>
      </c>
      <c r="O1683" s="77">
        <v>0</v>
      </c>
      <c r="P1683" s="77"/>
      <c r="Q1683" s="77">
        <v>4.73</v>
      </c>
      <c r="R1683" s="80"/>
      <c r="S1683" s="77"/>
      <c r="T1683" s="77">
        <f>STOCK[[#This Row],[Costo Unitario (USD)]]+STOCK[[#This Row],[Costo Envío (USD)]]+STOCK[[#This Row],[Comisión 10%]]</f>
        <v>0.867</v>
      </c>
      <c r="U1683" s="53">
        <f>STOCK[[#This Row],[Costo total]]*1.5</f>
        <v>1.3005</v>
      </c>
      <c r="V1683" s="53">
        <v>8.67</v>
      </c>
      <c r="W1683" s="77">
        <f>STOCK[[#This Row],[Precio Final]]-STOCK[[#This Row],[Costo total]]</f>
        <v>7.803</v>
      </c>
      <c r="X1683" s="77">
        <f>STOCK[[#This Row],[Ganancia Unitaria]]*STOCK[[#This Row],[Salidas]]</f>
        <v>0</v>
      </c>
      <c r="Y1683" s="77">
        <v>0</v>
      </c>
      <c r="Z1683" s="90"/>
      <c r="AA1683" s="54">
        <f>STOCK[[#This Row],[Costo total]]*STOCK[[#This Row],[Entradas]]</f>
        <v>0</v>
      </c>
      <c r="AB1683" s="54">
        <f>STOCK[[#This Row],[Stock Actual]]*STOCK[[#This Row],[Costo total]]</f>
        <v>0</v>
      </c>
      <c r="AC1683" s="77">
        <v>0</v>
      </c>
      <c r="AD1683" s="77"/>
    </row>
    <row r="1684" s="53" customFormat="1" ht="50" customHeight="1" spans="1:30">
      <c r="A1684" s="53" t="s">
        <v>3340</v>
      </c>
      <c r="B1684" s="85"/>
      <c r="C1684" s="53" t="s">
        <v>32</v>
      </c>
      <c r="D1684" s="86" t="s">
        <v>3278</v>
      </c>
      <c r="E1684" s="87" t="s">
        <v>3341</v>
      </c>
      <c r="F1684" s="88" t="s">
        <v>62</v>
      </c>
      <c r="G1684" s="77"/>
      <c r="H1684" s="77">
        <f>STOCK[[#This Row],[Precio Final]]</f>
        <v>19.755</v>
      </c>
      <c r="I1684" s="82">
        <f>STOCK[[#This Row],[Precio Venta Ideal (x1.5)]]</f>
        <v>2.96325</v>
      </c>
      <c r="J1684" s="89">
        <v>1</v>
      </c>
      <c r="K1684" s="80">
        <f>SUMIFS(VENTAS[Cantidad],VENTAS[Código del producto Vendido],STOCK[[#This Row],[Code]])</f>
        <v>1</v>
      </c>
      <c r="L1684" s="80">
        <f>STOCK[[#This Row],[Entradas]]-STOCK[[#This Row],[Salidas]]</f>
        <v>0</v>
      </c>
      <c r="M1684" s="77">
        <f>STOCK[[#This Row],[Precio Final]]*10%</f>
        <v>1.9755</v>
      </c>
      <c r="N1684" s="54">
        <v>0</v>
      </c>
      <c r="O1684" s="77">
        <v>0</v>
      </c>
      <c r="P1684" s="77"/>
      <c r="Q1684" s="77">
        <v>9.62</v>
      </c>
      <c r="R1684" s="80"/>
      <c r="S1684" s="77"/>
      <c r="T1684" s="77">
        <f>STOCK[[#This Row],[Costo Unitario (USD)]]+STOCK[[#This Row],[Costo Envío (USD)]]+STOCK[[#This Row],[Comisión 10%]]</f>
        <v>1.9755</v>
      </c>
      <c r="U1684" s="53">
        <f>STOCK[[#This Row],[Costo total]]*1.5</f>
        <v>2.96325</v>
      </c>
      <c r="V1684" s="53">
        <v>19.755</v>
      </c>
      <c r="W1684" s="77">
        <f>STOCK[[#This Row],[Precio Final]]-STOCK[[#This Row],[Costo total]]</f>
        <v>17.7795</v>
      </c>
      <c r="X1684" s="77">
        <f>STOCK[[#This Row],[Ganancia Unitaria]]*STOCK[[#This Row],[Salidas]]</f>
        <v>17.7795</v>
      </c>
      <c r="Y1684" s="77">
        <v>0</v>
      </c>
      <c r="Z1684" s="90"/>
      <c r="AA1684" s="54">
        <f>STOCK[[#This Row],[Costo total]]*STOCK[[#This Row],[Entradas]]</f>
        <v>1.9755</v>
      </c>
      <c r="AB1684" s="54">
        <f>STOCK[[#This Row],[Stock Actual]]*STOCK[[#This Row],[Costo total]]</f>
        <v>0</v>
      </c>
      <c r="AC1684" s="77">
        <v>13.17</v>
      </c>
      <c r="AD1684" s="77"/>
    </row>
    <row r="1685" s="53" customFormat="1" ht="50" customHeight="1" spans="1:30">
      <c r="A1685" s="53" t="s">
        <v>3342</v>
      </c>
      <c r="B1685" s="85"/>
      <c r="C1685" s="53" t="s">
        <v>32</v>
      </c>
      <c r="D1685" s="86" t="s">
        <v>3278</v>
      </c>
      <c r="E1685" s="87" t="s">
        <v>3341</v>
      </c>
      <c r="F1685" s="88" t="s">
        <v>49</v>
      </c>
      <c r="G1685" s="77"/>
      <c r="H1685" s="77">
        <f>STOCK[[#This Row],[Precio Final]]</f>
        <v>19.755</v>
      </c>
      <c r="I1685" s="82">
        <f>STOCK[[#This Row],[Precio Venta Ideal (x1.5)]]</f>
        <v>2.96325</v>
      </c>
      <c r="J1685" s="89">
        <v>1</v>
      </c>
      <c r="K1685" s="80">
        <f>SUMIFS(VENTAS[Cantidad],VENTAS[Código del producto Vendido],STOCK[[#This Row],[Code]])</f>
        <v>1</v>
      </c>
      <c r="L1685" s="80">
        <f>STOCK[[#This Row],[Entradas]]-STOCK[[#This Row],[Salidas]]</f>
        <v>0</v>
      </c>
      <c r="M1685" s="77">
        <f>STOCK[[#This Row],[Precio Final]]*10%</f>
        <v>1.9755</v>
      </c>
      <c r="N1685" s="54">
        <v>0</v>
      </c>
      <c r="O1685" s="77">
        <v>0</v>
      </c>
      <c r="P1685" s="77"/>
      <c r="Q1685" s="77">
        <v>9.62</v>
      </c>
      <c r="R1685" s="80"/>
      <c r="S1685" s="77"/>
      <c r="T1685" s="77">
        <f>STOCK[[#This Row],[Costo Unitario (USD)]]+STOCK[[#This Row],[Costo Envío (USD)]]+STOCK[[#This Row],[Comisión 10%]]</f>
        <v>1.9755</v>
      </c>
      <c r="U1685" s="53">
        <f>STOCK[[#This Row],[Costo total]]*1.5</f>
        <v>2.96325</v>
      </c>
      <c r="V1685" s="53">
        <v>19.755</v>
      </c>
      <c r="W1685" s="77">
        <f>STOCK[[#This Row],[Precio Final]]-STOCK[[#This Row],[Costo total]]</f>
        <v>17.7795</v>
      </c>
      <c r="X1685" s="77">
        <f>STOCK[[#This Row],[Ganancia Unitaria]]*STOCK[[#This Row],[Salidas]]</f>
        <v>17.7795</v>
      </c>
      <c r="Y1685" s="77">
        <v>0</v>
      </c>
      <c r="Z1685" s="90"/>
      <c r="AA1685" s="54">
        <f>STOCK[[#This Row],[Costo total]]*STOCK[[#This Row],[Entradas]]</f>
        <v>1.9755</v>
      </c>
      <c r="AB1685" s="54">
        <f>STOCK[[#This Row],[Stock Actual]]*STOCK[[#This Row],[Costo total]]</f>
        <v>0</v>
      </c>
      <c r="AC1685" s="77">
        <v>13.17</v>
      </c>
      <c r="AD1685" s="77"/>
    </row>
    <row r="1686" s="53" customFormat="1" ht="50" customHeight="1" spans="1:30">
      <c r="A1686" s="53" t="s">
        <v>3343</v>
      </c>
      <c r="B1686" s="85"/>
      <c r="C1686" s="53" t="s">
        <v>32</v>
      </c>
      <c r="D1686" s="86" t="s">
        <v>3278</v>
      </c>
      <c r="E1686" s="87" t="s">
        <v>3344</v>
      </c>
      <c r="F1686" s="88" t="s">
        <v>49</v>
      </c>
      <c r="G1686" s="77"/>
      <c r="H1686" s="77">
        <f>STOCK[[#This Row],[Precio Final]]</f>
        <v>17.91</v>
      </c>
      <c r="I1686" s="82">
        <f>STOCK[[#This Row],[Precio Venta Ideal (x1.5)]]</f>
        <v>2.6865</v>
      </c>
      <c r="J1686" s="89">
        <v>2</v>
      </c>
      <c r="K1686" s="80">
        <f>SUMIFS(VENTAS[Cantidad],VENTAS[Código del producto Vendido],STOCK[[#This Row],[Code]])</f>
        <v>2</v>
      </c>
      <c r="L1686" s="80">
        <f>STOCK[[#This Row],[Entradas]]-STOCK[[#This Row],[Salidas]]</f>
        <v>0</v>
      </c>
      <c r="M1686" s="77">
        <f>STOCK[[#This Row],[Precio Final]]*10%</f>
        <v>1.791</v>
      </c>
      <c r="N1686" s="54">
        <v>0</v>
      </c>
      <c r="O1686" s="77">
        <v>0</v>
      </c>
      <c r="P1686" s="77"/>
      <c r="Q1686" s="77">
        <v>8.39</v>
      </c>
      <c r="R1686" s="80"/>
      <c r="S1686" s="77"/>
      <c r="T1686" s="77">
        <f>STOCK[[#This Row],[Costo Unitario (USD)]]+STOCK[[#This Row],[Costo Envío (USD)]]+STOCK[[#This Row],[Comisión 10%]]</f>
        <v>1.791</v>
      </c>
      <c r="U1686" s="53">
        <f>STOCK[[#This Row],[Costo total]]*1.5</f>
        <v>2.6865</v>
      </c>
      <c r="V1686" s="53">
        <v>17.91</v>
      </c>
      <c r="W1686" s="77">
        <f>STOCK[[#This Row],[Precio Final]]-STOCK[[#This Row],[Costo total]]</f>
        <v>16.119</v>
      </c>
      <c r="X1686" s="77">
        <f>STOCK[[#This Row],[Ganancia Unitaria]]*STOCK[[#This Row],[Salidas]]</f>
        <v>32.238</v>
      </c>
      <c r="Y1686" s="77">
        <v>0</v>
      </c>
      <c r="Z1686" s="90"/>
      <c r="AA1686" s="54">
        <f>STOCK[[#This Row],[Costo total]]*STOCK[[#This Row],[Entradas]]</f>
        <v>3.582</v>
      </c>
      <c r="AB1686" s="54">
        <f>STOCK[[#This Row],[Stock Actual]]*STOCK[[#This Row],[Costo total]]</f>
        <v>0</v>
      </c>
      <c r="AC1686" s="77">
        <v>23.88</v>
      </c>
      <c r="AD1686" s="77"/>
    </row>
    <row r="1687" s="53" customFormat="1" ht="50" customHeight="1" spans="1:30">
      <c r="A1687" s="53" t="s">
        <v>3345</v>
      </c>
      <c r="B1687" s="85"/>
      <c r="C1687" s="53" t="s">
        <v>32</v>
      </c>
      <c r="D1687" s="86" t="s">
        <v>3278</v>
      </c>
      <c r="E1687" s="87" t="s">
        <v>3344</v>
      </c>
      <c r="F1687" s="88" t="s">
        <v>46</v>
      </c>
      <c r="G1687" s="77"/>
      <c r="H1687" s="77">
        <f>STOCK[[#This Row],[Precio Final]]</f>
        <v>17.91</v>
      </c>
      <c r="I1687" s="82">
        <f>STOCK[[#This Row],[Precio Venta Ideal (x1.5)]]</f>
        <v>2.6865</v>
      </c>
      <c r="J1687" s="89">
        <v>1</v>
      </c>
      <c r="K1687" s="80">
        <f>SUMIFS(VENTAS[Cantidad],VENTAS[Código del producto Vendido],STOCK[[#This Row],[Code]])</f>
        <v>0</v>
      </c>
      <c r="L1687" s="80">
        <f>STOCK[[#This Row],[Entradas]]-STOCK[[#This Row],[Salidas]]</f>
        <v>1</v>
      </c>
      <c r="M1687" s="77">
        <f>STOCK[[#This Row],[Precio Final]]*10%</f>
        <v>1.791</v>
      </c>
      <c r="N1687" s="54">
        <v>0</v>
      </c>
      <c r="O1687" s="77">
        <v>0</v>
      </c>
      <c r="P1687" s="77"/>
      <c r="Q1687" s="77">
        <v>8.39</v>
      </c>
      <c r="R1687" s="80"/>
      <c r="S1687" s="77"/>
      <c r="T1687" s="77">
        <f>STOCK[[#This Row],[Costo Unitario (USD)]]+STOCK[[#This Row],[Costo Envío (USD)]]+STOCK[[#This Row],[Comisión 10%]]</f>
        <v>1.791</v>
      </c>
      <c r="U1687" s="53">
        <f>STOCK[[#This Row],[Costo total]]*1.5</f>
        <v>2.6865</v>
      </c>
      <c r="V1687" s="53">
        <v>17.91</v>
      </c>
      <c r="W1687" s="77">
        <f>STOCK[[#This Row],[Precio Final]]-STOCK[[#This Row],[Costo total]]</f>
        <v>16.119</v>
      </c>
      <c r="X1687" s="77">
        <f>STOCK[[#This Row],[Ganancia Unitaria]]*STOCK[[#This Row],[Salidas]]</f>
        <v>0</v>
      </c>
      <c r="Y1687" s="77">
        <v>0</v>
      </c>
      <c r="Z1687" s="90"/>
      <c r="AA1687" s="54">
        <f>STOCK[[#This Row],[Costo total]]*STOCK[[#This Row],[Entradas]]</f>
        <v>1.791</v>
      </c>
      <c r="AB1687" s="54">
        <f>STOCK[[#This Row],[Stock Actual]]*STOCK[[#This Row],[Costo total]]</f>
        <v>1.791</v>
      </c>
      <c r="AC1687" s="77">
        <v>11.94</v>
      </c>
      <c r="AD1687" s="77"/>
    </row>
    <row r="1688" s="53" customFormat="1" ht="50" customHeight="1" spans="1:30">
      <c r="A1688" s="53" t="s">
        <v>3346</v>
      </c>
      <c r="B1688" s="85"/>
      <c r="C1688" s="53" t="s">
        <v>32</v>
      </c>
      <c r="D1688" s="86" t="s">
        <v>3278</v>
      </c>
      <c r="E1688" s="87" t="s">
        <v>3347</v>
      </c>
      <c r="F1688" s="88" t="s">
        <v>62</v>
      </c>
      <c r="G1688" s="77"/>
      <c r="H1688" s="77">
        <f>STOCK[[#This Row],[Precio Final]]</f>
        <v>20.205</v>
      </c>
      <c r="I1688" s="82">
        <f>STOCK[[#This Row],[Precio Venta Ideal (x1.5)]]</f>
        <v>3.03075</v>
      </c>
      <c r="J1688" s="89">
        <v>2</v>
      </c>
      <c r="K1688" s="80">
        <f>SUMIFS(VENTAS[Cantidad],VENTAS[Código del producto Vendido],STOCK[[#This Row],[Code]])</f>
        <v>2</v>
      </c>
      <c r="L1688" s="80">
        <f>STOCK[[#This Row],[Entradas]]-STOCK[[#This Row],[Salidas]]</f>
        <v>0</v>
      </c>
      <c r="M1688" s="77">
        <f>STOCK[[#This Row],[Precio Final]]*10%</f>
        <v>2.0205</v>
      </c>
      <c r="N1688" s="54">
        <v>0</v>
      </c>
      <c r="O1688" s="77">
        <v>0</v>
      </c>
      <c r="P1688" s="77"/>
      <c r="Q1688" s="77">
        <v>9.92</v>
      </c>
      <c r="R1688" s="80"/>
      <c r="S1688" s="77"/>
      <c r="T1688" s="77">
        <f>STOCK[[#This Row],[Costo Unitario (USD)]]+STOCK[[#This Row],[Costo Envío (USD)]]+STOCK[[#This Row],[Comisión 10%]]</f>
        <v>2.0205</v>
      </c>
      <c r="U1688" s="53">
        <f>STOCK[[#This Row],[Costo total]]*1.5</f>
        <v>3.03075</v>
      </c>
      <c r="V1688" s="53">
        <v>20.205</v>
      </c>
      <c r="W1688" s="77">
        <f>STOCK[[#This Row],[Precio Final]]-STOCK[[#This Row],[Costo total]]</f>
        <v>18.1845</v>
      </c>
      <c r="X1688" s="77">
        <f>STOCK[[#This Row],[Ganancia Unitaria]]*STOCK[[#This Row],[Salidas]]</f>
        <v>36.369</v>
      </c>
      <c r="Y1688" s="77">
        <v>0</v>
      </c>
      <c r="Z1688" s="90"/>
      <c r="AA1688" s="54">
        <f>STOCK[[#This Row],[Costo total]]*STOCK[[#This Row],[Entradas]]</f>
        <v>4.041</v>
      </c>
      <c r="AB1688" s="54">
        <f>STOCK[[#This Row],[Stock Actual]]*STOCK[[#This Row],[Costo total]]</f>
        <v>0</v>
      </c>
      <c r="AC1688" s="77">
        <v>26.94</v>
      </c>
      <c r="AD1688" s="77"/>
    </row>
    <row r="1689" s="53" customFormat="1" ht="50" customHeight="1" spans="1:30">
      <c r="A1689" s="53" t="s">
        <v>3348</v>
      </c>
      <c r="B1689" s="85"/>
      <c r="C1689" s="53" t="s">
        <v>32</v>
      </c>
      <c r="D1689" s="86" t="s">
        <v>3278</v>
      </c>
      <c r="E1689" s="87" t="s">
        <v>3347</v>
      </c>
      <c r="F1689" s="88" t="s">
        <v>49</v>
      </c>
      <c r="G1689" s="77"/>
      <c r="H1689" s="77">
        <f>STOCK[[#This Row],[Precio Final]]</f>
        <v>20.205</v>
      </c>
      <c r="I1689" s="82">
        <f>STOCK[[#This Row],[Precio Venta Ideal (x1.5)]]</f>
        <v>3.03075</v>
      </c>
      <c r="J1689" s="89">
        <v>2</v>
      </c>
      <c r="K1689" s="80">
        <f>SUMIFS(VENTAS[Cantidad],VENTAS[Código del producto Vendido],STOCK[[#This Row],[Code]])</f>
        <v>2</v>
      </c>
      <c r="L1689" s="80">
        <f>STOCK[[#This Row],[Entradas]]-STOCK[[#This Row],[Salidas]]</f>
        <v>0</v>
      </c>
      <c r="M1689" s="77">
        <f>STOCK[[#This Row],[Precio Final]]*10%</f>
        <v>2.0205</v>
      </c>
      <c r="N1689" s="54">
        <v>0</v>
      </c>
      <c r="O1689" s="77">
        <v>0</v>
      </c>
      <c r="P1689" s="77"/>
      <c r="Q1689" s="77">
        <v>9.92</v>
      </c>
      <c r="R1689" s="80"/>
      <c r="S1689" s="77"/>
      <c r="T1689" s="77">
        <f>STOCK[[#This Row],[Costo Unitario (USD)]]+STOCK[[#This Row],[Costo Envío (USD)]]+STOCK[[#This Row],[Comisión 10%]]</f>
        <v>2.0205</v>
      </c>
      <c r="U1689" s="53">
        <f>STOCK[[#This Row],[Costo total]]*1.5</f>
        <v>3.03075</v>
      </c>
      <c r="V1689" s="53">
        <v>20.205</v>
      </c>
      <c r="W1689" s="77">
        <f>STOCK[[#This Row],[Precio Final]]-STOCK[[#This Row],[Costo total]]</f>
        <v>18.1845</v>
      </c>
      <c r="X1689" s="77">
        <f>STOCK[[#This Row],[Ganancia Unitaria]]*STOCK[[#This Row],[Salidas]]</f>
        <v>36.369</v>
      </c>
      <c r="Y1689" s="77">
        <v>0</v>
      </c>
      <c r="Z1689" s="90"/>
      <c r="AA1689" s="54">
        <f>STOCK[[#This Row],[Costo total]]*STOCK[[#This Row],[Entradas]]</f>
        <v>4.041</v>
      </c>
      <c r="AB1689" s="54">
        <f>STOCK[[#This Row],[Stock Actual]]*STOCK[[#This Row],[Costo total]]</f>
        <v>0</v>
      </c>
      <c r="AC1689" s="77">
        <v>26.94</v>
      </c>
      <c r="AD1689" s="77"/>
    </row>
    <row r="1690" s="53" customFormat="1" ht="50" customHeight="1" spans="1:30">
      <c r="A1690" s="53" t="s">
        <v>3349</v>
      </c>
      <c r="B1690" s="85"/>
      <c r="C1690" s="53" t="s">
        <v>32</v>
      </c>
      <c r="D1690" s="86" t="s">
        <v>3278</v>
      </c>
      <c r="E1690" s="87" t="s">
        <v>3350</v>
      </c>
      <c r="F1690" s="88" t="s">
        <v>49</v>
      </c>
      <c r="G1690" s="77"/>
      <c r="H1690" s="77">
        <f>STOCK[[#This Row],[Precio Final]]</f>
        <v>19.905</v>
      </c>
      <c r="I1690" s="82">
        <f>STOCK[[#This Row],[Precio Venta Ideal (x1.5)]]</f>
        <v>2.98575</v>
      </c>
      <c r="J1690" s="89">
        <v>2</v>
      </c>
      <c r="K1690" s="80">
        <f>SUMIFS(VENTAS[Cantidad],VENTAS[Código del producto Vendido],STOCK[[#This Row],[Code]])</f>
        <v>2</v>
      </c>
      <c r="L1690" s="80">
        <f>STOCK[[#This Row],[Entradas]]-STOCK[[#This Row],[Salidas]]</f>
        <v>0</v>
      </c>
      <c r="M1690" s="77">
        <f>STOCK[[#This Row],[Precio Final]]*10%</f>
        <v>1.9905</v>
      </c>
      <c r="N1690" s="54">
        <v>0</v>
      </c>
      <c r="O1690" s="77">
        <v>0</v>
      </c>
      <c r="P1690" s="77"/>
      <c r="Q1690" s="77">
        <v>9.72</v>
      </c>
      <c r="R1690" s="80"/>
      <c r="S1690" s="77"/>
      <c r="T1690" s="77">
        <f>STOCK[[#This Row],[Costo Unitario (USD)]]+STOCK[[#This Row],[Costo Envío (USD)]]+STOCK[[#This Row],[Comisión 10%]]</f>
        <v>1.9905</v>
      </c>
      <c r="U1690" s="53">
        <f>STOCK[[#This Row],[Costo total]]*1.5</f>
        <v>2.98575</v>
      </c>
      <c r="V1690" s="53">
        <v>19.905</v>
      </c>
      <c r="W1690" s="77">
        <f>STOCK[[#This Row],[Precio Final]]-STOCK[[#This Row],[Costo total]]</f>
        <v>17.9145</v>
      </c>
      <c r="X1690" s="77">
        <f>STOCK[[#This Row],[Ganancia Unitaria]]*STOCK[[#This Row],[Salidas]]</f>
        <v>35.829</v>
      </c>
      <c r="Y1690" s="77">
        <v>0</v>
      </c>
      <c r="Z1690" s="90"/>
      <c r="AA1690" s="54">
        <f>STOCK[[#This Row],[Costo total]]*STOCK[[#This Row],[Entradas]]</f>
        <v>3.981</v>
      </c>
      <c r="AB1690" s="54">
        <f>STOCK[[#This Row],[Stock Actual]]*STOCK[[#This Row],[Costo total]]</f>
        <v>0</v>
      </c>
      <c r="AC1690" s="77">
        <v>26.54</v>
      </c>
      <c r="AD1690" s="77"/>
    </row>
    <row r="1691" s="53" customFormat="1" ht="50" customHeight="1" spans="1:30">
      <c r="A1691" s="53" t="s">
        <v>3351</v>
      </c>
      <c r="B1691" s="85"/>
      <c r="C1691" s="53" t="s">
        <v>32</v>
      </c>
      <c r="D1691" s="86" t="s">
        <v>3278</v>
      </c>
      <c r="E1691" s="87" t="s">
        <v>3350</v>
      </c>
      <c r="F1691" s="88" t="s">
        <v>46</v>
      </c>
      <c r="G1691" s="77"/>
      <c r="H1691" s="77">
        <f>STOCK[[#This Row],[Precio Final]]</f>
        <v>19.905</v>
      </c>
      <c r="I1691" s="82">
        <f>STOCK[[#This Row],[Precio Venta Ideal (x1.5)]]</f>
        <v>2.98575</v>
      </c>
      <c r="J1691" s="89">
        <v>1</v>
      </c>
      <c r="K1691" s="80">
        <f>SUMIFS(VENTAS[Cantidad],VENTAS[Código del producto Vendido],STOCK[[#This Row],[Code]])</f>
        <v>1</v>
      </c>
      <c r="L1691" s="80">
        <f>STOCK[[#This Row],[Entradas]]-STOCK[[#This Row],[Salidas]]</f>
        <v>0</v>
      </c>
      <c r="M1691" s="77">
        <f>STOCK[[#This Row],[Precio Final]]*10%</f>
        <v>1.9905</v>
      </c>
      <c r="N1691" s="54">
        <v>0</v>
      </c>
      <c r="O1691" s="77">
        <v>0</v>
      </c>
      <c r="P1691" s="77"/>
      <c r="Q1691" s="77">
        <v>9.72</v>
      </c>
      <c r="R1691" s="80"/>
      <c r="S1691" s="77"/>
      <c r="T1691" s="77">
        <f>STOCK[[#This Row],[Costo Unitario (USD)]]+STOCK[[#This Row],[Costo Envío (USD)]]+STOCK[[#This Row],[Comisión 10%]]</f>
        <v>1.9905</v>
      </c>
      <c r="U1691" s="53">
        <f>STOCK[[#This Row],[Costo total]]*1.5</f>
        <v>2.98575</v>
      </c>
      <c r="V1691" s="53">
        <v>19.905</v>
      </c>
      <c r="W1691" s="77">
        <f>STOCK[[#This Row],[Precio Final]]-STOCK[[#This Row],[Costo total]]</f>
        <v>17.9145</v>
      </c>
      <c r="X1691" s="77">
        <f>STOCK[[#This Row],[Ganancia Unitaria]]*STOCK[[#This Row],[Salidas]]</f>
        <v>17.9145</v>
      </c>
      <c r="Y1691" s="77">
        <v>0</v>
      </c>
      <c r="Z1691" s="90"/>
      <c r="AA1691" s="54">
        <f>STOCK[[#This Row],[Costo total]]*STOCK[[#This Row],[Entradas]]</f>
        <v>1.9905</v>
      </c>
      <c r="AB1691" s="54">
        <f>STOCK[[#This Row],[Stock Actual]]*STOCK[[#This Row],[Costo total]]</f>
        <v>0</v>
      </c>
      <c r="AC1691" s="77">
        <v>13.27</v>
      </c>
      <c r="AD1691" s="77"/>
    </row>
    <row r="1692" s="53" customFormat="1" ht="50" customHeight="1" spans="1:30">
      <c r="A1692" s="53" t="s">
        <v>3352</v>
      </c>
      <c r="B1692" s="85"/>
      <c r="C1692" s="53" t="s">
        <v>32</v>
      </c>
      <c r="D1692" s="86" t="s">
        <v>3278</v>
      </c>
      <c r="E1692" s="87" t="s">
        <v>3353</v>
      </c>
      <c r="F1692" s="88" t="s">
        <v>525</v>
      </c>
      <c r="G1692" s="77"/>
      <c r="H1692" s="77">
        <f>STOCK[[#This Row],[Precio Final]]</f>
        <v>14.58</v>
      </c>
      <c r="I1692" s="82">
        <f>STOCK[[#This Row],[Precio Venta Ideal (x1.5)]]</f>
        <v>2.187</v>
      </c>
      <c r="J1692" s="89">
        <v>3</v>
      </c>
      <c r="K1692" s="80">
        <f>SUMIFS(VENTAS[Cantidad],VENTAS[Código del producto Vendido],STOCK[[#This Row],[Code]])</f>
        <v>1</v>
      </c>
      <c r="L1692" s="80">
        <f>STOCK[[#This Row],[Entradas]]-STOCK[[#This Row],[Salidas]]</f>
        <v>2</v>
      </c>
      <c r="M1692" s="77">
        <f>STOCK[[#This Row],[Precio Final]]*10%</f>
        <v>1.458</v>
      </c>
      <c r="N1692" s="54">
        <v>0</v>
      </c>
      <c r="O1692" s="77">
        <v>0</v>
      </c>
      <c r="P1692" s="77"/>
      <c r="Q1692" s="77">
        <v>6.67</v>
      </c>
      <c r="R1692" s="80"/>
      <c r="S1692" s="77"/>
      <c r="T1692" s="77">
        <f>STOCK[[#This Row],[Costo Unitario (USD)]]+STOCK[[#This Row],[Costo Envío (USD)]]+STOCK[[#This Row],[Comisión 10%]]</f>
        <v>1.458</v>
      </c>
      <c r="U1692" s="53">
        <f>STOCK[[#This Row],[Costo total]]*1.5</f>
        <v>2.187</v>
      </c>
      <c r="V1692" s="53">
        <v>14.58</v>
      </c>
      <c r="W1692" s="77">
        <f>STOCK[[#This Row],[Precio Final]]-STOCK[[#This Row],[Costo total]]</f>
        <v>13.122</v>
      </c>
      <c r="X1692" s="77">
        <f>STOCK[[#This Row],[Ganancia Unitaria]]*STOCK[[#This Row],[Salidas]]</f>
        <v>13.122</v>
      </c>
      <c r="Y1692" s="77">
        <v>0</v>
      </c>
      <c r="Z1692" s="90"/>
      <c r="AA1692" s="54">
        <f>STOCK[[#This Row],[Costo total]]*STOCK[[#This Row],[Entradas]]</f>
        <v>4.374</v>
      </c>
      <c r="AB1692" s="54">
        <f>STOCK[[#This Row],[Stock Actual]]*STOCK[[#This Row],[Costo total]]</f>
        <v>2.916</v>
      </c>
      <c r="AC1692" s="77">
        <v>29.16</v>
      </c>
      <c r="AD1692" s="77"/>
    </row>
    <row r="1693" s="53" customFormat="1" ht="50" customHeight="1" spans="1:30">
      <c r="A1693" s="53" t="s">
        <v>3354</v>
      </c>
      <c r="B1693" s="85"/>
      <c r="C1693" s="53" t="s">
        <v>32</v>
      </c>
      <c r="D1693" s="86" t="s">
        <v>3278</v>
      </c>
      <c r="E1693" s="87" t="s">
        <v>3355</v>
      </c>
      <c r="F1693" s="88" t="s">
        <v>49</v>
      </c>
      <c r="G1693" s="77"/>
      <c r="H1693" s="77">
        <f>STOCK[[#This Row],[Precio Final]]</f>
        <v>21.87</v>
      </c>
      <c r="I1693" s="82">
        <f>STOCK[[#This Row],[Precio Venta Ideal (x1.5)]]</f>
        <v>3.2805</v>
      </c>
      <c r="J1693" s="89">
        <v>2</v>
      </c>
      <c r="K1693" s="80">
        <f>SUMIFS(VENTAS[Cantidad],VENTAS[Código del producto Vendido],STOCK[[#This Row],[Code]])</f>
        <v>2</v>
      </c>
      <c r="L1693" s="80">
        <f>STOCK[[#This Row],[Entradas]]-STOCK[[#This Row],[Salidas]]</f>
        <v>0</v>
      </c>
      <c r="M1693" s="77">
        <f>STOCK[[#This Row],[Precio Final]]*10%</f>
        <v>2.187</v>
      </c>
      <c r="N1693" s="54">
        <v>0</v>
      </c>
      <c r="O1693" s="77">
        <v>0</v>
      </c>
      <c r="P1693" s="77"/>
      <c r="Q1693" s="77">
        <v>11.03</v>
      </c>
      <c r="R1693" s="80"/>
      <c r="S1693" s="77"/>
      <c r="T1693" s="77">
        <f>STOCK[[#This Row],[Costo Unitario (USD)]]+STOCK[[#This Row],[Costo Envío (USD)]]+STOCK[[#This Row],[Comisión 10%]]</f>
        <v>2.187</v>
      </c>
      <c r="U1693" s="53">
        <f>STOCK[[#This Row],[Costo total]]*1.5</f>
        <v>3.2805</v>
      </c>
      <c r="V1693" s="53">
        <v>21.87</v>
      </c>
      <c r="W1693" s="77">
        <f>STOCK[[#This Row],[Precio Final]]-STOCK[[#This Row],[Costo total]]</f>
        <v>19.683</v>
      </c>
      <c r="X1693" s="77">
        <f>STOCK[[#This Row],[Ganancia Unitaria]]*STOCK[[#This Row],[Salidas]]</f>
        <v>39.366</v>
      </c>
      <c r="Y1693" s="77">
        <v>0</v>
      </c>
      <c r="Z1693" s="90"/>
      <c r="AA1693" s="54">
        <f>STOCK[[#This Row],[Costo total]]*STOCK[[#This Row],[Entradas]]</f>
        <v>4.374</v>
      </c>
      <c r="AB1693" s="54">
        <f>STOCK[[#This Row],[Stock Actual]]*STOCK[[#This Row],[Costo total]]</f>
        <v>0</v>
      </c>
      <c r="AC1693" s="77">
        <v>29.16</v>
      </c>
      <c r="AD1693" s="77"/>
    </row>
    <row r="1694" s="53" customFormat="1" ht="50" customHeight="1" spans="1:30">
      <c r="A1694" s="53" t="s">
        <v>3356</v>
      </c>
      <c r="B1694" s="85"/>
      <c r="C1694" s="53" t="s">
        <v>32</v>
      </c>
      <c r="D1694" s="86" t="s">
        <v>3278</v>
      </c>
      <c r="E1694" s="87" t="s">
        <v>3355</v>
      </c>
      <c r="F1694" s="88" t="s">
        <v>46</v>
      </c>
      <c r="G1694" s="77"/>
      <c r="H1694" s="77">
        <f>STOCK[[#This Row],[Precio Final]]</f>
        <v>21.87</v>
      </c>
      <c r="I1694" s="82">
        <f>STOCK[[#This Row],[Precio Venta Ideal (x1.5)]]</f>
        <v>3.2805</v>
      </c>
      <c r="J1694" s="89">
        <v>1</v>
      </c>
      <c r="K1694" s="80">
        <f>SUMIFS(VENTAS[Cantidad],VENTAS[Código del producto Vendido],STOCK[[#This Row],[Code]])</f>
        <v>1</v>
      </c>
      <c r="L1694" s="80">
        <f>STOCK[[#This Row],[Entradas]]-STOCK[[#This Row],[Salidas]]</f>
        <v>0</v>
      </c>
      <c r="M1694" s="77">
        <f>STOCK[[#This Row],[Precio Final]]*10%</f>
        <v>2.187</v>
      </c>
      <c r="N1694" s="54">
        <v>0</v>
      </c>
      <c r="O1694" s="77">
        <v>0</v>
      </c>
      <c r="P1694" s="77"/>
      <c r="Q1694" s="77">
        <v>11.03</v>
      </c>
      <c r="R1694" s="80"/>
      <c r="S1694" s="77"/>
      <c r="T1694" s="77">
        <f>STOCK[[#This Row],[Costo Unitario (USD)]]+STOCK[[#This Row],[Costo Envío (USD)]]+STOCK[[#This Row],[Comisión 10%]]</f>
        <v>2.187</v>
      </c>
      <c r="U1694" s="53">
        <f>STOCK[[#This Row],[Costo total]]*1.5</f>
        <v>3.2805</v>
      </c>
      <c r="V1694" s="53">
        <v>21.87</v>
      </c>
      <c r="W1694" s="77">
        <f>STOCK[[#This Row],[Precio Final]]-STOCK[[#This Row],[Costo total]]</f>
        <v>19.683</v>
      </c>
      <c r="X1694" s="77">
        <f>STOCK[[#This Row],[Ganancia Unitaria]]*STOCK[[#This Row],[Salidas]]</f>
        <v>19.683</v>
      </c>
      <c r="Y1694" s="77">
        <v>0</v>
      </c>
      <c r="Z1694" s="90"/>
      <c r="AA1694" s="54">
        <f>STOCK[[#This Row],[Costo total]]*STOCK[[#This Row],[Entradas]]</f>
        <v>2.187</v>
      </c>
      <c r="AB1694" s="54">
        <f>STOCK[[#This Row],[Stock Actual]]*STOCK[[#This Row],[Costo total]]</f>
        <v>0</v>
      </c>
      <c r="AC1694" s="77">
        <v>14.58</v>
      </c>
      <c r="AD1694" s="77"/>
    </row>
    <row r="1695" s="53" customFormat="1" ht="50" customHeight="1" spans="1:30">
      <c r="A1695" s="53" t="s">
        <v>3357</v>
      </c>
      <c r="B1695" s="85"/>
      <c r="C1695" s="53" t="s">
        <v>32</v>
      </c>
      <c r="D1695" s="86" t="s">
        <v>3278</v>
      </c>
      <c r="E1695" s="87" t="s">
        <v>3358</v>
      </c>
      <c r="F1695" s="88" t="s">
        <v>525</v>
      </c>
      <c r="G1695" s="77"/>
      <c r="H1695" s="77">
        <f>STOCK[[#This Row],[Precio Final]]</f>
        <v>10.695</v>
      </c>
      <c r="I1695" s="82">
        <f>STOCK[[#This Row],[Precio Venta Ideal (x1.5)]]</f>
        <v>1.60425</v>
      </c>
      <c r="J1695" s="89">
        <v>4</v>
      </c>
      <c r="K1695" s="80">
        <f>SUMIFS(VENTAS[Cantidad],VENTAS[Código del producto Vendido],STOCK[[#This Row],[Code]])</f>
        <v>3</v>
      </c>
      <c r="L1695" s="80">
        <f>STOCK[[#This Row],[Entradas]]-STOCK[[#This Row],[Salidas]]</f>
        <v>1</v>
      </c>
      <c r="M1695" s="77">
        <f>STOCK[[#This Row],[Precio Final]]*10%</f>
        <v>1.0695</v>
      </c>
      <c r="N1695" s="54">
        <v>0</v>
      </c>
      <c r="O1695" s="77">
        <v>0</v>
      </c>
      <c r="P1695" s="77"/>
      <c r="Q1695" s="77">
        <v>4.58</v>
      </c>
      <c r="R1695" s="80"/>
      <c r="S1695" s="77"/>
      <c r="T1695" s="77">
        <f>STOCK[[#This Row],[Costo Unitario (USD)]]+STOCK[[#This Row],[Costo Envío (USD)]]+STOCK[[#This Row],[Comisión 10%]]</f>
        <v>1.0695</v>
      </c>
      <c r="U1695" s="53">
        <f>STOCK[[#This Row],[Costo total]]*1.5</f>
        <v>1.60425</v>
      </c>
      <c r="V1695" s="53">
        <v>10.695</v>
      </c>
      <c r="W1695" s="77">
        <f>STOCK[[#This Row],[Precio Final]]-STOCK[[#This Row],[Costo total]]</f>
        <v>9.6255</v>
      </c>
      <c r="X1695" s="77">
        <f>STOCK[[#This Row],[Ganancia Unitaria]]*STOCK[[#This Row],[Salidas]]</f>
        <v>28.8765</v>
      </c>
      <c r="Y1695" s="77">
        <v>0</v>
      </c>
      <c r="Z1695" s="90"/>
      <c r="AA1695" s="54">
        <f>STOCK[[#This Row],[Costo total]]*STOCK[[#This Row],[Entradas]]</f>
        <v>4.278</v>
      </c>
      <c r="AB1695" s="54">
        <f>STOCK[[#This Row],[Stock Actual]]*STOCK[[#This Row],[Costo total]]</f>
        <v>1.0695</v>
      </c>
      <c r="AC1695" s="77">
        <v>28.52</v>
      </c>
      <c r="AD1695" s="77"/>
    </row>
    <row r="1696" s="53" customFormat="1" ht="50" customHeight="1" spans="1:30">
      <c r="A1696" s="53" t="s">
        <v>3359</v>
      </c>
      <c r="B1696" s="85"/>
      <c r="C1696" s="53" t="s">
        <v>32</v>
      </c>
      <c r="D1696" s="86" t="s">
        <v>3278</v>
      </c>
      <c r="E1696" s="87" t="s">
        <v>3360</v>
      </c>
      <c r="F1696" s="88" t="s">
        <v>3361</v>
      </c>
      <c r="G1696" s="77"/>
      <c r="H1696" s="77">
        <f>STOCK[[#This Row],[Precio Final]]</f>
        <v>15.375</v>
      </c>
      <c r="I1696" s="82">
        <f>STOCK[[#This Row],[Precio Venta Ideal (x1.5)]]</f>
        <v>2.30625</v>
      </c>
      <c r="J1696" s="89">
        <v>4</v>
      </c>
      <c r="K1696" s="80">
        <f>SUMIFS(VENTAS[Cantidad],VENTAS[Código del producto Vendido],STOCK[[#This Row],[Code]])</f>
        <v>4</v>
      </c>
      <c r="L1696" s="80">
        <f>STOCK[[#This Row],[Entradas]]-STOCK[[#This Row],[Salidas]]</f>
        <v>0</v>
      </c>
      <c r="M1696" s="77">
        <f>STOCK[[#This Row],[Precio Final]]*10%</f>
        <v>1.5375</v>
      </c>
      <c r="N1696" s="54">
        <v>0</v>
      </c>
      <c r="O1696" s="77">
        <v>0</v>
      </c>
      <c r="P1696" s="77"/>
      <c r="Q1696" s="77">
        <v>7.2</v>
      </c>
      <c r="R1696" s="80"/>
      <c r="S1696" s="77"/>
      <c r="T1696" s="77">
        <f>STOCK[[#This Row],[Costo Unitario (USD)]]+STOCK[[#This Row],[Costo Envío (USD)]]+STOCK[[#This Row],[Comisión 10%]]</f>
        <v>1.5375</v>
      </c>
      <c r="U1696" s="53">
        <f>STOCK[[#This Row],[Costo total]]*1.5</f>
        <v>2.30625</v>
      </c>
      <c r="V1696" s="53">
        <v>15.375</v>
      </c>
      <c r="W1696" s="77">
        <f>STOCK[[#This Row],[Precio Final]]-STOCK[[#This Row],[Costo total]]</f>
        <v>13.8375</v>
      </c>
      <c r="X1696" s="77">
        <f>STOCK[[#This Row],[Ganancia Unitaria]]*STOCK[[#This Row],[Salidas]]</f>
        <v>55.35</v>
      </c>
      <c r="Y1696" s="77">
        <v>0</v>
      </c>
      <c r="Z1696" s="90"/>
      <c r="AA1696" s="54">
        <f>STOCK[[#This Row],[Costo total]]*STOCK[[#This Row],[Entradas]]</f>
        <v>6.15</v>
      </c>
      <c r="AB1696" s="54">
        <f>STOCK[[#This Row],[Stock Actual]]*STOCK[[#This Row],[Costo total]]</f>
        <v>0</v>
      </c>
      <c r="AC1696" s="77">
        <v>41</v>
      </c>
      <c r="AD1696" s="77"/>
    </row>
    <row r="1697" s="53" customFormat="1" ht="50" customHeight="1" spans="1:30">
      <c r="A1697" s="53" t="s">
        <v>3362</v>
      </c>
      <c r="B1697" s="85"/>
      <c r="C1697" s="53" t="s">
        <v>32</v>
      </c>
      <c r="D1697" s="86" t="s">
        <v>3278</v>
      </c>
      <c r="E1697" s="87" t="s">
        <v>3363</v>
      </c>
      <c r="F1697" s="88" t="s">
        <v>525</v>
      </c>
      <c r="G1697" s="77"/>
      <c r="H1697" s="77">
        <f>STOCK[[#This Row],[Precio Final]]</f>
        <v>13.68</v>
      </c>
      <c r="I1697" s="82">
        <f>STOCK[[#This Row],[Precio Venta Ideal (x1.5)]]</f>
        <v>2.052</v>
      </c>
      <c r="J1697" s="89">
        <v>5</v>
      </c>
      <c r="K1697" s="80">
        <f>SUMIFS(VENTAS[Cantidad],VENTAS[Código del producto Vendido],STOCK[[#This Row],[Code]])</f>
        <v>5</v>
      </c>
      <c r="L1697" s="80">
        <f>STOCK[[#This Row],[Entradas]]-STOCK[[#This Row],[Salidas]]</f>
        <v>0</v>
      </c>
      <c r="M1697" s="77">
        <f>STOCK[[#This Row],[Precio Final]]*10%</f>
        <v>1.368</v>
      </c>
      <c r="N1697" s="54">
        <v>0</v>
      </c>
      <c r="O1697" s="77">
        <v>0</v>
      </c>
      <c r="P1697" s="77"/>
      <c r="Q1697" s="77">
        <v>6.07</v>
      </c>
      <c r="R1697" s="80"/>
      <c r="S1697" s="77"/>
      <c r="T1697" s="77">
        <f>STOCK[[#This Row],[Costo Unitario (USD)]]+STOCK[[#This Row],[Costo Envío (USD)]]+STOCK[[#This Row],[Comisión 10%]]</f>
        <v>1.368</v>
      </c>
      <c r="U1697" s="53">
        <f>STOCK[[#This Row],[Costo total]]*1.5</f>
        <v>2.052</v>
      </c>
      <c r="V1697" s="53">
        <v>13.68</v>
      </c>
      <c r="W1697" s="77">
        <f>STOCK[[#This Row],[Precio Final]]-STOCK[[#This Row],[Costo total]]</f>
        <v>12.312</v>
      </c>
      <c r="X1697" s="77">
        <f>STOCK[[#This Row],[Ganancia Unitaria]]*STOCK[[#This Row],[Salidas]]</f>
        <v>61.56</v>
      </c>
      <c r="Y1697" s="77">
        <v>0</v>
      </c>
      <c r="Z1697" s="90"/>
      <c r="AA1697" s="54">
        <f>STOCK[[#This Row],[Costo total]]*STOCK[[#This Row],[Entradas]]</f>
        <v>6.84</v>
      </c>
      <c r="AB1697" s="54">
        <f>STOCK[[#This Row],[Stock Actual]]*STOCK[[#This Row],[Costo total]]</f>
        <v>0</v>
      </c>
      <c r="AC1697" s="77">
        <v>45.6</v>
      </c>
      <c r="AD1697" s="77"/>
    </row>
    <row r="1698" s="53" customFormat="1" ht="50" customHeight="1" spans="1:30">
      <c r="A1698" s="53" t="s">
        <v>3364</v>
      </c>
      <c r="B1698" s="85"/>
      <c r="C1698" s="53" t="s">
        <v>32</v>
      </c>
      <c r="D1698" s="86" t="s">
        <v>3278</v>
      </c>
      <c r="E1698" s="87" t="s">
        <v>3365</v>
      </c>
      <c r="F1698" s="88" t="s">
        <v>525</v>
      </c>
      <c r="G1698" s="77"/>
      <c r="H1698" s="77">
        <f>STOCK[[#This Row],[Precio Final]]</f>
        <v>7.575</v>
      </c>
      <c r="I1698" s="82">
        <f>STOCK[[#This Row],[Precio Venta Ideal (x1.5)]]</f>
        <v>1.13625</v>
      </c>
      <c r="J1698" s="89">
        <v>7</v>
      </c>
      <c r="K1698" s="80">
        <f>SUMIFS(VENTAS[Cantidad],VENTAS[Código del producto Vendido],STOCK[[#This Row],[Code]])</f>
        <v>7</v>
      </c>
      <c r="L1698" s="80">
        <f>STOCK[[#This Row],[Entradas]]-STOCK[[#This Row],[Salidas]]</f>
        <v>0</v>
      </c>
      <c r="M1698" s="77">
        <f>STOCK[[#This Row],[Precio Final]]*10%</f>
        <v>0.7575</v>
      </c>
      <c r="N1698" s="54">
        <v>0</v>
      </c>
      <c r="O1698" s="77">
        <v>0</v>
      </c>
      <c r="P1698" s="77"/>
      <c r="Q1698" s="77">
        <v>3.2</v>
      </c>
      <c r="R1698" s="80"/>
      <c r="S1698" s="77"/>
      <c r="T1698" s="77">
        <f>STOCK[[#This Row],[Costo Unitario (USD)]]+STOCK[[#This Row],[Costo Envío (USD)]]+STOCK[[#This Row],[Comisión 10%]]</f>
        <v>0.7575</v>
      </c>
      <c r="U1698" s="53">
        <f>STOCK[[#This Row],[Costo total]]*1.5</f>
        <v>1.13625</v>
      </c>
      <c r="V1698" s="53">
        <v>7.575</v>
      </c>
      <c r="W1698" s="77">
        <f>STOCK[[#This Row],[Precio Final]]-STOCK[[#This Row],[Costo total]]</f>
        <v>6.8175</v>
      </c>
      <c r="X1698" s="77">
        <f>STOCK[[#This Row],[Ganancia Unitaria]]*STOCK[[#This Row],[Salidas]]</f>
        <v>47.7225</v>
      </c>
      <c r="Y1698" s="77">
        <v>2.95</v>
      </c>
      <c r="Z1698" s="90"/>
      <c r="AA1698" s="54">
        <f>STOCK[[#This Row],[Costo total]]*STOCK[[#This Row],[Entradas]]</f>
        <v>5.3025</v>
      </c>
      <c r="AB1698" s="54">
        <f>STOCK[[#This Row],[Stock Actual]]*STOCK[[#This Row],[Costo total]]</f>
        <v>0</v>
      </c>
      <c r="AC1698" s="77">
        <v>25.25</v>
      </c>
      <c r="AD1698" s="77"/>
    </row>
    <row r="1699" s="53" customFormat="1" ht="50" customHeight="1" spans="1:30">
      <c r="A1699" s="53" t="s">
        <v>3366</v>
      </c>
      <c r="B1699" s="85"/>
      <c r="C1699" s="53" t="s">
        <v>32</v>
      </c>
      <c r="D1699" s="86" t="s">
        <v>3278</v>
      </c>
      <c r="E1699" s="87" t="s">
        <v>3367</v>
      </c>
      <c r="F1699" s="88" t="s">
        <v>525</v>
      </c>
      <c r="G1699" s="77"/>
      <c r="H1699" s="77">
        <f>STOCK[[#This Row],[Precio Final]]</f>
        <v>10.8</v>
      </c>
      <c r="I1699" s="82">
        <f>STOCK[[#This Row],[Precio Venta Ideal (x1.5)]]</f>
        <v>1.62</v>
      </c>
      <c r="J1699" s="89">
        <v>5</v>
      </c>
      <c r="K1699" s="80">
        <f>SUMIFS(VENTAS[Cantidad],VENTAS[Código del producto Vendido],STOCK[[#This Row],[Code]])</f>
        <v>0</v>
      </c>
      <c r="L1699" s="80">
        <f>STOCK[[#This Row],[Entradas]]-STOCK[[#This Row],[Salidas]]</f>
        <v>5</v>
      </c>
      <c r="M1699" s="77">
        <f>STOCK[[#This Row],[Precio Final]]*10%</f>
        <v>1.08</v>
      </c>
      <c r="N1699" s="54">
        <v>0</v>
      </c>
      <c r="O1699" s="77">
        <v>0</v>
      </c>
      <c r="P1699" s="77"/>
      <c r="Q1699" s="77">
        <v>4.35</v>
      </c>
      <c r="R1699" s="80"/>
      <c r="S1699" s="77"/>
      <c r="T1699" s="77">
        <f>STOCK[[#This Row],[Costo Unitario (USD)]]+STOCK[[#This Row],[Costo Envío (USD)]]+STOCK[[#This Row],[Comisión 10%]]</f>
        <v>1.08</v>
      </c>
      <c r="U1699" s="53">
        <f>STOCK[[#This Row],[Costo total]]*1.5</f>
        <v>1.62</v>
      </c>
      <c r="V1699" s="53">
        <v>10.8</v>
      </c>
      <c r="W1699" s="77">
        <f>STOCK[[#This Row],[Precio Final]]-STOCK[[#This Row],[Costo total]]</f>
        <v>9.72</v>
      </c>
      <c r="X1699" s="77">
        <f>STOCK[[#This Row],[Ganancia Unitaria]]*STOCK[[#This Row],[Salidas]]</f>
        <v>0</v>
      </c>
      <c r="Y1699" s="77">
        <v>0</v>
      </c>
      <c r="Z1699" s="90"/>
      <c r="AA1699" s="54">
        <f>STOCK[[#This Row],[Costo total]]*STOCK[[#This Row],[Entradas]]</f>
        <v>5.4</v>
      </c>
      <c r="AB1699" s="54">
        <f>STOCK[[#This Row],[Stock Actual]]*STOCK[[#This Row],[Costo total]]</f>
        <v>5.4</v>
      </c>
      <c r="AC1699" s="77">
        <v>36</v>
      </c>
      <c r="AD1699" s="77"/>
    </row>
    <row r="1700" s="53" customFormat="1" ht="50" customHeight="1" spans="1:30">
      <c r="A1700" s="53" t="s">
        <v>3368</v>
      </c>
      <c r="B1700" s="85"/>
      <c r="C1700" s="53" t="s">
        <v>32</v>
      </c>
      <c r="D1700" s="86" t="s">
        <v>3278</v>
      </c>
      <c r="E1700" s="87" t="s">
        <v>3369</v>
      </c>
      <c r="F1700" s="88" t="s">
        <v>525</v>
      </c>
      <c r="G1700" s="77"/>
      <c r="H1700" s="77">
        <f>STOCK[[#This Row],[Precio Final]]</f>
        <v>14.295</v>
      </c>
      <c r="I1700" s="82">
        <f>STOCK[[#This Row],[Precio Venta Ideal (x1.5)]]</f>
        <v>2.14425</v>
      </c>
      <c r="J1700" s="89">
        <v>5</v>
      </c>
      <c r="K1700" s="80">
        <f>SUMIFS(VENTAS[Cantidad],VENTAS[Código del producto Vendido],STOCK[[#This Row],[Code]])</f>
        <v>0</v>
      </c>
      <c r="L1700" s="80">
        <f>STOCK[[#This Row],[Entradas]]-STOCK[[#This Row],[Salidas]]</f>
        <v>5</v>
      </c>
      <c r="M1700" s="77">
        <f>STOCK[[#This Row],[Precio Final]]*10%</f>
        <v>1.4295</v>
      </c>
      <c r="N1700" s="54">
        <v>0</v>
      </c>
      <c r="O1700" s="77">
        <v>0</v>
      </c>
      <c r="P1700" s="77"/>
      <c r="Q1700" s="77">
        <v>6.48</v>
      </c>
      <c r="R1700" s="80"/>
      <c r="S1700" s="77"/>
      <c r="T1700" s="77">
        <f>STOCK[[#This Row],[Costo Unitario (USD)]]+STOCK[[#This Row],[Costo Envío (USD)]]+STOCK[[#This Row],[Comisión 10%]]</f>
        <v>1.4295</v>
      </c>
      <c r="U1700" s="53">
        <f>STOCK[[#This Row],[Costo total]]*1.5</f>
        <v>2.14425</v>
      </c>
      <c r="V1700" s="53">
        <v>14.295</v>
      </c>
      <c r="W1700" s="77">
        <f>STOCK[[#This Row],[Precio Final]]-STOCK[[#This Row],[Costo total]]</f>
        <v>12.8655</v>
      </c>
      <c r="X1700" s="77">
        <f>STOCK[[#This Row],[Ganancia Unitaria]]*STOCK[[#This Row],[Salidas]]</f>
        <v>0</v>
      </c>
      <c r="Y1700" s="77">
        <v>0</v>
      </c>
      <c r="Z1700" s="90"/>
      <c r="AA1700" s="54">
        <f>STOCK[[#This Row],[Costo total]]*STOCK[[#This Row],[Entradas]]</f>
        <v>7.1475</v>
      </c>
      <c r="AB1700" s="54">
        <f>STOCK[[#This Row],[Stock Actual]]*STOCK[[#This Row],[Costo total]]</f>
        <v>7.1475</v>
      </c>
      <c r="AC1700" s="77">
        <v>47.65</v>
      </c>
      <c r="AD1700" s="77"/>
    </row>
    <row r="1701" s="53" customFormat="1" ht="50" customHeight="1" spans="1:30">
      <c r="A1701" s="53" t="s">
        <v>3370</v>
      </c>
      <c r="B1701" s="85"/>
      <c r="C1701" s="53" t="s">
        <v>32</v>
      </c>
      <c r="D1701" s="86" t="s">
        <v>3278</v>
      </c>
      <c r="E1701" s="87" t="s">
        <v>3355</v>
      </c>
      <c r="F1701" s="88" t="s">
        <v>62</v>
      </c>
      <c r="G1701" s="77"/>
      <c r="H1701" s="77">
        <f>STOCK[[#This Row],[Precio Final]]</f>
        <v>21.87</v>
      </c>
      <c r="I1701" s="82">
        <f>STOCK[[#This Row],[Precio Venta Ideal (x1.5)]]</f>
        <v>3.2805</v>
      </c>
      <c r="J1701" s="89">
        <v>2</v>
      </c>
      <c r="K1701" s="80">
        <f>SUMIFS(VENTAS[Cantidad],VENTAS[Código del producto Vendido],STOCK[[#This Row],[Code]])</f>
        <v>2</v>
      </c>
      <c r="L1701" s="80">
        <f>STOCK[[#This Row],[Entradas]]-STOCK[[#This Row],[Salidas]]</f>
        <v>0</v>
      </c>
      <c r="M1701" s="77">
        <f>STOCK[[#This Row],[Precio Final]]*10%</f>
        <v>2.187</v>
      </c>
      <c r="N1701" s="54">
        <v>0</v>
      </c>
      <c r="O1701" s="77">
        <v>0</v>
      </c>
      <c r="P1701" s="77"/>
      <c r="Q1701" s="77">
        <v>11.03</v>
      </c>
      <c r="R1701" s="80"/>
      <c r="S1701" s="77"/>
      <c r="T1701" s="77">
        <f>STOCK[[#This Row],[Costo Unitario (USD)]]+STOCK[[#This Row],[Costo Envío (USD)]]+STOCK[[#This Row],[Comisión 10%]]</f>
        <v>2.187</v>
      </c>
      <c r="U1701" s="53">
        <f>STOCK[[#This Row],[Costo total]]*1.5</f>
        <v>3.2805</v>
      </c>
      <c r="V1701" s="53">
        <v>21.87</v>
      </c>
      <c r="W1701" s="77">
        <f>STOCK[[#This Row],[Precio Final]]-STOCK[[#This Row],[Costo total]]</f>
        <v>19.683</v>
      </c>
      <c r="X1701" s="77">
        <f>STOCK[[#This Row],[Ganancia Unitaria]]*STOCK[[#This Row],[Salidas]]</f>
        <v>39.366</v>
      </c>
      <c r="Y1701" s="77">
        <v>0</v>
      </c>
      <c r="Z1701" s="90"/>
      <c r="AA1701" s="54">
        <f>STOCK[[#This Row],[Costo total]]*STOCK[[#This Row],[Entradas]]</f>
        <v>4.374</v>
      </c>
      <c r="AB1701" s="54">
        <f>STOCK[[#This Row],[Stock Actual]]*STOCK[[#This Row],[Costo total]]</f>
        <v>0</v>
      </c>
      <c r="AC1701" s="77">
        <v>29.16</v>
      </c>
      <c r="AD1701" s="77"/>
    </row>
    <row r="1702" s="53" customFormat="1" ht="50" customHeight="1" spans="1:30">
      <c r="A1702" s="53" t="s">
        <v>3371</v>
      </c>
      <c r="B1702" s="85"/>
      <c r="C1702" s="53" t="s">
        <v>32</v>
      </c>
      <c r="D1702" s="86" t="s">
        <v>3278</v>
      </c>
      <c r="E1702" s="87" t="s">
        <v>3335</v>
      </c>
      <c r="F1702" s="88" t="s">
        <v>3372</v>
      </c>
      <c r="G1702" s="77"/>
      <c r="H1702" s="77">
        <f>STOCK[[#This Row],[Precio Final]]</f>
        <v>3.6</v>
      </c>
      <c r="I1702" s="82">
        <f>STOCK[[#This Row],[Precio Venta Ideal (x1.5)]]</f>
        <v>0.54</v>
      </c>
      <c r="J1702" s="89">
        <v>5</v>
      </c>
      <c r="K1702" s="80">
        <f>SUMIFS(VENTAS[Cantidad],VENTAS[Código del producto Vendido],STOCK[[#This Row],[Code]])</f>
        <v>3</v>
      </c>
      <c r="L1702" s="80">
        <f>STOCK[[#This Row],[Entradas]]-STOCK[[#This Row],[Salidas]]</f>
        <v>2</v>
      </c>
      <c r="M1702" s="77">
        <f>STOCK[[#This Row],[Precio Final]]*10%</f>
        <v>0.36</v>
      </c>
      <c r="N1702" s="54">
        <v>0</v>
      </c>
      <c r="O1702" s="77">
        <v>0</v>
      </c>
      <c r="P1702" s="77"/>
      <c r="Q1702" s="77">
        <v>0.85</v>
      </c>
      <c r="R1702" s="80"/>
      <c r="S1702" s="77"/>
      <c r="T1702" s="77">
        <f>STOCK[[#This Row],[Costo Unitario (USD)]]+STOCK[[#This Row],[Costo Envío (USD)]]+STOCK[[#This Row],[Comisión 10%]]</f>
        <v>0.36</v>
      </c>
      <c r="U1702" s="53">
        <f>STOCK[[#This Row],[Costo total]]*1.5</f>
        <v>0.54</v>
      </c>
      <c r="V1702" s="53">
        <v>3.6</v>
      </c>
      <c r="W1702" s="77">
        <f>STOCK[[#This Row],[Precio Final]]-STOCK[[#This Row],[Costo total]]</f>
        <v>3.24</v>
      </c>
      <c r="X1702" s="77">
        <f>STOCK[[#This Row],[Ganancia Unitaria]]*STOCK[[#This Row],[Salidas]]</f>
        <v>9.72</v>
      </c>
      <c r="Y1702" s="77">
        <v>0</v>
      </c>
      <c r="Z1702" s="90"/>
      <c r="AA1702" s="54">
        <f>STOCK[[#This Row],[Costo total]]*STOCK[[#This Row],[Entradas]]</f>
        <v>1.8</v>
      </c>
      <c r="AB1702" s="54">
        <f>STOCK[[#This Row],[Stock Actual]]*STOCK[[#This Row],[Costo total]]</f>
        <v>0.72</v>
      </c>
      <c r="AC1702" s="77">
        <v>12</v>
      </c>
      <c r="AD1702" s="77"/>
    </row>
    <row r="1703" s="53" customFormat="1" ht="50" customHeight="1" spans="1:30">
      <c r="A1703" s="53" t="s">
        <v>3373</v>
      </c>
      <c r="B1703" s="85"/>
      <c r="C1703" s="53" t="s">
        <v>32</v>
      </c>
      <c r="D1703" s="86" t="s">
        <v>3278</v>
      </c>
      <c r="E1703" s="87" t="s">
        <v>3374</v>
      </c>
      <c r="F1703" s="88" t="s">
        <v>3375</v>
      </c>
      <c r="G1703" s="88" t="s">
        <v>3375</v>
      </c>
      <c r="H1703" s="77">
        <f>STOCK[[#This Row],[Precio Final]]</f>
        <v>8.895</v>
      </c>
      <c r="I1703" s="82">
        <f>STOCK[[#This Row],[Precio Venta Ideal (x1.5)]]</f>
        <v>1.33425</v>
      </c>
      <c r="J1703" s="89">
        <v>3</v>
      </c>
      <c r="K1703" s="80">
        <f>SUMIFS(VENTAS[Cantidad],VENTAS[Código del producto Vendido],STOCK[[#This Row],[Code]])</f>
        <v>0</v>
      </c>
      <c r="L1703" s="80">
        <f>STOCK[[#This Row],[Entradas]]-STOCK[[#This Row],[Salidas]]</f>
        <v>3</v>
      </c>
      <c r="M1703" s="77">
        <f>STOCK[[#This Row],[Precio Final]]*10%</f>
        <v>0.8895</v>
      </c>
      <c r="N1703" s="54">
        <v>0</v>
      </c>
      <c r="O1703" s="77">
        <v>0</v>
      </c>
      <c r="P1703" s="77"/>
      <c r="Q1703" s="77">
        <v>3.68</v>
      </c>
      <c r="R1703" s="80"/>
      <c r="S1703" s="77"/>
      <c r="T1703" s="77">
        <f>STOCK[[#This Row],[Costo Unitario (USD)]]+STOCK[[#This Row],[Costo Envío (USD)]]+STOCK[[#This Row],[Comisión 10%]]</f>
        <v>0.8895</v>
      </c>
      <c r="U1703" s="53">
        <f>STOCK[[#This Row],[Costo total]]*1.5</f>
        <v>1.33425</v>
      </c>
      <c r="V1703" s="53">
        <v>8.895</v>
      </c>
      <c r="W1703" s="77">
        <f>STOCK[[#This Row],[Precio Final]]-STOCK[[#This Row],[Costo total]]</f>
        <v>8.0055</v>
      </c>
      <c r="X1703" s="77">
        <f>STOCK[[#This Row],[Ganancia Unitaria]]*STOCK[[#This Row],[Salidas]]</f>
        <v>0</v>
      </c>
      <c r="Y1703" s="77">
        <v>0</v>
      </c>
      <c r="Z1703" s="90"/>
      <c r="AA1703" s="54">
        <f>STOCK[[#This Row],[Costo total]]*STOCK[[#This Row],[Entradas]]</f>
        <v>2.6685</v>
      </c>
      <c r="AB1703" s="54">
        <f>STOCK[[#This Row],[Stock Actual]]*STOCK[[#This Row],[Costo total]]</f>
        <v>2.6685</v>
      </c>
      <c r="AC1703" s="77">
        <v>17.79</v>
      </c>
      <c r="AD1703" s="77"/>
    </row>
    <row r="1704" s="53" customFormat="1" ht="50" customHeight="1" spans="1:30">
      <c r="A1704" s="53" t="s">
        <v>3376</v>
      </c>
      <c r="B1704" s="85"/>
      <c r="C1704" s="53" t="s">
        <v>32</v>
      </c>
      <c r="D1704" s="86" t="s">
        <v>3278</v>
      </c>
      <c r="E1704" s="87" t="s">
        <v>3377</v>
      </c>
      <c r="F1704" s="88" t="s">
        <v>3375</v>
      </c>
      <c r="G1704" s="77"/>
      <c r="H1704" s="77">
        <f>STOCK[[#This Row],[Precio Final]]</f>
        <v>13.05</v>
      </c>
      <c r="I1704" s="82">
        <f>STOCK[[#This Row],[Precio Venta Ideal (x1.5)]]</f>
        <v>1.9575</v>
      </c>
      <c r="J1704" s="89">
        <v>3</v>
      </c>
      <c r="K1704" s="80">
        <f>SUMIFS(VENTAS[Cantidad],VENTAS[Código del producto Vendido],STOCK[[#This Row],[Code]])</f>
        <v>3</v>
      </c>
      <c r="L1704" s="80">
        <f>STOCK[[#This Row],[Entradas]]-STOCK[[#This Row],[Salidas]]</f>
        <v>0</v>
      </c>
      <c r="M1704" s="77">
        <f>STOCK[[#This Row],[Precio Final]]*10%</f>
        <v>1.305</v>
      </c>
      <c r="N1704" s="54">
        <v>0</v>
      </c>
      <c r="O1704" s="77">
        <v>0</v>
      </c>
      <c r="P1704" s="77"/>
      <c r="Q1704" s="77">
        <v>5.85</v>
      </c>
      <c r="R1704" s="80"/>
      <c r="S1704" s="77"/>
      <c r="T1704" s="77">
        <f>STOCK[[#This Row],[Costo Unitario (USD)]]+STOCK[[#This Row],[Costo Envío (USD)]]+STOCK[[#This Row],[Comisión 10%]]</f>
        <v>1.305</v>
      </c>
      <c r="U1704" s="53">
        <f>STOCK[[#This Row],[Costo total]]*1.5</f>
        <v>1.9575</v>
      </c>
      <c r="V1704" s="53">
        <v>13.05</v>
      </c>
      <c r="W1704" s="77">
        <f>STOCK[[#This Row],[Precio Final]]-STOCK[[#This Row],[Costo total]]</f>
        <v>11.745</v>
      </c>
      <c r="X1704" s="77">
        <f>STOCK[[#This Row],[Ganancia Unitaria]]*STOCK[[#This Row],[Salidas]]</f>
        <v>35.235</v>
      </c>
      <c r="Y1704" s="77">
        <v>0</v>
      </c>
      <c r="Z1704" s="90"/>
      <c r="AA1704" s="54">
        <f>STOCK[[#This Row],[Costo total]]*STOCK[[#This Row],[Entradas]]</f>
        <v>3.915</v>
      </c>
      <c r="AB1704" s="54">
        <f>STOCK[[#This Row],[Stock Actual]]*STOCK[[#This Row],[Costo total]]</f>
        <v>0</v>
      </c>
      <c r="AC1704" s="77">
        <v>26.1</v>
      </c>
      <c r="AD1704" s="77"/>
    </row>
    <row r="1705" s="53" customFormat="1" ht="50" customHeight="1" spans="1:30">
      <c r="A1705" s="77" t="s">
        <v>3378</v>
      </c>
      <c r="B1705" s="85"/>
      <c r="C1705" s="77"/>
      <c r="D1705" s="86" t="s">
        <v>3278</v>
      </c>
      <c r="E1705" s="87" t="s">
        <v>3379</v>
      </c>
      <c r="F1705" s="88" t="s">
        <v>3375</v>
      </c>
      <c r="G1705" s="77"/>
      <c r="H1705" s="77">
        <f>STOCK[[#This Row],[Precio Final]]</f>
        <v>12</v>
      </c>
      <c r="I1705" s="82">
        <f>STOCK[[#This Row],[Precio Venta Ideal (x1.5)]]</f>
        <v>1.8</v>
      </c>
      <c r="J1705" s="89">
        <v>1</v>
      </c>
      <c r="K1705" s="80">
        <f>SUMIFS(VENTAS[Cantidad],VENTAS[Código del producto Vendido],STOCK[[#This Row],[Code]])</f>
        <v>1</v>
      </c>
      <c r="L1705" s="80">
        <f>STOCK[[#This Row],[Entradas]]-STOCK[[#This Row],[Salidas]]</f>
        <v>0</v>
      </c>
      <c r="M1705" s="77">
        <f>STOCK[[#This Row],[Precio Final]]*10%</f>
        <v>1.2</v>
      </c>
      <c r="N1705" s="54">
        <v>0</v>
      </c>
      <c r="O1705" s="77">
        <v>0</v>
      </c>
      <c r="P1705" s="77"/>
      <c r="Q1705" s="77">
        <v>6.65</v>
      </c>
      <c r="R1705" s="80"/>
      <c r="S1705" s="77"/>
      <c r="T1705" s="77">
        <f>STOCK[[#This Row],[Costo Unitario (USD)]]+STOCK[[#This Row],[Costo Envío (USD)]]+STOCK[[#This Row],[Comisión 10%]]</f>
        <v>1.2</v>
      </c>
      <c r="U1705" s="53">
        <f>STOCK[[#This Row],[Costo total]]*1.5</f>
        <v>1.8</v>
      </c>
      <c r="V1705" s="77">
        <v>12</v>
      </c>
      <c r="W1705" s="77">
        <f>STOCK[[#This Row],[Precio Final]]-STOCK[[#This Row],[Costo total]]</f>
        <v>10.8</v>
      </c>
      <c r="X1705" s="77">
        <f>STOCK[[#This Row],[Ganancia Unitaria]]*STOCK[[#This Row],[Salidas]]</f>
        <v>10.8</v>
      </c>
      <c r="Y1705" s="77">
        <v>0</v>
      </c>
      <c r="Z1705" s="90"/>
      <c r="AA1705" s="54">
        <f>STOCK[[#This Row],[Costo total]]*STOCK[[#This Row],[Entradas]]</f>
        <v>1.2</v>
      </c>
      <c r="AB1705" s="54">
        <f>STOCK[[#This Row],[Stock Actual]]*STOCK[[#This Row],[Costo total]]</f>
        <v>0</v>
      </c>
      <c r="AC1705" s="77">
        <v>11.45</v>
      </c>
      <c r="AD1705" s="77"/>
    </row>
    <row r="1706" s="53" customFormat="1" ht="50" customHeight="1" spans="1:30">
      <c r="A1706" s="77" t="s">
        <v>3380</v>
      </c>
      <c r="B1706" s="85"/>
      <c r="C1706" s="77"/>
      <c r="D1706" s="86" t="s">
        <v>3278</v>
      </c>
      <c r="E1706" s="87" t="s">
        <v>3381</v>
      </c>
      <c r="F1706" s="88" t="s">
        <v>525</v>
      </c>
      <c r="G1706" s="77"/>
      <c r="H1706" s="77">
        <f>STOCK[[#This Row],[Precio Final]]</f>
        <v>9</v>
      </c>
      <c r="I1706" s="82">
        <f>STOCK[[#This Row],[Precio Venta Ideal (x1.5)]]</f>
        <v>1.35</v>
      </c>
      <c r="J1706" s="89">
        <v>3</v>
      </c>
      <c r="K1706" s="80">
        <f>SUMIFS(VENTAS[Cantidad],VENTAS[Código del producto Vendido],STOCK[[#This Row],[Code]])</f>
        <v>3</v>
      </c>
      <c r="L1706" s="80">
        <f>STOCK[[#This Row],[Entradas]]-STOCK[[#This Row],[Salidas]]</f>
        <v>0</v>
      </c>
      <c r="M1706" s="77">
        <f>STOCK[[#This Row],[Precio Final]]*10%</f>
        <v>0.9</v>
      </c>
      <c r="N1706" s="54">
        <v>0</v>
      </c>
      <c r="O1706" s="77">
        <v>0</v>
      </c>
      <c r="P1706" s="77"/>
      <c r="Q1706" s="77">
        <v>5</v>
      </c>
      <c r="R1706" s="80"/>
      <c r="S1706" s="77"/>
      <c r="T1706" s="77">
        <f>STOCK[[#This Row],[Costo Unitario (USD)]]+STOCK[[#This Row],[Costo Envío (USD)]]+STOCK[[#This Row],[Comisión 10%]]</f>
        <v>0.9</v>
      </c>
      <c r="U1706" s="53">
        <f>STOCK[[#This Row],[Costo total]]*1.5</f>
        <v>1.35</v>
      </c>
      <c r="V1706" s="77">
        <v>9</v>
      </c>
      <c r="W1706" s="77">
        <f>STOCK[[#This Row],[Precio Final]]-STOCK[[#This Row],[Costo total]]</f>
        <v>8.1</v>
      </c>
      <c r="X1706" s="77">
        <f>STOCK[[#This Row],[Ganancia Unitaria]]*STOCK[[#This Row],[Salidas]]</f>
        <v>24.3</v>
      </c>
      <c r="Y1706" s="77">
        <v>0</v>
      </c>
      <c r="Z1706" s="90"/>
      <c r="AA1706" s="54">
        <f>STOCK[[#This Row],[Costo total]]*STOCK[[#This Row],[Entradas]]</f>
        <v>2.7</v>
      </c>
      <c r="AB1706" s="54">
        <f>STOCK[[#This Row],[Stock Actual]]*STOCK[[#This Row],[Costo total]]</f>
        <v>0</v>
      </c>
      <c r="AC1706" s="77">
        <v>25.5</v>
      </c>
      <c r="AD1706" s="77"/>
    </row>
    <row r="1707" s="53" customFormat="1" ht="50" customHeight="1" spans="1:30">
      <c r="A1707" s="77" t="s">
        <v>3382</v>
      </c>
      <c r="B1707" s="85"/>
      <c r="C1707" s="77"/>
      <c r="D1707" s="86" t="s">
        <v>3278</v>
      </c>
      <c r="E1707" s="87" t="s">
        <v>3383</v>
      </c>
      <c r="F1707" s="88" t="s">
        <v>525</v>
      </c>
      <c r="G1707" s="77"/>
      <c r="H1707" s="77">
        <f>STOCK[[#This Row],[Precio Final]]</f>
        <v>4</v>
      </c>
      <c r="I1707" s="82">
        <f>STOCK[[#This Row],[Precio Venta Ideal (x1.5)]]</f>
        <v>0.6</v>
      </c>
      <c r="J1707" s="89">
        <v>3</v>
      </c>
      <c r="K1707" s="80">
        <f>SUMIFS(VENTAS[Cantidad],VENTAS[Código del producto Vendido],STOCK[[#This Row],[Code]])</f>
        <v>0</v>
      </c>
      <c r="L1707" s="80">
        <f>STOCK[[#This Row],[Entradas]]-STOCK[[#This Row],[Salidas]]</f>
        <v>3</v>
      </c>
      <c r="M1707" s="77">
        <f>STOCK[[#This Row],[Precio Final]]*10%</f>
        <v>0.4</v>
      </c>
      <c r="N1707" s="54">
        <v>0</v>
      </c>
      <c r="O1707" s="77">
        <v>0</v>
      </c>
      <c r="P1707" s="77"/>
      <c r="Q1707" s="77">
        <v>2</v>
      </c>
      <c r="R1707" s="80"/>
      <c r="S1707" s="77"/>
      <c r="T1707" s="77">
        <f>STOCK[[#This Row],[Costo Unitario (USD)]]+STOCK[[#This Row],[Costo Envío (USD)]]+STOCK[[#This Row],[Comisión 10%]]</f>
        <v>0.4</v>
      </c>
      <c r="U1707" s="53">
        <f>STOCK[[#This Row],[Costo total]]*1.5</f>
        <v>0.6</v>
      </c>
      <c r="V1707" s="77">
        <v>4</v>
      </c>
      <c r="W1707" s="77">
        <f>STOCK[[#This Row],[Precio Final]]-STOCK[[#This Row],[Costo total]]</f>
        <v>3.6</v>
      </c>
      <c r="X1707" s="77">
        <f>STOCK[[#This Row],[Ganancia Unitaria]]*STOCK[[#This Row],[Salidas]]</f>
        <v>0</v>
      </c>
      <c r="Y1707" s="77">
        <v>0</v>
      </c>
      <c r="Z1707" s="90"/>
      <c r="AA1707" s="54">
        <f>STOCK[[#This Row],[Costo total]]*STOCK[[#This Row],[Entradas]]</f>
        <v>1.2</v>
      </c>
      <c r="AB1707" s="54">
        <f>STOCK[[#This Row],[Stock Actual]]*STOCK[[#This Row],[Costo total]]</f>
        <v>1.2</v>
      </c>
      <c r="AC1707" s="77">
        <v>10.8</v>
      </c>
      <c r="AD1707" s="77"/>
    </row>
    <row r="1708" s="53" customFormat="1" ht="50" customHeight="1" spans="1:30">
      <c r="A1708" s="77" t="s">
        <v>3384</v>
      </c>
      <c r="B1708" s="85"/>
      <c r="C1708" s="77"/>
      <c r="D1708" s="86" t="s">
        <v>3278</v>
      </c>
      <c r="E1708" s="87" t="s">
        <v>3385</v>
      </c>
      <c r="F1708" s="88" t="s">
        <v>525</v>
      </c>
      <c r="G1708" s="77"/>
      <c r="H1708" s="77" t="e">
        <f>STOCK[[#This Row],[Precio Final]]</f>
        <v>#DIV/0!</v>
      </c>
      <c r="I1708" s="82" t="e">
        <f>STOCK[[#This Row],[Precio Venta Ideal (x1.5)]]</f>
        <v>#DIV/0!</v>
      </c>
      <c r="J1708" s="89"/>
      <c r="K1708" s="80">
        <f>SUMIFS(VENTAS[Cantidad],VENTAS[Código del producto Vendido],STOCK[[#This Row],[Code]])</f>
        <v>0</v>
      </c>
      <c r="L1708" s="80">
        <f>STOCK[[#This Row],[Entradas]]-STOCK[[#This Row],[Salidas]]</f>
        <v>0</v>
      </c>
      <c r="M1708" s="77" t="e">
        <f>STOCK[[#This Row],[Precio Final]]*10%</f>
        <v>#DIV/0!</v>
      </c>
      <c r="N1708" s="54">
        <v>0</v>
      </c>
      <c r="O1708" s="77">
        <v>0</v>
      </c>
      <c r="P1708" s="77"/>
      <c r="Q1708" s="77" t="e">
        <v>#DIV/0!</v>
      </c>
      <c r="R1708" s="80"/>
      <c r="S1708" s="77"/>
      <c r="T1708" s="77" t="e">
        <f>STOCK[[#This Row],[Costo Unitario (USD)]]+STOCK[[#This Row],[Costo Envío (USD)]]+STOCK[[#This Row],[Comisión 10%]]</f>
        <v>#DIV/0!</v>
      </c>
      <c r="U1708" s="53" t="e">
        <f>STOCK[[#This Row],[Costo total]]*1.5</f>
        <v>#DIV/0!</v>
      </c>
      <c r="V1708" s="77" t="e">
        <v>#DIV/0!</v>
      </c>
      <c r="W1708" s="77" t="e">
        <f>STOCK[[#This Row],[Precio Final]]-STOCK[[#This Row],[Costo total]]</f>
        <v>#DIV/0!</v>
      </c>
      <c r="X1708" s="77" t="e">
        <f>STOCK[[#This Row],[Ganancia Unitaria]]*STOCK[[#This Row],[Salidas]]</f>
        <v>#DIV/0!</v>
      </c>
      <c r="Y1708" s="77" t="e">
        <v>#DIV/0!</v>
      </c>
      <c r="Z1708" s="90"/>
      <c r="AA1708" s="54" t="e">
        <f>STOCK[[#This Row],[Costo total]]*STOCK[[#This Row],[Entradas]]</f>
        <v>#DIV/0!</v>
      </c>
      <c r="AB1708" s="54" t="e">
        <f>STOCK[[#This Row],[Stock Actual]]*STOCK[[#This Row],[Costo total]]</f>
        <v>#DIV/0!</v>
      </c>
      <c r="AC1708" s="77" t="e">
        <v>#DIV/0!</v>
      </c>
      <c r="AD1708" s="77"/>
    </row>
    <row r="1709" s="53" customFormat="1" ht="50" customHeight="1" spans="1:30">
      <c r="A1709" s="77" t="s">
        <v>3386</v>
      </c>
      <c r="B1709" s="85"/>
      <c r="C1709" s="77"/>
      <c r="D1709" s="86" t="s">
        <v>3278</v>
      </c>
      <c r="E1709" s="87" t="s">
        <v>3387</v>
      </c>
      <c r="F1709" s="88" t="s">
        <v>525</v>
      </c>
      <c r="G1709" s="77"/>
      <c r="H1709" s="77">
        <f>STOCK[[#This Row],[Precio Final]]</f>
        <v>4</v>
      </c>
      <c r="I1709" s="82">
        <f>STOCK[[#This Row],[Precio Venta Ideal (x1.5)]]</f>
        <v>0.6</v>
      </c>
      <c r="J1709" s="89">
        <v>1</v>
      </c>
      <c r="K1709" s="80">
        <f>SUMIFS(VENTAS[Cantidad],VENTAS[Código del producto Vendido],STOCK[[#This Row],[Code]])</f>
        <v>1</v>
      </c>
      <c r="L1709" s="80">
        <f>STOCK[[#This Row],[Entradas]]-STOCK[[#This Row],[Salidas]]</f>
        <v>0</v>
      </c>
      <c r="M1709" s="77">
        <f>STOCK[[#This Row],[Precio Final]]*10%</f>
        <v>0.4</v>
      </c>
      <c r="N1709" s="54">
        <v>0</v>
      </c>
      <c r="O1709" s="77">
        <v>0</v>
      </c>
      <c r="P1709" s="77"/>
      <c r="Q1709" s="77">
        <v>2.1</v>
      </c>
      <c r="R1709" s="80"/>
      <c r="S1709" s="77"/>
      <c r="T1709" s="77">
        <f>STOCK[[#This Row],[Costo Unitario (USD)]]+STOCK[[#This Row],[Costo Envío (USD)]]+STOCK[[#This Row],[Comisión 10%]]</f>
        <v>0.4</v>
      </c>
      <c r="U1709" s="53">
        <f>STOCK[[#This Row],[Costo total]]*1.5</f>
        <v>0.6</v>
      </c>
      <c r="V1709" s="77">
        <v>4</v>
      </c>
      <c r="W1709" s="77">
        <f>STOCK[[#This Row],[Precio Final]]-STOCK[[#This Row],[Costo total]]</f>
        <v>3.6</v>
      </c>
      <c r="X1709" s="77">
        <f>STOCK[[#This Row],[Ganancia Unitaria]]*STOCK[[#This Row],[Salidas]]</f>
        <v>3.6</v>
      </c>
      <c r="Y1709" s="77">
        <v>0</v>
      </c>
      <c r="Z1709" s="90"/>
      <c r="AA1709" s="54">
        <f>STOCK[[#This Row],[Costo total]]*STOCK[[#This Row],[Entradas]]</f>
        <v>0.4</v>
      </c>
      <c r="AB1709" s="54">
        <f>STOCK[[#This Row],[Stock Actual]]*STOCK[[#This Row],[Costo total]]</f>
        <v>0</v>
      </c>
      <c r="AC1709" s="77">
        <v>3.5</v>
      </c>
      <c r="AD1709" s="77"/>
    </row>
    <row r="1710" s="53" customFormat="1" ht="50" customHeight="1" spans="1:30">
      <c r="A1710" s="77" t="s">
        <v>3388</v>
      </c>
      <c r="B1710" s="85"/>
      <c r="C1710" s="77"/>
      <c r="D1710" s="86" t="s">
        <v>3278</v>
      </c>
      <c r="E1710" s="87" t="s">
        <v>3389</v>
      </c>
      <c r="F1710" s="88" t="s">
        <v>525</v>
      </c>
      <c r="G1710" s="77"/>
      <c r="H1710" s="77">
        <f>STOCK[[#This Row],[Precio Final]]</f>
        <v>14</v>
      </c>
      <c r="I1710" s="82">
        <f>STOCK[[#This Row],[Precio Venta Ideal (x1.5)]]</f>
        <v>2.1</v>
      </c>
      <c r="J1710" s="89">
        <v>1</v>
      </c>
      <c r="K1710" s="80">
        <f>SUMIFS(VENTAS[Cantidad],VENTAS[Código del producto Vendido],STOCK[[#This Row],[Code]])</f>
        <v>1</v>
      </c>
      <c r="L1710" s="80">
        <f>STOCK[[#This Row],[Entradas]]-STOCK[[#This Row],[Salidas]]</f>
        <v>0</v>
      </c>
      <c r="M1710" s="77">
        <f>STOCK[[#This Row],[Precio Final]]*10%</f>
        <v>1.4</v>
      </c>
      <c r="N1710" s="54">
        <v>0</v>
      </c>
      <c r="O1710" s="77">
        <v>0</v>
      </c>
      <c r="P1710" s="77"/>
      <c r="Q1710" s="77">
        <v>11</v>
      </c>
      <c r="R1710" s="80"/>
      <c r="S1710" s="77"/>
      <c r="T1710" s="77">
        <f>STOCK[[#This Row],[Costo Unitario (USD)]]+STOCK[[#This Row],[Costo Envío (USD)]]+STOCK[[#This Row],[Comisión 10%]]</f>
        <v>1.4</v>
      </c>
      <c r="U1710" s="53">
        <f>STOCK[[#This Row],[Costo total]]*1.5</f>
        <v>2.1</v>
      </c>
      <c r="V1710" s="77">
        <v>14</v>
      </c>
      <c r="W1710" s="77">
        <f>STOCK[[#This Row],[Precio Final]]-STOCK[[#This Row],[Costo total]]</f>
        <v>12.6</v>
      </c>
      <c r="X1710" s="77">
        <f>STOCK[[#This Row],[Ganancia Unitaria]]*STOCK[[#This Row],[Salidas]]</f>
        <v>12.6</v>
      </c>
      <c r="Y1710" s="77">
        <v>0</v>
      </c>
      <c r="Z1710" s="90"/>
      <c r="AA1710" s="54">
        <f>STOCK[[#This Row],[Costo total]]*STOCK[[#This Row],[Entradas]]</f>
        <v>1.4</v>
      </c>
      <c r="AB1710" s="54">
        <f>STOCK[[#This Row],[Stock Actual]]*STOCK[[#This Row],[Costo total]]</f>
        <v>0</v>
      </c>
      <c r="AC1710" s="77">
        <v>14</v>
      </c>
      <c r="AD1710" s="77"/>
    </row>
    <row r="1711" s="53" customFormat="1" ht="50" customHeight="1" spans="1:30">
      <c r="A1711" s="77" t="s">
        <v>3390</v>
      </c>
      <c r="B1711" s="85"/>
      <c r="C1711" s="77"/>
      <c r="D1711" s="86" t="s">
        <v>3278</v>
      </c>
      <c r="E1711" s="87" t="s">
        <v>3391</v>
      </c>
      <c r="F1711" s="88" t="s">
        <v>525</v>
      </c>
      <c r="G1711" s="77"/>
      <c r="H1711" s="77">
        <f>STOCK[[#This Row],[Precio Final]]</f>
        <v>5</v>
      </c>
      <c r="I1711" s="82">
        <f>STOCK[[#This Row],[Precio Venta Ideal (x1.5)]]</f>
        <v>0.75</v>
      </c>
      <c r="J1711" s="89">
        <v>1</v>
      </c>
      <c r="K1711" s="80">
        <f>SUMIFS(VENTAS[Cantidad],VENTAS[Código del producto Vendido],STOCK[[#This Row],[Code]])</f>
        <v>0</v>
      </c>
      <c r="L1711" s="80">
        <f>STOCK[[#This Row],[Entradas]]-STOCK[[#This Row],[Salidas]]</f>
        <v>1</v>
      </c>
      <c r="M1711" s="77">
        <f>STOCK[[#This Row],[Precio Final]]*10%</f>
        <v>0.5</v>
      </c>
      <c r="N1711" s="54">
        <v>0</v>
      </c>
      <c r="O1711" s="77">
        <v>0</v>
      </c>
      <c r="P1711" s="77"/>
      <c r="Q1711" s="77">
        <v>2.99</v>
      </c>
      <c r="R1711" s="80"/>
      <c r="S1711" s="77"/>
      <c r="T1711" s="77">
        <f>STOCK[[#This Row],[Costo Unitario (USD)]]+STOCK[[#This Row],[Costo Envío (USD)]]+STOCK[[#This Row],[Comisión 10%]]</f>
        <v>0.5</v>
      </c>
      <c r="U1711" s="53">
        <f>STOCK[[#This Row],[Costo total]]*1.5</f>
        <v>0.75</v>
      </c>
      <c r="V1711" s="77">
        <v>5</v>
      </c>
      <c r="W1711" s="77">
        <f>STOCK[[#This Row],[Precio Final]]-STOCK[[#This Row],[Costo total]]</f>
        <v>4.5</v>
      </c>
      <c r="X1711" s="77">
        <f>STOCK[[#This Row],[Ganancia Unitaria]]*STOCK[[#This Row],[Salidas]]</f>
        <v>0</v>
      </c>
      <c r="Y1711" s="77">
        <v>0</v>
      </c>
      <c r="Z1711" s="90"/>
      <c r="AA1711" s="54">
        <f>STOCK[[#This Row],[Costo total]]*STOCK[[#This Row],[Entradas]]</f>
        <v>0.5</v>
      </c>
      <c r="AB1711" s="54">
        <f>STOCK[[#This Row],[Stock Actual]]*STOCK[[#This Row],[Costo total]]</f>
        <v>0.5</v>
      </c>
      <c r="AC1711" s="77">
        <v>4.79</v>
      </c>
      <c r="AD1711" s="77"/>
    </row>
    <row r="1712" s="53" customFormat="1" ht="50" customHeight="1" spans="1:30">
      <c r="A1712" s="77" t="s">
        <v>3392</v>
      </c>
      <c r="B1712" s="85"/>
      <c r="C1712" s="77"/>
      <c r="D1712" s="86" t="s">
        <v>3278</v>
      </c>
      <c r="E1712" s="87" t="s">
        <v>3393</v>
      </c>
      <c r="F1712" s="88" t="s">
        <v>3394</v>
      </c>
      <c r="G1712" s="77"/>
      <c r="H1712" s="77">
        <f>STOCK[[#This Row],[Precio Final]]</f>
        <v>18</v>
      </c>
      <c r="I1712" s="82">
        <f>STOCK[[#This Row],[Precio Venta Ideal (x1.5)]]</f>
        <v>2.7</v>
      </c>
      <c r="J1712" s="89">
        <v>2</v>
      </c>
      <c r="K1712" s="80">
        <f>SUMIFS(VENTAS[Cantidad],VENTAS[Código del producto Vendido],STOCK[[#This Row],[Code]])</f>
        <v>2</v>
      </c>
      <c r="L1712" s="80">
        <f>STOCK[[#This Row],[Entradas]]-STOCK[[#This Row],[Salidas]]</f>
        <v>0</v>
      </c>
      <c r="M1712" s="77">
        <f>STOCK[[#This Row],[Precio Final]]*10%</f>
        <v>1.8</v>
      </c>
      <c r="N1712" s="54">
        <v>0</v>
      </c>
      <c r="O1712" s="77">
        <v>0</v>
      </c>
      <c r="P1712" s="77"/>
      <c r="Q1712" s="77">
        <v>13.91</v>
      </c>
      <c r="R1712" s="80"/>
      <c r="S1712" s="77"/>
      <c r="T1712" s="77">
        <f>STOCK[[#This Row],[Costo Unitario (USD)]]+STOCK[[#This Row],[Costo Envío (USD)]]+STOCK[[#This Row],[Comisión 10%]]</f>
        <v>1.8</v>
      </c>
      <c r="U1712" s="53">
        <f>STOCK[[#This Row],[Costo total]]*1.5</f>
        <v>2.7</v>
      </c>
      <c r="V1712" s="77">
        <v>18</v>
      </c>
      <c r="W1712" s="77">
        <f>STOCK[[#This Row],[Precio Final]]-STOCK[[#This Row],[Costo total]]</f>
        <v>16.2</v>
      </c>
      <c r="X1712" s="77">
        <f>STOCK[[#This Row],[Ganancia Unitaria]]*STOCK[[#This Row],[Salidas]]</f>
        <v>32.4</v>
      </c>
      <c r="Y1712" s="77">
        <v>0</v>
      </c>
      <c r="Z1712" s="90"/>
      <c r="AA1712" s="54">
        <f>STOCK[[#This Row],[Costo total]]*STOCK[[#This Row],[Entradas]]</f>
        <v>3.6</v>
      </c>
      <c r="AB1712" s="54">
        <f>STOCK[[#This Row],[Stock Actual]]*STOCK[[#This Row],[Costo total]]</f>
        <v>0</v>
      </c>
      <c r="AC1712" s="77">
        <v>17.41</v>
      </c>
      <c r="AD1712" s="77"/>
    </row>
    <row r="1713" s="53" customFormat="1" ht="50" customHeight="1" spans="1:30">
      <c r="A1713" s="77" t="s">
        <v>3395</v>
      </c>
      <c r="B1713" s="85"/>
      <c r="C1713" s="77"/>
      <c r="D1713" s="86" t="s">
        <v>3278</v>
      </c>
      <c r="E1713" s="87" t="s">
        <v>3396</v>
      </c>
      <c r="F1713" s="88" t="s">
        <v>525</v>
      </c>
      <c r="G1713" s="77"/>
      <c r="H1713" s="77">
        <f>STOCK[[#This Row],[Precio Final]]</f>
        <v>7</v>
      </c>
      <c r="I1713" s="82">
        <f>STOCK[[#This Row],[Precio Venta Ideal (x1.5)]]</f>
        <v>1.05</v>
      </c>
      <c r="J1713" s="89">
        <v>1</v>
      </c>
      <c r="K1713" s="80">
        <f>SUMIFS(VENTAS[Cantidad],VENTAS[Código del producto Vendido],STOCK[[#This Row],[Code]])</f>
        <v>1</v>
      </c>
      <c r="L1713" s="80">
        <f>STOCK[[#This Row],[Entradas]]-STOCK[[#This Row],[Salidas]]</f>
        <v>0</v>
      </c>
      <c r="M1713" s="77">
        <f>STOCK[[#This Row],[Precio Final]]*10%</f>
        <v>0.7</v>
      </c>
      <c r="N1713" s="54">
        <v>0</v>
      </c>
      <c r="O1713" s="77">
        <v>0</v>
      </c>
      <c r="P1713" s="77"/>
      <c r="Q1713" s="77">
        <v>4.81</v>
      </c>
      <c r="R1713" s="80"/>
      <c r="S1713" s="77"/>
      <c r="T1713" s="77">
        <f>STOCK[[#This Row],[Costo Unitario (USD)]]+STOCK[[#This Row],[Costo Envío (USD)]]+STOCK[[#This Row],[Comisión 10%]]</f>
        <v>0.7</v>
      </c>
      <c r="U1713" s="53">
        <f>STOCK[[#This Row],[Costo total]]*1.5</f>
        <v>1.05</v>
      </c>
      <c r="V1713" s="77">
        <v>7</v>
      </c>
      <c r="W1713" s="77">
        <f>STOCK[[#This Row],[Precio Final]]-STOCK[[#This Row],[Costo total]]</f>
        <v>6.3</v>
      </c>
      <c r="X1713" s="77">
        <f>STOCK[[#This Row],[Ganancia Unitaria]]*STOCK[[#This Row],[Salidas]]</f>
        <v>6.3</v>
      </c>
      <c r="Y1713" s="77">
        <v>0</v>
      </c>
      <c r="Z1713" s="90"/>
      <c r="AA1713" s="54">
        <f>STOCK[[#This Row],[Costo total]]*STOCK[[#This Row],[Entradas]]</f>
        <v>0.7</v>
      </c>
      <c r="AB1713" s="54">
        <f>STOCK[[#This Row],[Stock Actual]]*STOCK[[#This Row],[Costo total]]</f>
        <v>0</v>
      </c>
      <c r="AC1713" s="77">
        <v>6.71</v>
      </c>
      <c r="AD1713" s="77"/>
    </row>
    <row r="1714" s="53" customFormat="1" ht="50" customHeight="1" spans="1:30">
      <c r="A1714" s="77" t="s">
        <v>3397</v>
      </c>
      <c r="B1714" s="85"/>
      <c r="C1714" s="77"/>
      <c r="D1714" s="86" t="s">
        <v>3278</v>
      </c>
      <c r="E1714" s="87" t="s">
        <v>3398</v>
      </c>
      <c r="F1714" s="88" t="s">
        <v>525</v>
      </c>
      <c r="G1714" s="77"/>
      <c r="H1714" s="77">
        <f>STOCK[[#This Row],[Precio Final]]</f>
        <v>3</v>
      </c>
      <c r="I1714" s="82">
        <f>STOCK[[#This Row],[Precio Venta Ideal (x1.5)]]</f>
        <v>0.45</v>
      </c>
      <c r="J1714" s="89">
        <v>1</v>
      </c>
      <c r="K1714" s="80">
        <f>SUMIFS(VENTAS[Cantidad],VENTAS[Código del producto Vendido],STOCK[[#This Row],[Code]])</f>
        <v>1</v>
      </c>
      <c r="L1714" s="80">
        <f>STOCK[[#This Row],[Entradas]]-STOCK[[#This Row],[Salidas]]</f>
        <v>0</v>
      </c>
      <c r="M1714" s="77">
        <f>STOCK[[#This Row],[Precio Final]]*10%</f>
        <v>0.3</v>
      </c>
      <c r="N1714" s="54">
        <v>0</v>
      </c>
      <c r="O1714" s="77">
        <v>0</v>
      </c>
      <c r="P1714" s="77"/>
      <c r="Q1714" s="77">
        <v>1.46</v>
      </c>
      <c r="R1714" s="80"/>
      <c r="S1714" s="77"/>
      <c r="T1714" s="77">
        <f>STOCK[[#This Row],[Costo Unitario (USD)]]+STOCK[[#This Row],[Costo Envío (USD)]]+STOCK[[#This Row],[Comisión 10%]]</f>
        <v>0.3</v>
      </c>
      <c r="U1714" s="53">
        <f>STOCK[[#This Row],[Costo total]]*1.5</f>
        <v>0.45</v>
      </c>
      <c r="V1714" s="77">
        <v>3</v>
      </c>
      <c r="W1714" s="77">
        <f>STOCK[[#This Row],[Precio Final]]-STOCK[[#This Row],[Costo total]]</f>
        <v>2.7</v>
      </c>
      <c r="X1714" s="77">
        <f>STOCK[[#This Row],[Ganancia Unitaria]]*STOCK[[#This Row],[Salidas]]</f>
        <v>2.7</v>
      </c>
      <c r="Y1714" s="77">
        <v>0</v>
      </c>
      <c r="Z1714" s="90"/>
      <c r="AA1714" s="54">
        <f>STOCK[[#This Row],[Costo total]]*STOCK[[#This Row],[Entradas]]</f>
        <v>0.3</v>
      </c>
      <c r="AB1714" s="54">
        <f>STOCK[[#This Row],[Stock Actual]]*STOCK[[#This Row],[Costo total]]</f>
        <v>0</v>
      </c>
      <c r="AC1714" s="77">
        <v>2.86</v>
      </c>
      <c r="AD1714" s="77"/>
    </row>
    <row r="1715" s="53" customFormat="1" ht="50" customHeight="1" spans="1:30">
      <c r="A1715" s="77" t="s">
        <v>3399</v>
      </c>
      <c r="B1715" s="85"/>
      <c r="C1715" s="77"/>
      <c r="D1715" s="86" t="s">
        <v>3278</v>
      </c>
      <c r="E1715" s="87" t="s">
        <v>3400</v>
      </c>
      <c r="F1715" s="88" t="s">
        <v>2108</v>
      </c>
      <c r="G1715" s="77"/>
      <c r="H1715" s="77">
        <f>STOCK[[#This Row],[Precio Final]]</f>
        <v>14</v>
      </c>
      <c r="I1715" s="82">
        <f>STOCK[[#This Row],[Precio Venta Ideal (x1.5)]]</f>
        <v>2.1</v>
      </c>
      <c r="J1715" s="89">
        <v>1</v>
      </c>
      <c r="K1715" s="80">
        <f>SUMIFS(VENTAS[Cantidad],VENTAS[Código del producto Vendido],STOCK[[#This Row],[Code]])</f>
        <v>1</v>
      </c>
      <c r="L1715" s="80">
        <f>STOCK[[#This Row],[Entradas]]-STOCK[[#This Row],[Salidas]]</f>
        <v>0</v>
      </c>
      <c r="M1715" s="77">
        <f>STOCK[[#This Row],[Precio Final]]*10%</f>
        <v>1.4</v>
      </c>
      <c r="N1715" s="54">
        <v>0</v>
      </c>
      <c r="O1715" s="77">
        <v>0</v>
      </c>
      <c r="P1715" s="77"/>
      <c r="Q1715" s="77">
        <v>10.69</v>
      </c>
      <c r="R1715" s="80"/>
      <c r="S1715" s="77"/>
      <c r="T1715" s="77">
        <f>STOCK[[#This Row],[Costo Unitario (USD)]]+STOCK[[#This Row],[Costo Envío (USD)]]+STOCK[[#This Row],[Comisión 10%]]</f>
        <v>1.4</v>
      </c>
      <c r="U1715" s="53">
        <f>STOCK[[#This Row],[Costo total]]*1.5</f>
        <v>2.1</v>
      </c>
      <c r="V1715" s="77">
        <v>14</v>
      </c>
      <c r="W1715" s="77">
        <f>STOCK[[#This Row],[Precio Final]]-STOCK[[#This Row],[Costo total]]</f>
        <v>12.6</v>
      </c>
      <c r="X1715" s="77">
        <f>STOCK[[#This Row],[Ganancia Unitaria]]*STOCK[[#This Row],[Salidas]]</f>
        <v>12.6</v>
      </c>
      <c r="Y1715" s="77">
        <v>0</v>
      </c>
      <c r="Z1715" s="90"/>
      <c r="AA1715" s="54">
        <f>STOCK[[#This Row],[Costo total]]*STOCK[[#This Row],[Entradas]]</f>
        <v>1.4</v>
      </c>
      <c r="AB1715" s="54">
        <f>STOCK[[#This Row],[Stock Actual]]*STOCK[[#This Row],[Costo total]]</f>
        <v>0</v>
      </c>
      <c r="AC1715" s="77">
        <v>13.39</v>
      </c>
      <c r="AD1715" s="77"/>
    </row>
    <row r="1716" s="53" customFormat="1" ht="50" customHeight="1" spans="1:30">
      <c r="A1716" s="77" t="s">
        <v>3401</v>
      </c>
      <c r="B1716" s="85"/>
      <c r="C1716" s="77"/>
      <c r="D1716" s="86" t="s">
        <v>3278</v>
      </c>
      <c r="E1716" s="87" t="s">
        <v>3400</v>
      </c>
      <c r="F1716" s="88" t="s">
        <v>3402</v>
      </c>
      <c r="G1716" s="77"/>
      <c r="H1716" s="77">
        <f>STOCK[[#This Row],[Precio Final]]</f>
        <v>14</v>
      </c>
      <c r="I1716" s="82">
        <f>STOCK[[#This Row],[Precio Venta Ideal (x1.5)]]</f>
        <v>2.1</v>
      </c>
      <c r="J1716" s="89">
        <v>1</v>
      </c>
      <c r="K1716" s="80">
        <f>SUMIFS(VENTAS[Cantidad],VENTAS[Código del producto Vendido],STOCK[[#This Row],[Code]])</f>
        <v>1</v>
      </c>
      <c r="L1716" s="80">
        <f>STOCK[[#This Row],[Entradas]]-STOCK[[#This Row],[Salidas]]</f>
        <v>0</v>
      </c>
      <c r="M1716" s="77">
        <f>STOCK[[#This Row],[Precio Final]]*10%</f>
        <v>1.4</v>
      </c>
      <c r="N1716" s="54">
        <v>0</v>
      </c>
      <c r="O1716" s="77">
        <v>0</v>
      </c>
      <c r="P1716" s="77"/>
      <c r="Q1716" s="77">
        <v>10.69</v>
      </c>
      <c r="R1716" s="80"/>
      <c r="S1716" s="77"/>
      <c r="T1716" s="77">
        <f>STOCK[[#This Row],[Costo Unitario (USD)]]+STOCK[[#This Row],[Costo Envío (USD)]]+STOCK[[#This Row],[Comisión 10%]]</f>
        <v>1.4</v>
      </c>
      <c r="U1716" s="53">
        <f>STOCK[[#This Row],[Costo total]]*1.5</f>
        <v>2.1</v>
      </c>
      <c r="V1716" s="77">
        <v>14</v>
      </c>
      <c r="W1716" s="77">
        <f>STOCK[[#This Row],[Precio Final]]-STOCK[[#This Row],[Costo total]]</f>
        <v>12.6</v>
      </c>
      <c r="X1716" s="77">
        <f>STOCK[[#This Row],[Ganancia Unitaria]]*STOCK[[#This Row],[Salidas]]</f>
        <v>12.6</v>
      </c>
      <c r="Y1716" s="77">
        <v>0</v>
      </c>
      <c r="Z1716" s="90"/>
      <c r="AA1716" s="54">
        <f>STOCK[[#This Row],[Costo total]]*STOCK[[#This Row],[Entradas]]</f>
        <v>1.4</v>
      </c>
      <c r="AB1716" s="54">
        <f>STOCK[[#This Row],[Stock Actual]]*STOCK[[#This Row],[Costo total]]</f>
        <v>0</v>
      </c>
      <c r="AC1716" s="77">
        <v>13.39</v>
      </c>
      <c r="AD1716" s="77"/>
    </row>
    <row r="1717" s="53" customFormat="1" ht="50" customHeight="1" spans="1:30">
      <c r="A1717" s="77" t="s">
        <v>3403</v>
      </c>
      <c r="B1717" s="85"/>
      <c r="C1717" s="77"/>
      <c r="D1717" s="86" t="s">
        <v>3278</v>
      </c>
      <c r="E1717" s="87" t="s">
        <v>3404</v>
      </c>
      <c r="F1717" s="88" t="s">
        <v>62</v>
      </c>
      <c r="G1717" s="77"/>
      <c r="H1717" s="77">
        <f>STOCK[[#This Row],[Precio Final]]</f>
        <v>12</v>
      </c>
      <c r="I1717" s="82">
        <f>STOCK[[#This Row],[Precio Venta Ideal (x1.5)]]</f>
        <v>1.8</v>
      </c>
      <c r="J1717" s="89">
        <v>1</v>
      </c>
      <c r="K1717" s="80">
        <f>SUMIFS(VENTAS[Cantidad],VENTAS[Código del producto Vendido],STOCK[[#This Row],[Code]])</f>
        <v>0</v>
      </c>
      <c r="L1717" s="80">
        <f>STOCK[[#This Row],[Entradas]]-STOCK[[#This Row],[Salidas]]</f>
        <v>1</v>
      </c>
      <c r="M1717" s="77">
        <f>STOCK[[#This Row],[Precio Final]]*10%</f>
        <v>1.2</v>
      </c>
      <c r="N1717" s="54">
        <v>0</v>
      </c>
      <c r="O1717" s="77">
        <v>0</v>
      </c>
      <c r="P1717" s="77"/>
      <c r="Q1717" s="77">
        <v>8.14</v>
      </c>
      <c r="R1717" s="80"/>
      <c r="S1717" s="77"/>
      <c r="T1717" s="77">
        <f>STOCK[[#This Row],[Costo Unitario (USD)]]+STOCK[[#This Row],[Costo Envío (USD)]]+STOCK[[#This Row],[Comisión 10%]]</f>
        <v>1.2</v>
      </c>
      <c r="U1717" s="53">
        <f>STOCK[[#This Row],[Costo total]]*1.5</f>
        <v>1.8</v>
      </c>
      <c r="V1717" s="77">
        <v>12</v>
      </c>
      <c r="W1717" s="77">
        <f>STOCK[[#This Row],[Precio Final]]-STOCK[[#This Row],[Costo total]]</f>
        <v>10.8</v>
      </c>
      <c r="X1717" s="77">
        <f>STOCK[[#This Row],[Ganancia Unitaria]]*STOCK[[#This Row],[Salidas]]</f>
        <v>0</v>
      </c>
      <c r="Y1717" s="77">
        <v>0</v>
      </c>
      <c r="Z1717" s="90"/>
      <c r="AA1717" s="54">
        <f>STOCK[[#This Row],[Costo total]]*STOCK[[#This Row],[Entradas]]</f>
        <v>1.2</v>
      </c>
      <c r="AB1717" s="54">
        <f>STOCK[[#This Row],[Stock Actual]]*STOCK[[#This Row],[Costo total]]</f>
        <v>1.2</v>
      </c>
      <c r="AC1717" s="77">
        <v>11.14</v>
      </c>
      <c r="AD1717" s="77"/>
    </row>
    <row r="1718" s="53" customFormat="1" ht="50" customHeight="1" spans="1:30">
      <c r="A1718" s="77" t="s">
        <v>3405</v>
      </c>
      <c r="B1718" s="85"/>
      <c r="C1718" s="77"/>
      <c r="D1718" s="86" t="s">
        <v>3278</v>
      </c>
      <c r="E1718" s="87" t="s">
        <v>3406</v>
      </c>
      <c r="F1718" s="88" t="s">
        <v>525</v>
      </c>
      <c r="G1718" s="77"/>
      <c r="H1718" s="77">
        <f>STOCK[[#This Row],[Precio Final]]</f>
        <v>5</v>
      </c>
      <c r="I1718" s="82">
        <f>STOCK[[#This Row],[Precio Venta Ideal (x1.5)]]</f>
        <v>0.75</v>
      </c>
      <c r="J1718" s="89">
        <v>1</v>
      </c>
      <c r="K1718" s="80">
        <f>SUMIFS(VENTAS[Cantidad],VENTAS[Código del producto Vendido],STOCK[[#This Row],[Code]])</f>
        <v>0</v>
      </c>
      <c r="L1718" s="80">
        <f>STOCK[[#This Row],[Entradas]]-STOCK[[#This Row],[Salidas]]</f>
        <v>1</v>
      </c>
      <c r="M1718" s="77">
        <f>STOCK[[#This Row],[Precio Final]]*10%</f>
        <v>0.5</v>
      </c>
      <c r="N1718" s="54">
        <v>0</v>
      </c>
      <c r="O1718" s="77">
        <v>0</v>
      </c>
      <c r="P1718" s="77"/>
      <c r="Q1718" s="77">
        <v>3</v>
      </c>
      <c r="R1718" s="80"/>
      <c r="S1718" s="77"/>
      <c r="T1718" s="77">
        <f>STOCK[[#This Row],[Costo Unitario (USD)]]+STOCK[[#This Row],[Costo Envío (USD)]]+STOCK[[#This Row],[Comisión 10%]]</f>
        <v>0.5</v>
      </c>
      <c r="U1718" s="53">
        <f>STOCK[[#This Row],[Costo total]]*1.5</f>
        <v>0.75</v>
      </c>
      <c r="V1718" s="77">
        <v>5</v>
      </c>
      <c r="W1718" s="77">
        <f>STOCK[[#This Row],[Precio Final]]-STOCK[[#This Row],[Costo total]]</f>
        <v>4.5</v>
      </c>
      <c r="X1718" s="77">
        <f>STOCK[[#This Row],[Ganancia Unitaria]]*STOCK[[#This Row],[Salidas]]</f>
        <v>0</v>
      </c>
      <c r="Y1718" s="77">
        <v>0</v>
      </c>
      <c r="Z1718" s="90"/>
      <c r="AA1718" s="54">
        <f>STOCK[[#This Row],[Costo total]]*STOCK[[#This Row],[Entradas]]</f>
        <v>0.5</v>
      </c>
      <c r="AB1718" s="54">
        <f>STOCK[[#This Row],[Stock Actual]]*STOCK[[#This Row],[Costo total]]</f>
        <v>0.5</v>
      </c>
      <c r="AC1718" s="77">
        <v>4.8</v>
      </c>
      <c r="AD1718" s="77"/>
    </row>
    <row r="1719" s="53" customFormat="1" ht="50" customHeight="1" spans="1:30">
      <c r="A1719" s="77" t="s">
        <v>3407</v>
      </c>
      <c r="B1719" s="85"/>
      <c r="C1719" s="77"/>
      <c r="D1719" s="86" t="s">
        <v>3278</v>
      </c>
      <c r="E1719" s="87" t="s">
        <v>3408</v>
      </c>
      <c r="F1719" s="88" t="s">
        <v>3402</v>
      </c>
      <c r="G1719" s="77"/>
      <c r="H1719" s="77">
        <f>STOCK[[#This Row],[Precio Final]]</f>
        <v>15</v>
      </c>
      <c r="I1719" s="82">
        <f>STOCK[[#This Row],[Precio Venta Ideal (x1.5)]]</f>
        <v>2.25</v>
      </c>
      <c r="J1719" s="89">
        <v>1</v>
      </c>
      <c r="K1719" s="80">
        <f>SUMIFS(VENTAS[Cantidad],VENTAS[Código del producto Vendido],STOCK[[#This Row],[Code]])</f>
        <v>1</v>
      </c>
      <c r="L1719" s="80">
        <f>STOCK[[#This Row],[Entradas]]-STOCK[[#This Row],[Salidas]]</f>
        <v>0</v>
      </c>
      <c r="M1719" s="77">
        <f>STOCK[[#This Row],[Precio Final]]*10%</f>
        <v>1.5</v>
      </c>
      <c r="N1719" s="54">
        <v>0</v>
      </c>
      <c r="O1719" s="77">
        <v>0</v>
      </c>
      <c r="P1719" s="77"/>
      <c r="Q1719" s="77">
        <v>11.2</v>
      </c>
      <c r="R1719" s="80"/>
      <c r="S1719" s="77"/>
      <c r="T1719" s="77">
        <f>STOCK[[#This Row],[Costo Unitario (USD)]]+STOCK[[#This Row],[Costo Envío (USD)]]+STOCK[[#This Row],[Comisión 10%]]</f>
        <v>1.5</v>
      </c>
      <c r="U1719" s="53">
        <f>STOCK[[#This Row],[Costo total]]*1.5</f>
        <v>2.25</v>
      </c>
      <c r="V1719" s="77">
        <v>15</v>
      </c>
      <c r="W1719" s="77">
        <f>STOCK[[#This Row],[Precio Final]]-STOCK[[#This Row],[Costo total]]</f>
        <v>13.5</v>
      </c>
      <c r="X1719" s="77">
        <f>STOCK[[#This Row],[Ganancia Unitaria]]*STOCK[[#This Row],[Salidas]]</f>
        <v>13.5</v>
      </c>
      <c r="Y1719" s="77">
        <v>0</v>
      </c>
      <c r="Z1719" s="90"/>
      <c r="AA1719" s="54">
        <f>STOCK[[#This Row],[Costo total]]*STOCK[[#This Row],[Entradas]]</f>
        <v>1.5</v>
      </c>
      <c r="AB1719" s="54">
        <f>STOCK[[#This Row],[Stock Actual]]*STOCK[[#This Row],[Costo total]]</f>
        <v>0</v>
      </c>
      <c r="AC1719" s="77">
        <v>14.2</v>
      </c>
      <c r="AD1719" s="77"/>
    </row>
    <row r="1720" s="53" customFormat="1" ht="50" customHeight="1" spans="1:30">
      <c r="A1720" s="77" t="s">
        <v>3409</v>
      </c>
      <c r="B1720" s="85"/>
      <c r="C1720" s="77"/>
      <c r="D1720" s="86" t="s">
        <v>3278</v>
      </c>
      <c r="E1720" s="87" t="s">
        <v>3408</v>
      </c>
      <c r="F1720" s="88" t="s">
        <v>3410</v>
      </c>
      <c r="G1720" s="77"/>
      <c r="H1720" s="77">
        <f>STOCK[[#This Row],[Precio Final]]</f>
        <v>15</v>
      </c>
      <c r="I1720" s="82">
        <f>STOCK[[#This Row],[Precio Venta Ideal (x1.5)]]</f>
        <v>2.25</v>
      </c>
      <c r="J1720" s="89">
        <v>1</v>
      </c>
      <c r="K1720" s="80">
        <f>SUMIFS(VENTAS[Cantidad],VENTAS[Código del producto Vendido],STOCK[[#This Row],[Code]])</f>
        <v>1</v>
      </c>
      <c r="L1720" s="80">
        <f>STOCK[[#This Row],[Entradas]]-STOCK[[#This Row],[Salidas]]</f>
        <v>0</v>
      </c>
      <c r="M1720" s="77">
        <f>STOCK[[#This Row],[Precio Final]]*10%</f>
        <v>1.5</v>
      </c>
      <c r="N1720" s="54">
        <v>0</v>
      </c>
      <c r="O1720" s="77">
        <v>0</v>
      </c>
      <c r="P1720" s="77"/>
      <c r="Q1720" s="77">
        <v>11.2</v>
      </c>
      <c r="R1720" s="80"/>
      <c r="S1720" s="77"/>
      <c r="T1720" s="77">
        <f>STOCK[[#This Row],[Costo Unitario (USD)]]+STOCK[[#This Row],[Costo Envío (USD)]]+STOCK[[#This Row],[Comisión 10%]]</f>
        <v>1.5</v>
      </c>
      <c r="U1720" s="53">
        <f>STOCK[[#This Row],[Costo total]]*1.5</f>
        <v>2.25</v>
      </c>
      <c r="V1720" s="77">
        <v>15</v>
      </c>
      <c r="W1720" s="77">
        <f>STOCK[[#This Row],[Precio Final]]-STOCK[[#This Row],[Costo total]]</f>
        <v>13.5</v>
      </c>
      <c r="X1720" s="77">
        <f>STOCK[[#This Row],[Ganancia Unitaria]]*STOCK[[#This Row],[Salidas]]</f>
        <v>13.5</v>
      </c>
      <c r="Y1720" s="77">
        <v>0</v>
      </c>
      <c r="Z1720" s="90"/>
      <c r="AA1720" s="54">
        <f>STOCK[[#This Row],[Costo total]]*STOCK[[#This Row],[Entradas]]</f>
        <v>1.5</v>
      </c>
      <c r="AB1720" s="54">
        <f>STOCK[[#This Row],[Stock Actual]]*STOCK[[#This Row],[Costo total]]</f>
        <v>0</v>
      </c>
      <c r="AC1720" s="77">
        <v>14.2</v>
      </c>
      <c r="AD1720" s="77"/>
    </row>
    <row r="1721" s="53" customFormat="1" ht="50" customHeight="1" spans="1:30">
      <c r="A1721" s="77" t="s">
        <v>3411</v>
      </c>
      <c r="B1721" s="85"/>
      <c r="C1721" s="77"/>
      <c r="D1721" s="86" t="s">
        <v>3278</v>
      </c>
      <c r="E1721" s="87" t="s">
        <v>3412</v>
      </c>
      <c r="F1721" s="88" t="s">
        <v>525</v>
      </c>
      <c r="G1721" s="77"/>
      <c r="H1721" s="77">
        <f>STOCK[[#This Row],[Precio Final]]</f>
        <v>13</v>
      </c>
      <c r="I1721" s="82">
        <f>STOCK[[#This Row],[Precio Venta Ideal (x1.5)]]</f>
        <v>1.95</v>
      </c>
      <c r="J1721" s="89">
        <v>1</v>
      </c>
      <c r="K1721" s="80">
        <f>SUMIFS(VENTAS[Cantidad],VENTAS[Código del producto Vendido],STOCK[[#This Row],[Code]])</f>
        <v>2</v>
      </c>
      <c r="L1721" s="80">
        <f>STOCK[[#This Row],[Entradas]]-STOCK[[#This Row],[Salidas]]</f>
        <v>-1</v>
      </c>
      <c r="M1721" s="77">
        <f>STOCK[[#This Row],[Precio Final]]*10%</f>
        <v>1.3</v>
      </c>
      <c r="N1721" s="54">
        <v>0</v>
      </c>
      <c r="O1721" s="77">
        <v>0</v>
      </c>
      <c r="P1721" s="77"/>
      <c r="Q1721" s="77">
        <v>10</v>
      </c>
      <c r="R1721" s="80"/>
      <c r="S1721" s="77"/>
      <c r="T1721" s="77">
        <f>STOCK[[#This Row],[Costo Unitario (USD)]]+STOCK[[#This Row],[Costo Envío (USD)]]+STOCK[[#This Row],[Comisión 10%]]</f>
        <v>1.3</v>
      </c>
      <c r="U1721" s="53">
        <f>STOCK[[#This Row],[Costo total]]*1.5</f>
        <v>1.95</v>
      </c>
      <c r="V1721" s="77">
        <v>13</v>
      </c>
      <c r="W1721" s="77">
        <f>STOCK[[#This Row],[Precio Final]]-STOCK[[#This Row],[Costo total]]</f>
        <v>11.7</v>
      </c>
      <c r="X1721" s="77">
        <f>STOCK[[#This Row],[Ganancia Unitaria]]*STOCK[[#This Row],[Salidas]]</f>
        <v>23.4</v>
      </c>
      <c r="Y1721" s="77">
        <v>0</v>
      </c>
      <c r="Z1721" s="90"/>
      <c r="AA1721" s="54">
        <f>STOCK[[#This Row],[Costo total]]*STOCK[[#This Row],[Entradas]]</f>
        <v>1.3</v>
      </c>
      <c r="AB1721" s="54">
        <f>STOCK[[#This Row],[Stock Actual]]*STOCK[[#This Row],[Costo total]]</f>
        <v>-1.3</v>
      </c>
      <c r="AC1721" s="77">
        <v>12.8</v>
      </c>
      <c r="AD1721" s="77"/>
    </row>
    <row r="1722" s="53" customFormat="1" ht="50" customHeight="1" spans="1:30">
      <c r="A1722" s="77" t="s">
        <v>3413</v>
      </c>
      <c r="B1722" s="85"/>
      <c r="C1722" s="77"/>
      <c r="D1722" s="86" t="s">
        <v>3278</v>
      </c>
      <c r="E1722" s="87" t="s">
        <v>3414</v>
      </c>
      <c r="F1722" s="88" t="s">
        <v>525</v>
      </c>
      <c r="G1722" s="77"/>
      <c r="H1722" s="77">
        <f>STOCK[[#This Row],[Precio Final]]</f>
        <v>1</v>
      </c>
      <c r="I1722" s="82">
        <f>STOCK[[#This Row],[Precio Venta Ideal (x1.5)]]</f>
        <v>0.15</v>
      </c>
      <c r="J1722" s="89">
        <v>12</v>
      </c>
      <c r="K1722" s="80">
        <f>SUMIFS(VENTAS[Cantidad],VENTAS[Código del producto Vendido],STOCK[[#This Row],[Code]])</f>
        <v>12</v>
      </c>
      <c r="L1722" s="80">
        <f>STOCK[[#This Row],[Entradas]]-STOCK[[#This Row],[Salidas]]</f>
        <v>0</v>
      </c>
      <c r="M1722" s="77">
        <f>STOCK[[#This Row],[Precio Final]]*10%</f>
        <v>0.1</v>
      </c>
      <c r="N1722" s="54">
        <v>0</v>
      </c>
      <c r="O1722" s="77">
        <v>0</v>
      </c>
      <c r="P1722" s="77"/>
      <c r="Q1722" s="77">
        <v>0</v>
      </c>
      <c r="R1722" s="80"/>
      <c r="S1722" s="77"/>
      <c r="T1722" s="77">
        <f>STOCK[[#This Row],[Costo Unitario (USD)]]+STOCK[[#This Row],[Costo Envío (USD)]]+STOCK[[#This Row],[Comisión 10%]]</f>
        <v>0.1</v>
      </c>
      <c r="U1722" s="53">
        <f>STOCK[[#This Row],[Costo total]]*1.5</f>
        <v>0.15</v>
      </c>
      <c r="V1722" s="77">
        <v>1</v>
      </c>
      <c r="W1722" s="77">
        <f>STOCK[[#This Row],[Precio Final]]-STOCK[[#This Row],[Costo total]]</f>
        <v>0.9</v>
      </c>
      <c r="X1722" s="77">
        <f>STOCK[[#This Row],[Ganancia Unitaria]]*STOCK[[#This Row],[Salidas]]</f>
        <v>10.8</v>
      </c>
      <c r="Y1722" s="77">
        <v>0</v>
      </c>
      <c r="Z1722" s="90"/>
      <c r="AA1722" s="54">
        <f>STOCK[[#This Row],[Costo total]]*STOCK[[#This Row],[Entradas]]</f>
        <v>1.2</v>
      </c>
      <c r="AB1722" s="54">
        <f>STOCK[[#This Row],[Stock Actual]]*STOCK[[#This Row],[Costo total]]</f>
        <v>0</v>
      </c>
      <c r="AC1722" s="77">
        <v>1.8</v>
      </c>
      <c r="AD1722" s="77"/>
    </row>
    <row r="1723" s="53" customFormat="1" ht="50" customHeight="1" spans="1:30">
      <c r="A1723" s="77" t="s">
        <v>3415</v>
      </c>
      <c r="B1723" s="85"/>
      <c r="C1723" s="77"/>
      <c r="D1723" s="86" t="s">
        <v>3278</v>
      </c>
      <c r="E1723" s="87" t="s">
        <v>3416</v>
      </c>
      <c r="F1723" s="88" t="s">
        <v>525</v>
      </c>
      <c r="G1723" s="77"/>
      <c r="H1723" s="77">
        <f>STOCK[[#This Row],[Precio Final]]</f>
        <v>4</v>
      </c>
      <c r="I1723" s="82">
        <f>STOCK[[#This Row],[Precio Venta Ideal (x1.5)]]</f>
        <v>0.6</v>
      </c>
      <c r="J1723" s="89">
        <v>2</v>
      </c>
      <c r="K1723" s="80">
        <f>SUMIFS(VENTAS[Cantidad],VENTAS[Código del producto Vendido],STOCK[[#This Row],[Code]])</f>
        <v>0</v>
      </c>
      <c r="L1723" s="80">
        <f>STOCK[[#This Row],[Entradas]]-STOCK[[#This Row],[Salidas]]</f>
        <v>2</v>
      </c>
      <c r="M1723" s="77">
        <f>STOCK[[#This Row],[Precio Final]]*10%</f>
        <v>0.4</v>
      </c>
      <c r="N1723" s="54">
        <v>0</v>
      </c>
      <c r="O1723" s="77">
        <v>0</v>
      </c>
      <c r="P1723" s="77"/>
      <c r="Q1723" s="77">
        <v>1.92</v>
      </c>
      <c r="R1723" s="80"/>
      <c r="S1723" s="77"/>
      <c r="T1723" s="77">
        <f>STOCK[[#This Row],[Costo Unitario (USD)]]+STOCK[[#This Row],[Costo Envío (USD)]]+STOCK[[#This Row],[Comisión 10%]]</f>
        <v>0.4</v>
      </c>
      <c r="U1723" s="53">
        <f>STOCK[[#This Row],[Costo total]]*1.5</f>
        <v>0.6</v>
      </c>
      <c r="V1723" s="77">
        <v>4</v>
      </c>
      <c r="W1723" s="77">
        <f>STOCK[[#This Row],[Precio Final]]-STOCK[[#This Row],[Costo total]]</f>
        <v>3.6</v>
      </c>
      <c r="X1723" s="77">
        <f>STOCK[[#This Row],[Ganancia Unitaria]]*STOCK[[#This Row],[Salidas]]</f>
        <v>0</v>
      </c>
      <c r="Y1723" s="77">
        <v>0</v>
      </c>
      <c r="Z1723" s="90"/>
      <c r="AA1723" s="54">
        <f>STOCK[[#This Row],[Costo total]]*STOCK[[#This Row],[Entradas]]</f>
        <v>0.8</v>
      </c>
      <c r="AB1723" s="54">
        <f>STOCK[[#This Row],[Stock Actual]]*STOCK[[#This Row],[Costo total]]</f>
        <v>0.8</v>
      </c>
      <c r="AC1723" s="77">
        <v>6.64</v>
      </c>
      <c r="AD1723" s="77"/>
    </row>
    <row r="1724" s="53" customFormat="1" ht="50" customHeight="1" spans="1:30">
      <c r="A1724" s="77" t="s">
        <v>3417</v>
      </c>
      <c r="B1724" s="85"/>
      <c r="C1724" s="77"/>
      <c r="D1724" s="86" t="s">
        <v>3278</v>
      </c>
      <c r="E1724" s="87" t="s">
        <v>3418</v>
      </c>
      <c r="F1724" s="88" t="s">
        <v>525</v>
      </c>
      <c r="G1724" s="77"/>
      <c r="H1724" s="77">
        <f>STOCK[[#This Row],[Precio Final]]</f>
        <v>4</v>
      </c>
      <c r="I1724" s="82">
        <f>STOCK[[#This Row],[Precio Venta Ideal (x1.5)]]</f>
        <v>0.6</v>
      </c>
      <c r="J1724" s="89">
        <v>5</v>
      </c>
      <c r="K1724" s="80">
        <f>SUMIFS(VENTAS[Cantidad],VENTAS[Código del producto Vendido],STOCK[[#This Row],[Code]])</f>
        <v>1</v>
      </c>
      <c r="L1724" s="80">
        <f>STOCK[[#This Row],[Entradas]]-STOCK[[#This Row],[Salidas]]</f>
        <v>4</v>
      </c>
      <c r="M1724" s="77">
        <f>STOCK[[#This Row],[Precio Final]]*10%</f>
        <v>0.4</v>
      </c>
      <c r="N1724" s="54">
        <v>0</v>
      </c>
      <c r="O1724" s="77">
        <v>0</v>
      </c>
      <c r="P1724" s="77"/>
      <c r="Q1724" s="77">
        <v>1.92</v>
      </c>
      <c r="R1724" s="80"/>
      <c r="S1724" s="77"/>
      <c r="T1724" s="77">
        <f>STOCK[[#This Row],[Costo Unitario (USD)]]+STOCK[[#This Row],[Costo Envío (USD)]]+STOCK[[#This Row],[Comisión 10%]]</f>
        <v>0.4</v>
      </c>
      <c r="U1724" s="53">
        <f>STOCK[[#This Row],[Costo total]]*1.5</f>
        <v>0.6</v>
      </c>
      <c r="V1724" s="77">
        <v>4</v>
      </c>
      <c r="W1724" s="77">
        <f>STOCK[[#This Row],[Precio Final]]-STOCK[[#This Row],[Costo total]]</f>
        <v>3.6</v>
      </c>
      <c r="X1724" s="77">
        <f>STOCK[[#This Row],[Ganancia Unitaria]]*STOCK[[#This Row],[Salidas]]</f>
        <v>3.6</v>
      </c>
      <c r="Y1724" s="77">
        <v>0</v>
      </c>
      <c r="Z1724" s="90"/>
      <c r="AA1724" s="54">
        <f>STOCK[[#This Row],[Costo total]]*STOCK[[#This Row],[Entradas]]</f>
        <v>2</v>
      </c>
      <c r="AB1724" s="54">
        <f>STOCK[[#This Row],[Stock Actual]]*STOCK[[#This Row],[Costo total]]</f>
        <v>1.6</v>
      </c>
      <c r="AC1724" s="77">
        <v>16.6</v>
      </c>
      <c r="AD1724" s="77"/>
    </row>
    <row r="1725" s="53" customFormat="1" ht="50" customHeight="1" spans="1:30">
      <c r="A1725" s="77" t="s">
        <v>3419</v>
      </c>
      <c r="B1725" s="85"/>
      <c r="C1725" s="77"/>
      <c r="D1725" s="86" t="s">
        <v>3278</v>
      </c>
      <c r="E1725" s="87" t="s">
        <v>3420</v>
      </c>
      <c r="F1725" s="88" t="s">
        <v>525</v>
      </c>
      <c r="G1725" s="77"/>
      <c r="H1725" s="77">
        <f>STOCK[[#This Row],[Precio Final]]</f>
        <v>1</v>
      </c>
      <c r="I1725" s="82">
        <f>STOCK[[#This Row],[Precio Venta Ideal (x1.5)]]</f>
        <v>0.15</v>
      </c>
      <c r="J1725" s="89">
        <v>2</v>
      </c>
      <c r="K1725" s="80">
        <f>SUMIFS(VENTAS[Cantidad],VENTAS[Código del producto Vendido],STOCK[[#This Row],[Code]])</f>
        <v>0</v>
      </c>
      <c r="L1725" s="80">
        <f>STOCK[[#This Row],[Entradas]]-STOCK[[#This Row],[Salidas]]</f>
        <v>2</v>
      </c>
      <c r="M1725" s="77">
        <f>STOCK[[#This Row],[Precio Final]]*10%</f>
        <v>0.1</v>
      </c>
      <c r="N1725" s="54">
        <v>0</v>
      </c>
      <c r="O1725" s="77">
        <v>0</v>
      </c>
      <c r="P1725" s="77"/>
      <c r="Q1725" s="77">
        <v>0.25</v>
      </c>
      <c r="R1725" s="80"/>
      <c r="S1725" s="77"/>
      <c r="T1725" s="77">
        <f>STOCK[[#This Row],[Costo Unitario (USD)]]+STOCK[[#This Row],[Costo Envío (USD)]]+STOCK[[#This Row],[Comisión 10%]]</f>
        <v>0.1</v>
      </c>
      <c r="U1725" s="53">
        <f>STOCK[[#This Row],[Costo total]]*1.5</f>
        <v>0.15</v>
      </c>
      <c r="V1725" s="77">
        <v>1</v>
      </c>
      <c r="W1725" s="77">
        <f>STOCK[[#This Row],[Precio Final]]-STOCK[[#This Row],[Costo total]]</f>
        <v>0.9</v>
      </c>
      <c r="X1725" s="77">
        <f>STOCK[[#This Row],[Ganancia Unitaria]]*STOCK[[#This Row],[Salidas]]</f>
        <v>0</v>
      </c>
      <c r="Y1725" s="77">
        <v>0</v>
      </c>
      <c r="Z1725" s="90"/>
      <c r="AA1725" s="54">
        <f>STOCK[[#This Row],[Costo total]]*STOCK[[#This Row],[Entradas]]</f>
        <v>0.2</v>
      </c>
      <c r="AB1725" s="54">
        <f>STOCK[[#This Row],[Stock Actual]]*STOCK[[#This Row],[Costo total]]</f>
        <v>0.2</v>
      </c>
      <c r="AC1725" s="77">
        <v>1.1</v>
      </c>
      <c r="AD1725" s="77"/>
    </row>
    <row r="1726" s="53" customFormat="1" ht="50" customHeight="1" spans="1:30">
      <c r="A1726" s="77" t="s">
        <v>3421</v>
      </c>
      <c r="B1726" s="85"/>
      <c r="C1726" s="77"/>
      <c r="D1726" s="86" t="s">
        <v>3278</v>
      </c>
      <c r="E1726" s="87" t="s">
        <v>3422</v>
      </c>
      <c r="F1726" s="88" t="s">
        <v>525</v>
      </c>
      <c r="G1726" s="77"/>
      <c r="H1726" s="77">
        <f>STOCK[[#This Row],[Precio Final]]</f>
        <v>2</v>
      </c>
      <c r="I1726" s="82">
        <f>STOCK[[#This Row],[Precio Venta Ideal (x1.5)]]</f>
        <v>0.3</v>
      </c>
      <c r="J1726" s="89">
        <v>1</v>
      </c>
      <c r="K1726" s="80">
        <f>SUMIFS(VENTAS[Cantidad],VENTAS[Código del producto Vendido],STOCK[[#This Row],[Code]])</f>
        <v>0</v>
      </c>
      <c r="L1726" s="80">
        <f>STOCK[[#This Row],[Entradas]]-STOCK[[#This Row],[Salidas]]</f>
        <v>1</v>
      </c>
      <c r="M1726" s="77">
        <f>STOCK[[#This Row],[Precio Final]]*10%</f>
        <v>0.2</v>
      </c>
      <c r="N1726" s="54">
        <v>0</v>
      </c>
      <c r="O1726" s="77">
        <v>0</v>
      </c>
      <c r="P1726" s="77"/>
      <c r="Q1726" s="77">
        <v>1</v>
      </c>
      <c r="R1726" s="80"/>
      <c r="S1726" s="77"/>
      <c r="T1726" s="77">
        <f>STOCK[[#This Row],[Costo Unitario (USD)]]+STOCK[[#This Row],[Costo Envío (USD)]]+STOCK[[#This Row],[Comisión 10%]]</f>
        <v>0.2</v>
      </c>
      <c r="U1726" s="53">
        <f>STOCK[[#This Row],[Costo total]]*1.5</f>
        <v>0.3</v>
      </c>
      <c r="V1726" s="77">
        <v>2</v>
      </c>
      <c r="W1726" s="77">
        <f>STOCK[[#This Row],[Precio Final]]-STOCK[[#This Row],[Costo total]]</f>
        <v>1.8</v>
      </c>
      <c r="X1726" s="77">
        <f>STOCK[[#This Row],[Ganancia Unitaria]]*STOCK[[#This Row],[Salidas]]</f>
        <v>0</v>
      </c>
      <c r="Y1726" s="77">
        <v>0</v>
      </c>
      <c r="Z1726" s="90"/>
      <c r="AA1726" s="54">
        <f>STOCK[[#This Row],[Costo total]]*STOCK[[#This Row],[Entradas]]</f>
        <v>0.2</v>
      </c>
      <c r="AB1726" s="54">
        <f>STOCK[[#This Row],[Stock Actual]]*STOCK[[#This Row],[Costo total]]</f>
        <v>0.2</v>
      </c>
      <c r="AC1726" s="77">
        <v>1.8</v>
      </c>
      <c r="AD1726" s="77"/>
    </row>
    <row r="1727" s="53" customFormat="1" ht="50" customHeight="1" spans="1:30">
      <c r="A1727" s="77" t="s">
        <v>3423</v>
      </c>
      <c r="B1727" s="85"/>
      <c r="C1727" s="77"/>
      <c r="D1727" s="86" t="s">
        <v>3278</v>
      </c>
      <c r="E1727" s="87" t="s">
        <v>3424</v>
      </c>
      <c r="F1727" s="88" t="s">
        <v>525</v>
      </c>
      <c r="G1727" s="77"/>
      <c r="H1727" s="77">
        <f>STOCK[[#This Row],[Precio Final]]</f>
        <v>1</v>
      </c>
      <c r="I1727" s="82">
        <f>STOCK[[#This Row],[Precio Venta Ideal (x1.5)]]</f>
        <v>0.15</v>
      </c>
      <c r="J1727" s="89">
        <v>4</v>
      </c>
      <c r="K1727" s="80">
        <f>SUMIFS(VENTAS[Cantidad],VENTAS[Código del producto Vendido],STOCK[[#This Row],[Code]])</f>
        <v>4</v>
      </c>
      <c r="L1727" s="80">
        <f>STOCK[[#This Row],[Entradas]]-STOCK[[#This Row],[Salidas]]</f>
        <v>0</v>
      </c>
      <c r="M1727" s="77">
        <f>STOCK[[#This Row],[Precio Final]]*10%</f>
        <v>0.1</v>
      </c>
      <c r="N1727" s="54">
        <v>0</v>
      </c>
      <c r="O1727" s="77">
        <v>0</v>
      </c>
      <c r="P1727" s="77"/>
      <c r="Q1727" s="77">
        <v>0.2</v>
      </c>
      <c r="R1727" s="80"/>
      <c r="S1727" s="77"/>
      <c r="T1727" s="77">
        <f>STOCK[[#This Row],[Costo Unitario (USD)]]+STOCK[[#This Row],[Costo Envío (USD)]]+STOCK[[#This Row],[Comisión 10%]]</f>
        <v>0.1</v>
      </c>
      <c r="U1727" s="53">
        <f>STOCK[[#This Row],[Costo total]]*1.5</f>
        <v>0.15</v>
      </c>
      <c r="V1727" s="77">
        <v>1</v>
      </c>
      <c r="W1727" s="77">
        <f>STOCK[[#This Row],[Precio Final]]-STOCK[[#This Row],[Costo total]]</f>
        <v>0.9</v>
      </c>
      <c r="X1727" s="77">
        <f>STOCK[[#This Row],[Ganancia Unitaria]]*STOCK[[#This Row],[Salidas]]</f>
        <v>3.6</v>
      </c>
      <c r="Y1727" s="77">
        <v>0</v>
      </c>
      <c r="Z1727" s="90"/>
      <c r="AA1727" s="54">
        <f>STOCK[[#This Row],[Costo total]]*STOCK[[#This Row],[Entradas]]</f>
        <v>0.4</v>
      </c>
      <c r="AB1727" s="54">
        <f>STOCK[[#This Row],[Stock Actual]]*STOCK[[#This Row],[Costo total]]</f>
        <v>0</v>
      </c>
      <c r="AC1727" s="77">
        <v>2.6</v>
      </c>
      <c r="AD1727" s="77"/>
    </row>
    <row r="1728" s="53" customFormat="1" ht="50" customHeight="1" spans="1:30">
      <c r="A1728" s="77" t="s">
        <v>3425</v>
      </c>
      <c r="B1728" s="85"/>
      <c r="C1728" s="77"/>
      <c r="D1728" s="86" t="s">
        <v>3278</v>
      </c>
      <c r="E1728" s="87" t="s">
        <v>3426</v>
      </c>
      <c r="F1728" s="88" t="s">
        <v>525</v>
      </c>
      <c r="G1728" s="77"/>
      <c r="H1728" s="77">
        <f>STOCK[[#This Row],[Precio Final]]</f>
        <v>1</v>
      </c>
      <c r="I1728" s="82">
        <f>STOCK[[#This Row],[Precio Venta Ideal (x1.5)]]</f>
        <v>0.15</v>
      </c>
      <c r="J1728" s="89">
        <v>2</v>
      </c>
      <c r="K1728" s="80">
        <f>SUMIFS(VENTAS[Cantidad],VENTAS[Código del producto Vendido],STOCK[[#This Row],[Code]])</f>
        <v>0</v>
      </c>
      <c r="L1728" s="80">
        <f>STOCK[[#This Row],[Entradas]]-STOCK[[#This Row],[Salidas]]</f>
        <v>2</v>
      </c>
      <c r="M1728" s="77">
        <f>STOCK[[#This Row],[Precio Final]]*10%</f>
        <v>0.1</v>
      </c>
      <c r="N1728" s="54">
        <v>0</v>
      </c>
      <c r="O1728" s="77">
        <v>0</v>
      </c>
      <c r="P1728" s="77"/>
      <c r="Q1728" s="77">
        <v>0.2</v>
      </c>
      <c r="R1728" s="80"/>
      <c r="S1728" s="77"/>
      <c r="T1728" s="77">
        <f>STOCK[[#This Row],[Costo Unitario (USD)]]+STOCK[[#This Row],[Costo Envío (USD)]]+STOCK[[#This Row],[Comisión 10%]]</f>
        <v>0.1</v>
      </c>
      <c r="U1728" s="53">
        <f>STOCK[[#This Row],[Costo total]]*1.5</f>
        <v>0.15</v>
      </c>
      <c r="V1728" s="77">
        <v>1</v>
      </c>
      <c r="W1728" s="77">
        <f>STOCK[[#This Row],[Precio Final]]-STOCK[[#This Row],[Costo total]]</f>
        <v>0.9</v>
      </c>
      <c r="X1728" s="77">
        <f>STOCK[[#This Row],[Ganancia Unitaria]]*STOCK[[#This Row],[Salidas]]</f>
        <v>0</v>
      </c>
      <c r="Y1728" s="77">
        <v>0</v>
      </c>
      <c r="Z1728" s="90"/>
      <c r="AA1728" s="54">
        <f>STOCK[[#This Row],[Costo total]]*STOCK[[#This Row],[Entradas]]</f>
        <v>0.2</v>
      </c>
      <c r="AB1728" s="54">
        <f>STOCK[[#This Row],[Stock Actual]]*STOCK[[#This Row],[Costo total]]</f>
        <v>0.2</v>
      </c>
      <c r="AC1728" s="77">
        <v>1.3</v>
      </c>
      <c r="AD1728" s="77"/>
    </row>
    <row r="1729" s="53" customFormat="1" ht="50" customHeight="1" spans="1:30">
      <c r="A1729" s="77" t="s">
        <v>3427</v>
      </c>
      <c r="B1729" s="85"/>
      <c r="C1729" s="77"/>
      <c r="D1729" s="86" t="s">
        <v>3278</v>
      </c>
      <c r="E1729" s="87" t="s">
        <v>3428</v>
      </c>
      <c r="F1729" s="88" t="s">
        <v>525</v>
      </c>
      <c r="G1729" s="77"/>
      <c r="H1729" s="77">
        <f>STOCK[[#This Row],[Precio Final]]</f>
        <v>1</v>
      </c>
      <c r="I1729" s="82">
        <f>STOCK[[#This Row],[Precio Venta Ideal (x1.5)]]</f>
        <v>0.15</v>
      </c>
      <c r="J1729" s="89">
        <v>1</v>
      </c>
      <c r="K1729" s="80">
        <f>SUMIFS(VENTAS[Cantidad],VENTAS[Código del producto Vendido],STOCK[[#This Row],[Code]])</f>
        <v>1</v>
      </c>
      <c r="L1729" s="80">
        <f>STOCK[[#This Row],[Entradas]]-STOCK[[#This Row],[Salidas]]</f>
        <v>0</v>
      </c>
      <c r="M1729" s="77">
        <f>STOCK[[#This Row],[Precio Final]]*10%</f>
        <v>0.1</v>
      </c>
      <c r="N1729" s="54">
        <v>0</v>
      </c>
      <c r="O1729" s="77">
        <v>0</v>
      </c>
      <c r="P1729" s="77"/>
      <c r="Q1729" s="77">
        <v>0.2</v>
      </c>
      <c r="R1729" s="80"/>
      <c r="S1729" s="77"/>
      <c r="T1729" s="77">
        <f>STOCK[[#This Row],[Costo Unitario (USD)]]+STOCK[[#This Row],[Costo Envío (USD)]]+STOCK[[#This Row],[Comisión 10%]]</f>
        <v>0.1</v>
      </c>
      <c r="U1729" s="53">
        <f>STOCK[[#This Row],[Costo total]]*1.5</f>
        <v>0.15</v>
      </c>
      <c r="V1729" s="77">
        <v>1</v>
      </c>
      <c r="W1729" s="77">
        <f>STOCK[[#This Row],[Precio Final]]-STOCK[[#This Row],[Costo total]]</f>
        <v>0.9</v>
      </c>
      <c r="X1729" s="77">
        <f>STOCK[[#This Row],[Ganancia Unitaria]]*STOCK[[#This Row],[Salidas]]</f>
        <v>0.9</v>
      </c>
      <c r="Y1729" s="77">
        <v>0</v>
      </c>
      <c r="Z1729" s="90"/>
      <c r="AA1729" s="54">
        <f>STOCK[[#This Row],[Costo total]]*STOCK[[#This Row],[Entradas]]</f>
        <v>0.1</v>
      </c>
      <c r="AB1729" s="54">
        <f>STOCK[[#This Row],[Stock Actual]]*STOCK[[#This Row],[Costo total]]</f>
        <v>0</v>
      </c>
      <c r="AC1729" s="77">
        <v>0.65</v>
      </c>
      <c r="AD1729" s="77"/>
    </row>
    <row r="1730" s="53" customFormat="1" ht="50" customHeight="1" spans="1:30">
      <c r="A1730" s="77" t="s">
        <v>3429</v>
      </c>
      <c r="B1730" s="85"/>
      <c r="C1730" s="77"/>
      <c r="D1730" s="86" t="s">
        <v>3278</v>
      </c>
      <c r="E1730" s="87" t="s">
        <v>3430</v>
      </c>
      <c r="F1730" s="88" t="s">
        <v>3410</v>
      </c>
      <c r="G1730" s="77"/>
      <c r="H1730" s="77">
        <f>STOCK[[#This Row],[Precio Final]]</f>
        <v>9</v>
      </c>
      <c r="I1730" s="82">
        <f>STOCK[[#This Row],[Precio Venta Ideal (x1.5)]]</f>
        <v>1.35</v>
      </c>
      <c r="J1730" s="89">
        <v>1</v>
      </c>
      <c r="K1730" s="80">
        <f>SUMIFS(VENTAS[Cantidad],VENTAS[Código del producto Vendido],STOCK[[#This Row],[Code]])</f>
        <v>1</v>
      </c>
      <c r="L1730" s="80">
        <f>STOCK[[#This Row],[Entradas]]-STOCK[[#This Row],[Salidas]]</f>
        <v>0</v>
      </c>
      <c r="M1730" s="77">
        <f>STOCK[[#This Row],[Precio Final]]*10%</f>
        <v>0.9</v>
      </c>
      <c r="N1730" s="54">
        <v>0</v>
      </c>
      <c r="O1730" s="77">
        <v>0</v>
      </c>
      <c r="P1730" s="77"/>
      <c r="Q1730" s="77">
        <v>5.5</v>
      </c>
      <c r="R1730" s="80"/>
      <c r="S1730" s="77"/>
      <c r="T1730" s="77">
        <f>STOCK[[#This Row],[Costo Unitario (USD)]]+STOCK[[#This Row],[Costo Envío (USD)]]+STOCK[[#This Row],[Comisión 10%]]</f>
        <v>0.9</v>
      </c>
      <c r="U1730" s="53">
        <f>STOCK[[#This Row],[Costo total]]*1.5</f>
        <v>1.35</v>
      </c>
      <c r="V1730" s="77">
        <v>9</v>
      </c>
      <c r="W1730" s="77">
        <f>STOCK[[#This Row],[Precio Final]]-STOCK[[#This Row],[Costo total]]</f>
        <v>8.1</v>
      </c>
      <c r="X1730" s="77">
        <f>STOCK[[#This Row],[Ganancia Unitaria]]*STOCK[[#This Row],[Salidas]]</f>
        <v>8.1</v>
      </c>
      <c r="Y1730" s="77">
        <v>0</v>
      </c>
      <c r="Z1730" s="90"/>
      <c r="AA1730" s="54">
        <f>STOCK[[#This Row],[Costo total]]*STOCK[[#This Row],[Entradas]]</f>
        <v>0.9</v>
      </c>
      <c r="AB1730" s="54">
        <f>STOCK[[#This Row],[Stock Actual]]*STOCK[[#This Row],[Costo total]]</f>
        <v>0</v>
      </c>
      <c r="AC1730" s="77">
        <v>8.7</v>
      </c>
      <c r="AD1730" s="77"/>
    </row>
    <row r="1731" s="53" customFormat="1" ht="50" customHeight="1" spans="1:30">
      <c r="A1731" s="77" t="s">
        <v>3431</v>
      </c>
      <c r="B1731" s="85"/>
      <c r="C1731" s="77"/>
      <c r="D1731" s="86" t="s">
        <v>3278</v>
      </c>
      <c r="E1731" s="87" t="s">
        <v>3432</v>
      </c>
      <c r="F1731" s="88" t="s">
        <v>3410</v>
      </c>
      <c r="G1731" s="77"/>
      <c r="H1731" s="77">
        <f>STOCK[[#This Row],[Precio Final]]</f>
        <v>9</v>
      </c>
      <c r="I1731" s="82">
        <f>STOCK[[#This Row],[Precio Venta Ideal (x1.5)]]</f>
        <v>1.35</v>
      </c>
      <c r="J1731" s="89">
        <v>2</v>
      </c>
      <c r="K1731" s="80">
        <f>SUMIFS(VENTAS[Cantidad],VENTAS[Código del producto Vendido],STOCK[[#This Row],[Code]])</f>
        <v>0</v>
      </c>
      <c r="L1731" s="80">
        <f>STOCK[[#This Row],[Entradas]]-STOCK[[#This Row],[Salidas]]</f>
        <v>2</v>
      </c>
      <c r="M1731" s="77">
        <f>STOCK[[#This Row],[Precio Final]]*10%</f>
        <v>0.9</v>
      </c>
      <c r="N1731" s="54">
        <v>0</v>
      </c>
      <c r="O1731" s="77">
        <v>0</v>
      </c>
      <c r="P1731" s="77"/>
      <c r="Q1731" s="77">
        <v>5.5</v>
      </c>
      <c r="R1731" s="80"/>
      <c r="S1731" s="77"/>
      <c r="T1731" s="77">
        <f>STOCK[[#This Row],[Costo Unitario (USD)]]+STOCK[[#This Row],[Costo Envío (USD)]]+STOCK[[#This Row],[Comisión 10%]]</f>
        <v>0.9</v>
      </c>
      <c r="U1731" s="53">
        <f>STOCK[[#This Row],[Costo total]]*1.5</f>
        <v>1.35</v>
      </c>
      <c r="V1731" s="77">
        <v>9</v>
      </c>
      <c r="W1731" s="77">
        <f>STOCK[[#This Row],[Precio Final]]-STOCK[[#This Row],[Costo total]]</f>
        <v>8.1</v>
      </c>
      <c r="X1731" s="77">
        <f>STOCK[[#This Row],[Ganancia Unitaria]]*STOCK[[#This Row],[Salidas]]</f>
        <v>0</v>
      </c>
      <c r="Y1731" s="77">
        <v>0</v>
      </c>
      <c r="Z1731" s="90"/>
      <c r="AA1731" s="54">
        <f>STOCK[[#This Row],[Costo total]]*STOCK[[#This Row],[Entradas]]</f>
        <v>1.8</v>
      </c>
      <c r="AB1731" s="54">
        <f>STOCK[[#This Row],[Stock Actual]]*STOCK[[#This Row],[Costo total]]</f>
        <v>1.8</v>
      </c>
      <c r="AC1731" s="77">
        <v>17.4</v>
      </c>
      <c r="AD1731" s="77"/>
    </row>
    <row r="1732" s="53" customFormat="1" ht="50" customHeight="1" spans="1:30">
      <c r="A1732" s="77" t="s">
        <v>3433</v>
      </c>
      <c r="B1732" s="85"/>
      <c r="C1732" s="77"/>
      <c r="D1732" s="86" t="s">
        <v>3278</v>
      </c>
      <c r="E1732" s="87" t="s">
        <v>3432</v>
      </c>
      <c r="F1732" s="88" t="s">
        <v>2108</v>
      </c>
      <c r="G1732" s="77"/>
      <c r="H1732" s="77">
        <f>STOCK[[#This Row],[Precio Final]]</f>
        <v>9</v>
      </c>
      <c r="I1732" s="82">
        <f>STOCK[[#This Row],[Precio Venta Ideal (x1.5)]]</f>
        <v>1.35</v>
      </c>
      <c r="J1732" s="89">
        <v>2</v>
      </c>
      <c r="K1732" s="80">
        <f>SUMIFS(VENTAS[Cantidad],VENTAS[Código del producto Vendido],STOCK[[#This Row],[Code]])</f>
        <v>1</v>
      </c>
      <c r="L1732" s="80">
        <f>STOCK[[#This Row],[Entradas]]-STOCK[[#This Row],[Salidas]]</f>
        <v>1</v>
      </c>
      <c r="M1732" s="77">
        <f>STOCK[[#This Row],[Precio Final]]*10%</f>
        <v>0.9</v>
      </c>
      <c r="N1732" s="54">
        <v>0</v>
      </c>
      <c r="O1732" s="77">
        <v>0</v>
      </c>
      <c r="P1732" s="77"/>
      <c r="Q1732" s="77">
        <v>5.5</v>
      </c>
      <c r="R1732" s="80"/>
      <c r="S1732" s="77"/>
      <c r="T1732" s="77">
        <f>STOCK[[#This Row],[Costo Unitario (USD)]]+STOCK[[#This Row],[Costo Envío (USD)]]+STOCK[[#This Row],[Comisión 10%]]</f>
        <v>0.9</v>
      </c>
      <c r="U1732" s="53">
        <f>STOCK[[#This Row],[Costo total]]*1.5</f>
        <v>1.35</v>
      </c>
      <c r="V1732" s="77">
        <v>9</v>
      </c>
      <c r="W1732" s="77">
        <f>STOCK[[#This Row],[Precio Final]]-STOCK[[#This Row],[Costo total]]</f>
        <v>8.1</v>
      </c>
      <c r="X1732" s="77">
        <f>STOCK[[#This Row],[Ganancia Unitaria]]*STOCK[[#This Row],[Salidas]]</f>
        <v>8.1</v>
      </c>
      <c r="Y1732" s="77">
        <v>0</v>
      </c>
      <c r="Z1732" s="90"/>
      <c r="AA1732" s="54">
        <f>STOCK[[#This Row],[Costo total]]*STOCK[[#This Row],[Entradas]]</f>
        <v>1.8</v>
      </c>
      <c r="AB1732" s="54">
        <f>STOCK[[#This Row],[Stock Actual]]*STOCK[[#This Row],[Costo total]]</f>
        <v>0.9</v>
      </c>
      <c r="AC1732" s="77">
        <v>17.4</v>
      </c>
      <c r="AD1732" s="77"/>
    </row>
    <row r="1733" s="53" customFormat="1" ht="50" customHeight="1" spans="1:30">
      <c r="A1733" s="77" t="s">
        <v>3434</v>
      </c>
      <c r="B1733" s="85"/>
      <c r="C1733" s="77"/>
      <c r="D1733" s="86" t="s">
        <v>3278</v>
      </c>
      <c r="E1733" s="87" t="s">
        <v>3435</v>
      </c>
      <c r="F1733" s="88" t="s">
        <v>2108</v>
      </c>
      <c r="G1733" s="77"/>
      <c r="H1733" s="77">
        <f>STOCK[[#This Row],[Precio Final]]</f>
        <v>9</v>
      </c>
      <c r="I1733" s="82">
        <f>STOCK[[#This Row],[Precio Venta Ideal (x1.5)]]</f>
        <v>1.35</v>
      </c>
      <c r="J1733" s="89">
        <v>1</v>
      </c>
      <c r="K1733" s="80">
        <f>SUMIFS(VENTAS[Cantidad],VENTAS[Código del producto Vendido],STOCK[[#This Row],[Code]])</f>
        <v>1</v>
      </c>
      <c r="L1733" s="80">
        <f>STOCK[[#This Row],[Entradas]]-STOCK[[#This Row],[Salidas]]</f>
        <v>0</v>
      </c>
      <c r="M1733" s="77">
        <f>STOCK[[#This Row],[Precio Final]]*10%</f>
        <v>0.9</v>
      </c>
      <c r="N1733" s="54">
        <v>0</v>
      </c>
      <c r="O1733" s="77">
        <v>0</v>
      </c>
      <c r="P1733" s="77"/>
      <c r="Q1733" s="77">
        <v>5.5</v>
      </c>
      <c r="R1733" s="80"/>
      <c r="S1733" s="77"/>
      <c r="T1733" s="77">
        <f>STOCK[[#This Row],[Costo Unitario (USD)]]+STOCK[[#This Row],[Costo Envío (USD)]]+STOCK[[#This Row],[Comisión 10%]]</f>
        <v>0.9</v>
      </c>
      <c r="U1733" s="53">
        <f>STOCK[[#This Row],[Costo total]]*1.5</f>
        <v>1.35</v>
      </c>
      <c r="V1733" s="77">
        <v>9</v>
      </c>
      <c r="W1733" s="77">
        <f>STOCK[[#This Row],[Precio Final]]-STOCK[[#This Row],[Costo total]]</f>
        <v>8.1</v>
      </c>
      <c r="X1733" s="77">
        <f>STOCK[[#This Row],[Ganancia Unitaria]]*STOCK[[#This Row],[Salidas]]</f>
        <v>8.1</v>
      </c>
      <c r="Y1733" s="77">
        <v>3.3</v>
      </c>
      <c r="Z1733" s="90"/>
      <c r="AA1733" s="54">
        <f>STOCK[[#This Row],[Costo total]]*STOCK[[#This Row],[Entradas]]</f>
        <v>0.9</v>
      </c>
      <c r="AB1733" s="54">
        <f>STOCK[[#This Row],[Stock Actual]]*STOCK[[#This Row],[Costo total]]</f>
        <v>0</v>
      </c>
      <c r="AC1733" s="77">
        <v>0</v>
      </c>
      <c r="AD1733" s="77"/>
    </row>
    <row r="1734" s="53" customFormat="1" ht="50" customHeight="1" spans="1:30">
      <c r="A1734" s="77" t="s">
        <v>3436</v>
      </c>
      <c r="B1734" s="85"/>
      <c r="C1734" s="77"/>
      <c r="D1734" s="86" t="s">
        <v>3278</v>
      </c>
      <c r="E1734" s="87" t="s">
        <v>3435</v>
      </c>
      <c r="F1734" s="88" t="s">
        <v>3410</v>
      </c>
      <c r="G1734" s="77"/>
      <c r="H1734" s="77">
        <f>STOCK[[#This Row],[Precio Final]]</f>
        <v>9</v>
      </c>
      <c r="I1734" s="82">
        <f>STOCK[[#This Row],[Precio Venta Ideal (x1.5)]]</f>
        <v>1.35</v>
      </c>
      <c r="J1734" s="89">
        <v>2</v>
      </c>
      <c r="K1734" s="80">
        <f>SUMIFS(VENTAS[Cantidad],VENTAS[Código del producto Vendido],STOCK[[#This Row],[Code]])</f>
        <v>2</v>
      </c>
      <c r="L1734" s="80">
        <f>STOCK[[#This Row],[Entradas]]-STOCK[[#This Row],[Salidas]]</f>
        <v>0</v>
      </c>
      <c r="M1734" s="77">
        <f>STOCK[[#This Row],[Precio Final]]*10%</f>
        <v>0.9</v>
      </c>
      <c r="N1734" s="54">
        <v>0</v>
      </c>
      <c r="O1734" s="77">
        <v>0</v>
      </c>
      <c r="P1734" s="77"/>
      <c r="Q1734" s="77">
        <v>5.5</v>
      </c>
      <c r="R1734" s="80"/>
      <c r="S1734" s="77"/>
      <c r="T1734" s="77">
        <f>STOCK[[#This Row],[Costo Unitario (USD)]]+STOCK[[#This Row],[Costo Envío (USD)]]+STOCK[[#This Row],[Comisión 10%]]</f>
        <v>0.9</v>
      </c>
      <c r="U1734" s="53">
        <f>STOCK[[#This Row],[Costo total]]*1.5</f>
        <v>1.35</v>
      </c>
      <c r="V1734" s="77">
        <v>9</v>
      </c>
      <c r="W1734" s="77">
        <f>STOCK[[#This Row],[Precio Final]]-STOCK[[#This Row],[Costo total]]</f>
        <v>8.1</v>
      </c>
      <c r="X1734" s="77">
        <f>STOCK[[#This Row],[Ganancia Unitaria]]*STOCK[[#This Row],[Salidas]]</f>
        <v>16.2</v>
      </c>
      <c r="Y1734" s="77">
        <v>0</v>
      </c>
      <c r="Z1734" s="90"/>
      <c r="AA1734" s="54">
        <f>STOCK[[#This Row],[Costo total]]*STOCK[[#This Row],[Entradas]]</f>
        <v>1.8</v>
      </c>
      <c r="AB1734" s="54">
        <f>STOCK[[#This Row],[Stock Actual]]*STOCK[[#This Row],[Costo total]]</f>
        <v>0</v>
      </c>
      <c r="AC1734" s="77">
        <v>17.4</v>
      </c>
      <c r="AD1734" s="77"/>
    </row>
    <row r="1735" s="53" customFormat="1" ht="50" customHeight="1" spans="1:30">
      <c r="A1735" s="53" t="s">
        <v>3437</v>
      </c>
      <c r="B1735" s="85"/>
      <c r="C1735" s="53" t="s">
        <v>32</v>
      </c>
      <c r="D1735" s="86" t="s">
        <v>3278</v>
      </c>
      <c r="E1735" s="87" t="s">
        <v>3438</v>
      </c>
      <c r="F1735" s="88" t="s">
        <v>525</v>
      </c>
      <c r="G1735" s="77"/>
      <c r="H1735" s="77">
        <f>STOCK[[#This Row],[Precio Final]]</f>
        <v>9.435</v>
      </c>
      <c r="I1735" s="82">
        <f>STOCK[[#This Row],[Precio Venta Ideal (x1.5)]]</f>
        <v>1.41525</v>
      </c>
      <c r="J1735" s="89">
        <v>3</v>
      </c>
      <c r="K1735" s="80">
        <f>SUMIFS(VENTAS[Cantidad],VENTAS[Código del producto Vendido],STOCK[[#This Row],[Code]])</f>
        <v>6</v>
      </c>
      <c r="L1735" s="80">
        <f>STOCK[[#This Row],[Entradas]]-STOCK[[#This Row],[Salidas]]</f>
        <v>-3</v>
      </c>
      <c r="M1735" s="77">
        <f>STOCK[[#This Row],[Precio Final]]*10%</f>
        <v>0.9435</v>
      </c>
      <c r="N1735" s="54">
        <v>0</v>
      </c>
      <c r="O1735" s="77">
        <v>0</v>
      </c>
      <c r="P1735" s="77"/>
      <c r="Q1735" s="77">
        <v>4.04</v>
      </c>
      <c r="R1735" s="80"/>
      <c r="S1735" s="77"/>
      <c r="T1735" s="77">
        <f>STOCK[[#This Row],[Costo Unitario (USD)]]+STOCK[[#This Row],[Costo Envío (USD)]]+STOCK[[#This Row],[Comisión 10%]]</f>
        <v>0.9435</v>
      </c>
      <c r="U1735" s="53">
        <f>STOCK[[#This Row],[Costo total]]*1.5</f>
        <v>1.41525</v>
      </c>
      <c r="V1735" s="53">
        <v>9.435</v>
      </c>
      <c r="W1735" s="77">
        <f>STOCK[[#This Row],[Precio Final]]-STOCK[[#This Row],[Costo total]]</f>
        <v>8.4915</v>
      </c>
      <c r="X1735" s="77">
        <f>STOCK[[#This Row],[Ganancia Unitaria]]*STOCK[[#This Row],[Salidas]]</f>
        <v>50.949</v>
      </c>
      <c r="Y1735" s="77">
        <v>0</v>
      </c>
      <c r="Z1735" s="90"/>
      <c r="AA1735" s="54">
        <f>STOCK[[#This Row],[Costo total]]*STOCK[[#This Row],[Entradas]]</f>
        <v>2.8305</v>
      </c>
      <c r="AB1735" s="54">
        <f>STOCK[[#This Row],[Stock Actual]]*STOCK[[#This Row],[Costo total]]</f>
        <v>-2.8305</v>
      </c>
      <c r="AC1735" s="77">
        <v>18.87</v>
      </c>
      <c r="AD1735" s="77"/>
    </row>
    <row r="1736" s="53" customFormat="1" ht="50" customHeight="1" spans="1:30">
      <c r="A1736" s="53" t="s">
        <v>3439</v>
      </c>
      <c r="B1736" s="85"/>
      <c r="C1736" s="53" t="s">
        <v>32</v>
      </c>
      <c r="D1736" s="86" t="s">
        <v>3278</v>
      </c>
      <c r="E1736" s="87" t="s">
        <v>3440</v>
      </c>
      <c r="F1736" s="88" t="s">
        <v>525</v>
      </c>
      <c r="G1736" s="77"/>
      <c r="H1736" s="77">
        <f>STOCK[[#This Row],[Precio Final]]</f>
        <v>13.575</v>
      </c>
      <c r="I1736" s="82">
        <f>STOCK[[#This Row],[Precio Venta Ideal (x1.5)]]</f>
        <v>2.03625</v>
      </c>
      <c r="J1736" s="89">
        <v>3</v>
      </c>
      <c r="K1736" s="80">
        <f>SUMIFS(VENTAS[Cantidad],VENTAS[Código del producto Vendido],STOCK[[#This Row],[Code]])</f>
        <v>0</v>
      </c>
      <c r="L1736" s="80">
        <f>STOCK[[#This Row],[Entradas]]-STOCK[[#This Row],[Salidas]]</f>
        <v>3</v>
      </c>
      <c r="M1736" s="77">
        <f>STOCK[[#This Row],[Precio Final]]*10%</f>
        <v>1.3575</v>
      </c>
      <c r="N1736" s="54">
        <v>0</v>
      </c>
      <c r="O1736" s="77">
        <v>0</v>
      </c>
      <c r="P1736" s="77"/>
      <c r="Q1736" s="77">
        <v>5.5</v>
      </c>
      <c r="R1736" s="80"/>
      <c r="S1736" s="77"/>
      <c r="T1736" s="77">
        <f>STOCK[[#This Row],[Costo Unitario (USD)]]+STOCK[[#This Row],[Costo Envío (USD)]]+STOCK[[#This Row],[Comisión 10%]]</f>
        <v>1.3575</v>
      </c>
      <c r="U1736" s="53">
        <f>STOCK[[#This Row],[Costo total]]*1.5</f>
        <v>2.03625</v>
      </c>
      <c r="V1736" s="53">
        <v>13.575</v>
      </c>
      <c r="W1736" s="77">
        <f>STOCK[[#This Row],[Precio Final]]-STOCK[[#This Row],[Costo total]]</f>
        <v>12.2175</v>
      </c>
      <c r="X1736" s="77">
        <f>STOCK[[#This Row],[Ganancia Unitaria]]*STOCK[[#This Row],[Salidas]]</f>
        <v>0</v>
      </c>
      <c r="Y1736" s="77">
        <v>0</v>
      </c>
      <c r="Z1736" s="90"/>
      <c r="AA1736" s="54">
        <f>STOCK[[#This Row],[Costo total]]*STOCK[[#This Row],[Entradas]]</f>
        <v>4.0725</v>
      </c>
      <c r="AB1736" s="54">
        <f>STOCK[[#This Row],[Stock Actual]]*STOCK[[#This Row],[Costo total]]</f>
        <v>4.0725</v>
      </c>
      <c r="AC1736" s="77">
        <v>27.15</v>
      </c>
      <c r="AD1736" s="77"/>
    </row>
    <row r="1737" s="53" customFormat="1" ht="50" customHeight="1" spans="1:30">
      <c r="A1737" s="53" t="s">
        <v>3441</v>
      </c>
      <c r="B1737" s="85"/>
      <c r="C1737" s="53" t="s">
        <v>32</v>
      </c>
      <c r="D1737" s="86" t="s">
        <v>3278</v>
      </c>
      <c r="E1737" s="87" t="s">
        <v>3442</v>
      </c>
      <c r="F1737" s="88" t="s">
        <v>49</v>
      </c>
      <c r="G1737" s="77"/>
      <c r="H1737" s="77">
        <f>STOCK[[#This Row],[Precio Final]]</f>
        <v>17.265</v>
      </c>
      <c r="I1737" s="82">
        <f>STOCK[[#This Row],[Precio Venta Ideal (x1.5)]]</f>
        <v>2.58975</v>
      </c>
      <c r="J1737" s="89">
        <v>5</v>
      </c>
      <c r="K1737" s="80">
        <f>SUMIFS(VENTAS[Cantidad],VENTAS[Código del producto Vendido],STOCK[[#This Row],[Code]])</f>
        <v>3</v>
      </c>
      <c r="L1737" s="80">
        <f>STOCK[[#This Row],[Entradas]]-STOCK[[#This Row],[Salidas]]</f>
        <v>2</v>
      </c>
      <c r="M1737" s="77">
        <f>STOCK[[#This Row],[Precio Final]]*10%</f>
        <v>1.7265</v>
      </c>
      <c r="N1737" s="54">
        <v>0</v>
      </c>
      <c r="O1737" s="77">
        <v>0</v>
      </c>
      <c r="P1737" s="77"/>
      <c r="Q1737" s="77">
        <v>8.46</v>
      </c>
      <c r="R1737" s="80"/>
      <c r="S1737" s="77"/>
      <c r="T1737" s="77">
        <f>STOCK[[#This Row],[Costo Unitario (USD)]]+STOCK[[#This Row],[Costo Envío (USD)]]+STOCK[[#This Row],[Comisión 10%]]</f>
        <v>1.7265</v>
      </c>
      <c r="U1737" s="53">
        <f>STOCK[[#This Row],[Costo total]]*1.5</f>
        <v>2.58975</v>
      </c>
      <c r="V1737" s="53">
        <v>17.265</v>
      </c>
      <c r="W1737" s="77">
        <f>STOCK[[#This Row],[Precio Final]]-STOCK[[#This Row],[Costo total]]</f>
        <v>15.5385</v>
      </c>
      <c r="X1737" s="77">
        <f>STOCK[[#This Row],[Ganancia Unitaria]]*STOCK[[#This Row],[Salidas]]</f>
        <v>46.6155</v>
      </c>
      <c r="Y1737" s="77">
        <v>0</v>
      </c>
      <c r="Z1737" s="90"/>
      <c r="AA1737" s="54">
        <f>STOCK[[#This Row],[Costo total]]*STOCK[[#This Row],[Entradas]]</f>
        <v>8.6325</v>
      </c>
      <c r="AB1737" s="54">
        <f>STOCK[[#This Row],[Stock Actual]]*STOCK[[#This Row],[Costo total]]</f>
        <v>3.453</v>
      </c>
      <c r="AC1737" s="77">
        <v>57.55</v>
      </c>
      <c r="AD1737" s="77"/>
    </row>
    <row r="1738" s="53" customFormat="1" ht="50" customHeight="1" spans="1:30">
      <c r="A1738" s="53" t="s">
        <v>3443</v>
      </c>
      <c r="B1738" s="85"/>
      <c r="C1738" s="53" t="s">
        <v>32</v>
      </c>
      <c r="D1738" s="86" t="s">
        <v>3278</v>
      </c>
      <c r="E1738" s="87" t="s">
        <v>3444</v>
      </c>
      <c r="F1738" s="88" t="s">
        <v>525</v>
      </c>
      <c r="G1738" s="77"/>
      <c r="H1738" s="77">
        <f>STOCK[[#This Row],[Precio Final]]</f>
        <v>5.04</v>
      </c>
      <c r="I1738" s="82">
        <f>STOCK[[#This Row],[Precio Venta Ideal (x1.5)]]</f>
        <v>0.756</v>
      </c>
      <c r="J1738" s="89">
        <v>5</v>
      </c>
      <c r="K1738" s="80">
        <f>SUMIFS(VENTAS[Cantidad],VENTAS[Código del producto Vendido],STOCK[[#This Row],[Code]])</f>
        <v>1</v>
      </c>
      <c r="L1738" s="80">
        <f>STOCK[[#This Row],[Entradas]]-STOCK[[#This Row],[Salidas]]</f>
        <v>4</v>
      </c>
      <c r="M1738" s="77">
        <f>STOCK[[#This Row],[Precio Final]]*10%</f>
        <v>0.504</v>
      </c>
      <c r="N1738" s="54">
        <v>0</v>
      </c>
      <c r="O1738" s="77">
        <v>0</v>
      </c>
      <c r="P1738" s="77"/>
      <c r="Q1738" s="77">
        <v>1.31</v>
      </c>
      <c r="R1738" s="80"/>
      <c r="S1738" s="77"/>
      <c r="T1738" s="77">
        <f>STOCK[[#This Row],[Costo Unitario (USD)]]+STOCK[[#This Row],[Costo Envío (USD)]]+STOCK[[#This Row],[Comisión 10%]]</f>
        <v>0.504</v>
      </c>
      <c r="U1738" s="53">
        <f>STOCK[[#This Row],[Costo total]]*1.5</f>
        <v>0.756</v>
      </c>
      <c r="V1738" s="53">
        <v>5.04</v>
      </c>
      <c r="W1738" s="77">
        <f>STOCK[[#This Row],[Precio Final]]-STOCK[[#This Row],[Costo total]]</f>
        <v>4.536</v>
      </c>
      <c r="X1738" s="77">
        <f>STOCK[[#This Row],[Ganancia Unitaria]]*STOCK[[#This Row],[Salidas]]</f>
        <v>4.536</v>
      </c>
      <c r="Y1738" s="77">
        <v>0</v>
      </c>
      <c r="Z1738" s="90"/>
      <c r="AA1738" s="54">
        <f>STOCK[[#This Row],[Costo total]]*STOCK[[#This Row],[Entradas]]</f>
        <v>2.52</v>
      </c>
      <c r="AB1738" s="54">
        <f>STOCK[[#This Row],[Stock Actual]]*STOCK[[#This Row],[Costo total]]</f>
        <v>2.016</v>
      </c>
      <c r="AC1738" s="77">
        <v>16.8</v>
      </c>
      <c r="AD1738" s="77"/>
    </row>
    <row r="1739" s="53" customFormat="1" ht="50" customHeight="1" spans="1:30">
      <c r="A1739" s="53" t="s">
        <v>3445</v>
      </c>
      <c r="B1739" s="85"/>
      <c r="C1739" s="53" t="s">
        <v>32</v>
      </c>
      <c r="D1739" s="86" t="s">
        <v>3278</v>
      </c>
      <c r="E1739" s="87" t="s">
        <v>3446</v>
      </c>
      <c r="F1739" s="88" t="s">
        <v>62</v>
      </c>
      <c r="G1739" s="77"/>
      <c r="H1739" s="77">
        <f>STOCK[[#This Row],[Precio Final]]</f>
        <v>14.775</v>
      </c>
      <c r="I1739" s="82">
        <f>STOCK[[#This Row],[Precio Venta Ideal (x1.5)]]</f>
        <v>2.21625</v>
      </c>
      <c r="J1739" s="89">
        <v>1</v>
      </c>
      <c r="K1739" s="80">
        <f>SUMIFS(VENTAS[Cantidad],VENTAS[Código del producto Vendido],STOCK[[#This Row],[Code]])</f>
        <v>1</v>
      </c>
      <c r="L1739" s="80">
        <f>STOCK[[#This Row],[Entradas]]-STOCK[[#This Row],[Salidas]]</f>
        <v>0</v>
      </c>
      <c r="M1739" s="77">
        <f>STOCK[[#This Row],[Precio Final]]*10%</f>
        <v>1.4775</v>
      </c>
      <c r="N1739" s="54">
        <v>0</v>
      </c>
      <c r="O1739" s="77">
        <v>0</v>
      </c>
      <c r="P1739" s="77"/>
      <c r="Q1739" s="77">
        <v>7</v>
      </c>
      <c r="R1739" s="80"/>
      <c r="S1739" s="77"/>
      <c r="T1739" s="77">
        <f>STOCK[[#This Row],[Costo Unitario (USD)]]+STOCK[[#This Row],[Costo Envío (USD)]]+STOCK[[#This Row],[Comisión 10%]]</f>
        <v>1.4775</v>
      </c>
      <c r="U1739" s="53">
        <f>STOCK[[#This Row],[Costo total]]*1.5</f>
        <v>2.21625</v>
      </c>
      <c r="V1739" s="53">
        <v>14.775</v>
      </c>
      <c r="W1739" s="77">
        <f>STOCK[[#This Row],[Precio Final]]-STOCK[[#This Row],[Costo total]]</f>
        <v>13.2975</v>
      </c>
      <c r="X1739" s="77">
        <f>STOCK[[#This Row],[Ganancia Unitaria]]*STOCK[[#This Row],[Salidas]]</f>
        <v>13.2975</v>
      </c>
      <c r="Y1739" s="77">
        <v>0</v>
      </c>
      <c r="Z1739" s="90"/>
      <c r="AA1739" s="54">
        <f>STOCK[[#This Row],[Costo total]]*STOCK[[#This Row],[Entradas]]</f>
        <v>1.4775</v>
      </c>
      <c r="AB1739" s="54">
        <f>STOCK[[#This Row],[Stock Actual]]*STOCK[[#This Row],[Costo total]]</f>
        <v>0</v>
      </c>
      <c r="AC1739" s="77">
        <v>9.85</v>
      </c>
      <c r="AD1739" s="77"/>
    </row>
    <row r="1740" s="53" customFormat="1" ht="50" customHeight="1" spans="1:30">
      <c r="A1740" s="53" t="s">
        <v>3447</v>
      </c>
      <c r="B1740" s="85"/>
      <c r="C1740" s="53" t="s">
        <v>32</v>
      </c>
      <c r="D1740" s="86" t="s">
        <v>3278</v>
      </c>
      <c r="E1740" s="87" t="s">
        <v>3448</v>
      </c>
      <c r="F1740" s="88" t="s">
        <v>3361</v>
      </c>
      <c r="G1740" s="77"/>
      <c r="H1740" s="77">
        <f>STOCK[[#This Row],[Precio Final]]</f>
        <v>3.15</v>
      </c>
      <c r="I1740" s="82">
        <f>STOCK[[#This Row],[Precio Venta Ideal (x1.5)]]</f>
        <v>0.4725</v>
      </c>
      <c r="J1740" s="89">
        <v>10</v>
      </c>
      <c r="K1740" s="80">
        <f>SUMIFS(VENTAS[Cantidad],VENTAS[Código del producto Vendido],STOCK[[#This Row],[Code]])</f>
        <v>11</v>
      </c>
      <c r="L1740" s="80">
        <f>STOCK[[#This Row],[Entradas]]-STOCK[[#This Row],[Salidas]]</f>
        <v>-1</v>
      </c>
      <c r="M1740" s="77">
        <f>STOCK[[#This Row],[Precio Final]]*10%</f>
        <v>0.315</v>
      </c>
      <c r="N1740" s="54">
        <v>0</v>
      </c>
      <c r="O1740" s="77">
        <v>0</v>
      </c>
      <c r="P1740" s="77"/>
      <c r="Q1740" s="77">
        <v>0.65</v>
      </c>
      <c r="R1740" s="80"/>
      <c r="S1740" s="77"/>
      <c r="T1740" s="77">
        <f>STOCK[[#This Row],[Costo Unitario (USD)]]+STOCK[[#This Row],[Costo Envío (USD)]]+STOCK[[#This Row],[Comisión 10%]]</f>
        <v>0.315</v>
      </c>
      <c r="U1740" s="53">
        <f>STOCK[[#This Row],[Costo total]]*1.5</f>
        <v>0.4725</v>
      </c>
      <c r="V1740" s="53">
        <v>3.15</v>
      </c>
      <c r="W1740" s="77">
        <f>STOCK[[#This Row],[Precio Final]]-STOCK[[#This Row],[Costo total]]</f>
        <v>2.835</v>
      </c>
      <c r="X1740" s="77">
        <f>STOCK[[#This Row],[Ganancia Unitaria]]*STOCK[[#This Row],[Salidas]]</f>
        <v>31.185</v>
      </c>
      <c r="Y1740" s="77">
        <v>0</v>
      </c>
      <c r="Z1740" s="90"/>
      <c r="AA1740" s="54">
        <f>STOCK[[#This Row],[Costo total]]*STOCK[[#This Row],[Entradas]]</f>
        <v>3.15</v>
      </c>
      <c r="AB1740" s="54">
        <f>STOCK[[#This Row],[Stock Actual]]*STOCK[[#This Row],[Costo total]]</f>
        <v>-0.315</v>
      </c>
      <c r="AC1740" s="77">
        <v>21</v>
      </c>
      <c r="AD1740" s="77"/>
    </row>
    <row r="1741" s="53" customFormat="1" ht="50" customHeight="1" spans="1:30">
      <c r="A1741" s="53" t="s">
        <v>3449</v>
      </c>
      <c r="B1741" s="85"/>
      <c r="C1741" s="53" t="s">
        <v>32</v>
      </c>
      <c r="D1741" s="86" t="s">
        <v>3278</v>
      </c>
      <c r="E1741" s="87" t="s">
        <v>3450</v>
      </c>
      <c r="F1741" s="88" t="s">
        <v>3339</v>
      </c>
      <c r="G1741" s="77"/>
      <c r="H1741" s="77">
        <f>STOCK[[#This Row],[Precio Final]]</f>
        <v>3.51</v>
      </c>
      <c r="I1741" s="82">
        <f>STOCK[[#This Row],[Precio Venta Ideal (x1.5)]]</f>
        <v>0.5265</v>
      </c>
      <c r="J1741" s="89">
        <v>6</v>
      </c>
      <c r="K1741" s="80">
        <f>SUMIFS(VENTAS[Cantidad],VENTAS[Código del producto Vendido],STOCK[[#This Row],[Code]])</f>
        <v>8</v>
      </c>
      <c r="L1741" s="80">
        <f>STOCK[[#This Row],[Entradas]]-STOCK[[#This Row],[Salidas]]</f>
        <v>-2</v>
      </c>
      <c r="M1741" s="77">
        <f>STOCK[[#This Row],[Precio Final]]*10%</f>
        <v>0.351</v>
      </c>
      <c r="N1741" s="54">
        <v>0</v>
      </c>
      <c r="O1741" s="77">
        <v>0</v>
      </c>
      <c r="P1741" s="77"/>
      <c r="Q1741" s="77">
        <v>0.79</v>
      </c>
      <c r="R1741" s="80"/>
      <c r="S1741" s="77"/>
      <c r="T1741" s="77">
        <f>STOCK[[#This Row],[Costo Unitario (USD)]]+STOCK[[#This Row],[Costo Envío (USD)]]+STOCK[[#This Row],[Comisión 10%]]</f>
        <v>0.351</v>
      </c>
      <c r="U1741" s="53">
        <f>STOCK[[#This Row],[Costo total]]*1.5</f>
        <v>0.5265</v>
      </c>
      <c r="V1741" s="53">
        <v>3.51</v>
      </c>
      <c r="W1741" s="77">
        <f>STOCK[[#This Row],[Precio Final]]-STOCK[[#This Row],[Costo total]]</f>
        <v>3.159</v>
      </c>
      <c r="X1741" s="77">
        <f>STOCK[[#This Row],[Ganancia Unitaria]]*STOCK[[#This Row],[Salidas]]</f>
        <v>25.272</v>
      </c>
      <c r="Y1741" s="77">
        <v>0</v>
      </c>
      <c r="Z1741" s="90"/>
      <c r="AA1741" s="54">
        <f>STOCK[[#This Row],[Costo total]]*STOCK[[#This Row],[Entradas]]</f>
        <v>2.106</v>
      </c>
      <c r="AB1741" s="54">
        <f>STOCK[[#This Row],[Stock Actual]]*STOCK[[#This Row],[Costo total]]</f>
        <v>-0.702</v>
      </c>
      <c r="AC1741" s="77">
        <v>14.04</v>
      </c>
      <c r="AD1741" s="77"/>
    </row>
    <row r="1742" s="53" customFormat="1" ht="50" customHeight="1" spans="1:30">
      <c r="A1742" s="53" t="s">
        <v>3451</v>
      </c>
      <c r="B1742" s="85"/>
      <c r="C1742" s="53" t="s">
        <v>32</v>
      </c>
      <c r="D1742" s="86" t="s">
        <v>3278</v>
      </c>
      <c r="E1742" s="87" t="s">
        <v>3452</v>
      </c>
      <c r="F1742" s="88" t="s">
        <v>525</v>
      </c>
      <c r="G1742" s="77"/>
      <c r="H1742" s="77">
        <f>STOCK[[#This Row],[Precio Final]]</f>
        <v>11.505</v>
      </c>
      <c r="I1742" s="82">
        <f>STOCK[[#This Row],[Precio Venta Ideal (x1.5)]]</f>
        <v>1.72575</v>
      </c>
      <c r="J1742" s="89">
        <v>5</v>
      </c>
      <c r="K1742" s="80">
        <f>SUMIFS(VENTAS[Cantidad],VENTAS[Código del producto Vendido],STOCK[[#This Row],[Code]])</f>
        <v>1</v>
      </c>
      <c r="L1742" s="80">
        <f>STOCK[[#This Row],[Entradas]]-STOCK[[#This Row],[Salidas]]</f>
        <v>4</v>
      </c>
      <c r="M1742" s="77">
        <f>STOCK[[#This Row],[Precio Final]]*10%</f>
        <v>1.1505</v>
      </c>
      <c r="N1742" s="54">
        <v>0</v>
      </c>
      <c r="O1742" s="77">
        <v>0</v>
      </c>
      <c r="P1742" s="77"/>
      <c r="Q1742" s="77">
        <v>3.31</v>
      </c>
      <c r="R1742" s="80"/>
      <c r="S1742" s="77"/>
      <c r="T1742" s="77">
        <f>STOCK[[#This Row],[Costo Unitario (USD)]]+STOCK[[#This Row],[Costo Envío (USD)]]+STOCK[[#This Row],[Comisión 10%]]</f>
        <v>1.1505</v>
      </c>
      <c r="U1742" s="53">
        <f>STOCK[[#This Row],[Costo total]]*1.5</f>
        <v>1.72575</v>
      </c>
      <c r="V1742" s="53">
        <v>11.505</v>
      </c>
      <c r="W1742" s="77">
        <f>STOCK[[#This Row],[Precio Final]]-STOCK[[#This Row],[Costo total]]</f>
        <v>10.3545</v>
      </c>
      <c r="X1742" s="77">
        <f>STOCK[[#This Row],[Ganancia Unitaria]]*STOCK[[#This Row],[Salidas]]</f>
        <v>10.3545</v>
      </c>
      <c r="Y1742" s="77">
        <v>0</v>
      </c>
      <c r="Z1742" s="90"/>
      <c r="AA1742" s="54">
        <f>STOCK[[#This Row],[Costo total]]*STOCK[[#This Row],[Entradas]]</f>
        <v>5.7525</v>
      </c>
      <c r="AB1742" s="54">
        <f>STOCK[[#This Row],[Stock Actual]]*STOCK[[#This Row],[Costo total]]</f>
        <v>4.602</v>
      </c>
      <c r="AC1742" s="77">
        <v>38.35</v>
      </c>
      <c r="AD1742" s="77"/>
    </row>
    <row r="1743" s="53" customFormat="1" ht="50" customHeight="1" spans="1:29">
      <c r="A1743" s="53" t="s">
        <v>3453</v>
      </c>
      <c r="B1743" s="94"/>
      <c r="C1743" s="53" t="s">
        <v>32</v>
      </c>
      <c r="D1743" s="86" t="s">
        <v>3278</v>
      </c>
      <c r="E1743" s="96" t="s">
        <v>3284</v>
      </c>
      <c r="F1743" s="91" t="s">
        <v>49</v>
      </c>
      <c r="H1743" s="77">
        <f>STOCK[[#This Row],[Precio Final]]</f>
        <v>21.825</v>
      </c>
      <c r="I1743" s="82">
        <f>STOCK[[#This Row],[Precio Venta Ideal (x1.5)]]</f>
        <v>3.27375</v>
      </c>
      <c r="J1743" s="92">
        <v>3</v>
      </c>
      <c r="K1743" s="80">
        <f>SUMIFS(VENTAS[Cantidad],VENTAS[Código del producto Vendido],STOCK[[#This Row],[Code]])</f>
        <v>0</v>
      </c>
      <c r="L1743" s="80">
        <f>STOCK[[#This Row],[Entradas]]-STOCK[[#This Row],[Salidas]]</f>
        <v>3</v>
      </c>
      <c r="M1743" s="77">
        <f>STOCK[[#This Row],[Precio Final]]*10%</f>
        <v>2.1825</v>
      </c>
      <c r="N1743" s="54">
        <v>0</v>
      </c>
      <c r="O1743" s="77">
        <v>0</v>
      </c>
      <c r="Q1743" s="53">
        <v>11</v>
      </c>
      <c r="R1743" s="71"/>
      <c r="T1743" s="77">
        <f>STOCK[[#This Row],[Costo Unitario (USD)]]+STOCK[[#This Row],[Costo Envío (USD)]]+STOCK[[#This Row],[Comisión 10%]]</f>
        <v>2.1825</v>
      </c>
      <c r="U1743" s="53">
        <f>STOCK[[#This Row],[Costo total]]*1.5</f>
        <v>3.27375</v>
      </c>
      <c r="V1743" s="53">
        <v>21.825</v>
      </c>
      <c r="W1743" s="77">
        <f>STOCK[[#This Row],[Precio Final]]-STOCK[[#This Row],[Costo total]]</f>
        <v>19.6425</v>
      </c>
      <c r="X1743" s="77">
        <f>STOCK[[#This Row],[Ganancia Unitaria]]*STOCK[[#This Row],[Salidas]]</f>
        <v>0</v>
      </c>
      <c r="Y1743" s="53">
        <v>0</v>
      </c>
      <c r="Z1743" s="93"/>
      <c r="AA1743" s="54">
        <f>STOCK[[#This Row],[Costo total]]*STOCK[[#This Row],[Entradas]]</f>
        <v>6.5475</v>
      </c>
      <c r="AB1743" s="54">
        <f>STOCK[[#This Row],[Stock Actual]]*STOCK[[#This Row],[Costo total]]</f>
        <v>6.5475</v>
      </c>
      <c r="AC1743" s="53">
        <v>43.65</v>
      </c>
    </row>
    <row r="1744" s="53" customFormat="1" ht="50" customHeight="1" spans="1:30">
      <c r="A1744" s="53" t="s">
        <v>3454</v>
      </c>
      <c r="B1744" s="85"/>
      <c r="C1744" s="53" t="s">
        <v>32</v>
      </c>
      <c r="D1744" s="86" t="s">
        <v>3278</v>
      </c>
      <c r="E1744" s="87" t="s">
        <v>3455</v>
      </c>
      <c r="F1744" s="88" t="s">
        <v>540</v>
      </c>
      <c r="G1744" s="77"/>
      <c r="H1744" s="77">
        <f>STOCK[[#This Row],[Precio Final]]</f>
        <v>32.7</v>
      </c>
      <c r="I1744" s="82">
        <f>STOCK[[#This Row],[Precio Venta Ideal (x1.5)]]</f>
        <v>4.905</v>
      </c>
      <c r="J1744" s="89">
        <v>1</v>
      </c>
      <c r="K1744" s="80">
        <f>SUMIFS(VENTAS[Cantidad],VENTAS[Código del producto Vendido],STOCK[[#This Row],[Code]])</f>
        <v>1</v>
      </c>
      <c r="L1744" s="80">
        <f>STOCK[[#This Row],[Entradas]]-STOCK[[#This Row],[Salidas]]</f>
        <v>0</v>
      </c>
      <c r="M1744" s="77">
        <f>STOCK[[#This Row],[Precio Final]]*10%</f>
        <v>3.27</v>
      </c>
      <c r="N1744" s="54">
        <v>0</v>
      </c>
      <c r="O1744" s="77">
        <v>0</v>
      </c>
      <c r="P1744" s="77"/>
      <c r="Q1744" s="77">
        <v>15.75</v>
      </c>
      <c r="R1744" s="80"/>
      <c r="S1744" s="77"/>
      <c r="T1744" s="77">
        <f>STOCK[[#This Row],[Costo Unitario (USD)]]+STOCK[[#This Row],[Costo Envío (USD)]]+STOCK[[#This Row],[Comisión 10%]]</f>
        <v>3.27</v>
      </c>
      <c r="U1744" s="53">
        <f>STOCK[[#This Row],[Costo total]]*1.5</f>
        <v>4.905</v>
      </c>
      <c r="V1744" s="53">
        <v>32.7</v>
      </c>
      <c r="W1744" s="77">
        <f>STOCK[[#This Row],[Precio Final]]-STOCK[[#This Row],[Costo total]]</f>
        <v>29.43</v>
      </c>
      <c r="X1744" s="77">
        <f>STOCK[[#This Row],[Ganancia Unitaria]]*STOCK[[#This Row],[Salidas]]</f>
        <v>29.43</v>
      </c>
      <c r="Y1744" s="77">
        <v>0</v>
      </c>
      <c r="Z1744" s="90"/>
      <c r="AA1744" s="54">
        <f>STOCK[[#This Row],[Costo total]]*STOCK[[#This Row],[Entradas]]</f>
        <v>3.27</v>
      </c>
      <c r="AB1744" s="54">
        <f>STOCK[[#This Row],[Stock Actual]]*STOCK[[#This Row],[Costo total]]</f>
        <v>0</v>
      </c>
      <c r="AC1744" s="77">
        <v>21.8</v>
      </c>
      <c r="AD1744" s="77"/>
    </row>
    <row r="1745" s="53" customFormat="1" ht="50" customHeight="1" spans="1:30">
      <c r="A1745" s="53" t="s">
        <v>3456</v>
      </c>
      <c r="B1745" s="85"/>
      <c r="C1745" s="53" t="s">
        <v>32</v>
      </c>
      <c r="D1745" s="86" t="s">
        <v>3278</v>
      </c>
      <c r="E1745" s="87" t="s">
        <v>3279</v>
      </c>
      <c r="F1745" s="88" t="s">
        <v>62</v>
      </c>
      <c r="G1745" s="77"/>
      <c r="H1745" s="77">
        <f>STOCK[[#This Row],[Precio Final]]</f>
        <v>19.575</v>
      </c>
      <c r="I1745" s="82">
        <f>STOCK[[#This Row],[Precio Venta Ideal (x1.5)]]</f>
        <v>2.93625</v>
      </c>
      <c r="J1745" s="89">
        <v>1</v>
      </c>
      <c r="K1745" s="80">
        <f>SUMIFS(VENTAS[Cantidad],VENTAS[Código del producto Vendido],STOCK[[#This Row],[Code]])</f>
        <v>0</v>
      </c>
      <c r="L1745" s="80">
        <f>STOCK[[#This Row],[Entradas]]-STOCK[[#This Row],[Salidas]]</f>
        <v>1</v>
      </c>
      <c r="M1745" s="77">
        <f>STOCK[[#This Row],[Precio Final]]*10%</f>
        <v>1.9575</v>
      </c>
      <c r="N1745" s="54">
        <v>0</v>
      </c>
      <c r="O1745" s="77">
        <v>0</v>
      </c>
      <c r="P1745" s="77"/>
      <c r="Q1745" s="77">
        <v>9.5</v>
      </c>
      <c r="R1745" s="80"/>
      <c r="S1745" s="77"/>
      <c r="T1745" s="77">
        <f>STOCK[[#This Row],[Costo Unitario (USD)]]+STOCK[[#This Row],[Costo Envío (USD)]]+STOCK[[#This Row],[Comisión 10%]]</f>
        <v>1.9575</v>
      </c>
      <c r="U1745" s="53">
        <f>STOCK[[#This Row],[Costo total]]*1.5</f>
        <v>2.93625</v>
      </c>
      <c r="V1745" s="53">
        <v>19.575</v>
      </c>
      <c r="W1745" s="77">
        <f>STOCK[[#This Row],[Precio Final]]-STOCK[[#This Row],[Costo total]]</f>
        <v>17.6175</v>
      </c>
      <c r="X1745" s="77">
        <f>STOCK[[#This Row],[Ganancia Unitaria]]*STOCK[[#This Row],[Salidas]]</f>
        <v>0</v>
      </c>
      <c r="Y1745" s="77">
        <v>0</v>
      </c>
      <c r="Z1745" s="90"/>
      <c r="AA1745" s="54">
        <f>STOCK[[#This Row],[Costo total]]*STOCK[[#This Row],[Entradas]]</f>
        <v>1.9575</v>
      </c>
      <c r="AB1745" s="54">
        <f>STOCK[[#This Row],[Stock Actual]]*STOCK[[#This Row],[Costo total]]</f>
        <v>1.9575</v>
      </c>
      <c r="AC1745" s="77">
        <v>13.05</v>
      </c>
      <c r="AD1745" s="77"/>
    </row>
    <row r="1746" s="53" customFormat="1" ht="50" customHeight="1" spans="1:30">
      <c r="A1746" s="53" t="s">
        <v>3457</v>
      </c>
      <c r="B1746" s="85"/>
      <c r="C1746" s="53" t="s">
        <v>32</v>
      </c>
      <c r="D1746" s="86" t="s">
        <v>3278</v>
      </c>
      <c r="E1746" s="87" t="s">
        <v>3347</v>
      </c>
      <c r="F1746" s="88" t="s">
        <v>46</v>
      </c>
      <c r="G1746" s="77"/>
      <c r="H1746" s="77">
        <f>STOCK[[#This Row],[Precio Final]]</f>
        <v>20.205</v>
      </c>
      <c r="I1746" s="82">
        <f>STOCK[[#This Row],[Precio Venta Ideal (x1.5)]]</f>
        <v>3.03075</v>
      </c>
      <c r="J1746" s="89">
        <v>1</v>
      </c>
      <c r="K1746" s="80">
        <f>SUMIFS(VENTAS[Cantidad],VENTAS[Código del producto Vendido],STOCK[[#This Row],[Code]])</f>
        <v>1</v>
      </c>
      <c r="L1746" s="80">
        <f>STOCK[[#This Row],[Entradas]]-STOCK[[#This Row],[Salidas]]</f>
        <v>0</v>
      </c>
      <c r="M1746" s="77">
        <f>STOCK[[#This Row],[Precio Final]]*10%</f>
        <v>2.0205</v>
      </c>
      <c r="N1746" s="54">
        <v>0</v>
      </c>
      <c r="O1746" s="77">
        <v>0</v>
      </c>
      <c r="P1746" s="77"/>
      <c r="Q1746" s="77">
        <v>9.92</v>
      </c>
      <c r="R1746" s="80"/>
      <c r="S1746" s="77"/>
      <c r="T1746" s="77">
        <f>STOCK[[#This Row],[Costo Unitario (USD)]]+STOCK[[#This Row],[Costo Envío (USD)]]+STOCK[[#This Row],[Comisión 10%]]</f>
        <v>2.0205</v>
      </c>
      <c r="U1746" s="53">
        <f>STOCK[[#This Row],[Costo total]]*1.5</f>
        <v>3.03075</v>
      </c>
      <c r="V1746" s="53">
        <v>20.205</v>
      </c>
      <c r="W1746" s="77">
        <f>STOCK[[#This Row],[Precio Final]]-STOCK[[#This Row],[Costo total]]</f>
        <v>18.1845</v>
      </c>
      <c r="X1746" s="77">
        <f>STOCK[[#This Row],[Ganancia Unitaria]]*STOCK[[#This Row],[Salidas]]</f>
        <v>18.1845</v>
      </c>
      <c r="Y1746" s="77">
        <v>0</v>
      </c>
      <c r="Z1746" s="90"/>
      <c r="AA1746" s="54">
        <f>STOCK[[#This Row],[Costo total]]*STOCK[[#This Row],[Entradas]]</f>
        <v>2.0205</v>
      </c>
      <c r="AB1746" s="54">
        <f>STOCK[[#This Row],[Stock Actual]]*STOCK[[#This Row],[Costo total]]</f>
        <v>0</v>
      </c>
      <c r="AC1746" s="77">
        <v>13.47</v>
      </c>
      <c r="AD1746" s="77"/>
    </row>
    <row r="1747" s="53" customFormat="1" ht="50" customHeight="1" spans="1:30">
      <c r="A1747" s="53" t="s">
        <v>3458</v>
      </c>
      <c r="B1747" s="85"/>
      <c r="C1747" s="53" t="s">
        <v>32</v>
      </c>
      <c r="D1747" s="86" t="s">
        <v>3278</v>
      </c>
      <c r="E1747" s="87" t="s">
        <v>3350</v>
      </c>
      <c r="F1747" s="88" t="s">
        <v>62</v>
      </c>
      <c r="G1747" s="77"/>
      <c r="H1747" s="77">
        <f>STOCK[[#This Row],[Precio Final]]</f>
        <v>19.905</v>
      </c>
      <c r="I1747" s="82">
        <f>STOCK[[#This Row],[Precio Venta Ideal (x1.5)]]</f>
        <v>2.98575</v>
      </c>
      <c r="J1747" s="89">
        <v>2</v>
      </c>
      <c r="K1747" s="80">
        <f>SUMIFS(VENTAS[Cantidad],VENTAS[Código del producto Vendido],STOCK[[#This Row],[Code]])</f>
        <v>2</v>
      </c>
      <c r="L1747" s="80">
        <f>STOCK[[#This Row],[Entradas]]-STOCK[[#This Row],[Salidas]]</f>
        <v>0</v>
      </c>
      <c r="M1747" s="77">
        <f>STOCK[[#This Row],[Precio Final]]*10%</f>
        <v>1.9905</v>
      </c>
      <c r="N1747" s="54">
        <v>0</v>
      </c>
      <c r="O1747" s="77">
        <v>0</v>
      </c>
      <c r="P1747" s="77"/>
      <c r="Q1747" s="77">
        <v>9.72</v>
      </c>
      <c r="R1747" s="80"/>
      <c r="S1747" s="77"/>
      <c r="T1747" s="77">
        <f>STOCK[[#This Row],[Costo Unitario (USD)]]+STOCK[[#This Row],[Costo Envío (USD)]]+STOCK[[#This Row],[Comisión 10%]]</f>
        <v>1.9905</v>
      </c>
      <c r="U1747" s="53">
        <f>STOCK[[#This Row],[Costo total]]*1.5</f>
        <v>2.98575</v>
      </c>
      <c r="V1747" s="53">
        <v>19.905</v>
      </c>
      <c r="W1747" s="77">
        <f>STOCK[[#This Row],[Precio Final]]-STOCK[[#This Row],[Costo total]]</f>
        <v>17.9145</v>
      </c>
      <c r="X1747" s="77">
        <f>STOCK[[#This Row],[Ganancia Unitaria]]*STOCK[[#This Row],[Salidas]]</f>
        <v>35.829</v>
      </c>
      <c r="Y1747" s="77">
        <v>0</v>
      </c>
      <c r="Z1747" s="90"/>
      <c r="AA1747" s="54">
        <f>STOCK[[#This Row],[Costo total]]*STOCK[[#This Row],[Entradas]]</f>
        <v>3.981</v>
      </c>
      <c r="AB1747" s="54">
        <f>STOCK[[#This Row],[Stock Actual]]*STOCK[[#This Row],[Costo total]]</f>
        <v>0</v>
      </c>
      <c r="AC1747" s="77">
        <v>26.54</v>
      </c>
      <c r="AD1747" s="77"/>
    </row>
    <row r="1748" s="53" customFormat="1" ht="50" customHeight="1" spans="1:30">
      <c r="A1748" s="53" t="s">
        <v>3459</v>
      </c>
      <c r="B1748" s="85"/>
      <c r="C1748" s="53" t="s">
        <v>32</v>
      </c>
      <c r="D1748" s="86" t="s">
        <v>3278</v>
      </c>
      <c r="E1748" s="87" t="s">
        <v>3460</v>
      </c>
      <c r="F1748" s="88" t="s">
        <v>525</v>
      </c>
      <c r="G1748" s="77"/>
      <c r="H1748" s="77">
        <f>STOCK[[#This Row],[Precio Final]]</f>
        <v>5.835</v>
      </c>
      <c r="I1748" s="82">
        <f>STOCK[[#This Row],[Precio Venta Ideal (x1.5)]]</f>
        <v>0.87525</v>
      </c>
      <c r="J1748" s="89">
        <v>5</v>
      </c>
      <c r="K1748" s="80">
        <f>SUMIFS(VENTAS[Cantidad],VENTAS[Código del producto Vendido],STOCK[[#This Row],[Code]])</f>
        <v>5</v>
      </c>
      <c r="L1748" s="80">
        <f>STOCK[[#This Row],[Entradas]]-STOCK[[#This Row],[Salidas]]</f>
        <v>0</v>
      </c>
      <c r="M1748" s="77">
        <f>STOCK[[#This Row],[Precio Final]]*10%</f>
        <v>0.5835</v>
      </c>
      <c r="N1748" s="54">
        <v>0</v>
      </c>
      <c r="O1748" s="77">
        <v>0</v>
      </c>
      <c r="P1748" s="77"/>
      <c r="Q1748" s="77">
        <v>2.04</v>
      </c>
      <c r="R1748" s="80"/>
      <c r="S1748" s="77"/>
      <c r="T1748" s="77">
        <f>STOCK[[#This Row],[Costo Unitario (USD)]]+STOCK[[#This Row],[Costo Envío (USD)]]+STOCK[[#This Row],[Comisión 10%]]</f>
        <v>0.5835</v>
      </c>
      <c r="U1748" s="53">
        <f>STOCK[[#This Row],[Costo total]]*1.5</f>
        <v>0.87525</v>
      </c>
      <c r="V1748" s="53">
        <v>5.835</v>
      </c>
      <c r="W1748" s="77">
        <f>STOCK[[#This Row],[Precio Final]]-STOCK[[#This Row],[Costo total]]</f>
        <v>5.2515</v>
      </c>
      <c r="X1748" s="77">
        <f>STOCK[[#This Row],[Ganancia Unitaria]]*STOCK[[#This Row],[Salidas]]</f>
        <v>26.2575</v>
      </c>
      <c r="Y1748" s="77">
        <v>0</v>
      </c>
      <c r="Z1748" s="90"/>
      <c r="AA1748" s="54">
        <f>STOCK[[#This Row],[Costo total]]*STOCK[[#This Row],[Entradas]]</f>
        <v>2.9175</v>
      </c>
      <c r="AB1748" s="54">
        <f>STOCK[[#This Row],[Stock Actual]]*STOCK[[#This Row],[Costo total]]</f>
        <v>0</v>
      </c>
      <c r="AC1748" s="77">
        <v>19.45</v>
      </c>
      <c r="AD1748" s="77"/>
    </row>
    <row r="1749" s="53" customFormat="1" ht="50" customHeight="1" spans="1:30">
      <c r="A1749" s="53" t="s">
        <v>3461</v>
      </c>
      <c r="B1749" s="85"/>
      <c r="C1749" s="53" t="s">
        <v>32</v>
      </c>
      <c r="D1749" s="86" t="s">
        <v>3278</v>
      </c>
      <c r="E1749" s="87" t="s">
        <v>3462</v>
      </c>
      <c r="F1749" s="88" t="s">
        <v>525</v>
      </c>
      <c r="G1749" s="77"/>
      <c r="H1749" s="77">
        <f>STOCK[[#This Row],[Precio Final]]</f>
        <v>6.18</v>
      </c>
      <c r="I1749" s="82">
        <f>STOCK[[#This Row],[Precio Venta Ideal (x1.5)]]</f>
        <v>0.927</v>
      </c>
      <c r="J1749" s="89">
        <v>3</v>
      </c>
      <c r="K1749" s="80">
        <f>SUMIFS(VENTAS[Cantidad],VENTAS[Código del producto Vendido],STOCK[[#This Row],[Code]])</f>
        <v>4</v>
      </c>
      <c r="L1749" s="80">
        <f>STOCK[[#This Row],[Entradas]]-STOCK[[#This Row],[Salidas]]</f>
        <v>-1</v>
      </c>
      <c r="M1749" s="77">
        <f>STOCK[[#This Row],[Precio Final]]*10%</f>
        <v>0.618</v>
      </c>
      <c r="N1749" s="54">
        <v>0</v>
      </c>
      <c r="O1749" s="77">
        <v>0</v>
      </c>
      <c r="P1749" s="77"/>
      <c r="Q1749" s="77">
        <v>2.27</v>
      </c>
      <c r="R1749" s="80"/>
      <c r="S1749" s="77"/>
      <c r="T1749" s="77">
        <f>STOCK[[#This Row],[Costo Unitario (USD)]]+STOCK[[#This Row],[Costo Envío (USD)]]+STOCK[[#This Row],[Comisión 10%]]</f>
        <v>0.618</v>
      </c>
      <c r="U1749" s="53">
        <f>STOCK[[#This Row],[Costo total]]*1.5</f>
        <v>0.927</v>
      </c>
      <c r="V1749" s="53">
        <v>6.18</v>
      </c>
      <c r="W1749" s="77">
        <f>STOCK[[#This Row],[Precio Final]]-STOCK[[#This Row],[Costo total]]</f>
        <v>5.562</v>
      </c>
      <c r="X1749" s="77">
        <f>STOCK[[#This Row],[Ganancia Unitaria]]*STOCK[[#This Row],[Salidas]]</f>
        <v>22.248</v>
      </c>
      <c r="Y1749" s="77">
        <v>0</v>
      </c>
      <c r="Z1749" s="90"/>
      <c r="AA1749" s="54">
        <f>STOCK[[#This Row],[Costo total]]*STOCK[[#This Row],[Entradas]]</f>
        <v>1.854</v>
      </c>
      <c r="AB1749" s="54">
        <f>STOCK[[#This Row],[Stock Actual]]*STOCK[[#This Row],[Costo total]]</f>
        <v>-0.618</v>
      </c>
      <c r="AC1749" s="77">
        <v>12.36</v>
      </c>
      <c r="AD1749" s="77"/>
    </row>
    <row r="1750" s="53" customFormat="1" ht="50" customHeight="1" spans="1:30">
      <c r="A1750" s="53" t="s">
        <v>3463</v>
      </c>
      <c r="B1750" s="85"/>
      <c r="C1750" s="53" t="s">
        <v>32</v>
      </c>
      <c r="D1750" s="86" t="s">
        <v>3278</v>
      </c>
      <c r="E1750" s="87" t="s">
        <v>3464</v>
      </c>
      <c r="F1750" s="88" t="s">
        <v>2822</v>
      </c>
      <c r="G1750" s="77"/>
      <c r="H1750" s="77">
        <f>STOCK[[#This Row],[Precio Final]]</f>
        <v>13.065</v>
      </c>
      <c r="I1750" s="82">
        <f>STOCK[[#This Row],[Precio Venta Ideal (x1.5)]]</f>
        <v>1.95975</v>
      </c>
      <c r="J1750" s="89">
        <v>4</v>
      </c>
      <c r="K1750" s="80">
        <f>SUMIFS(VENTAS[Cantidad],VENTAS[Código del producto Vendido],STOCK[[#This Row],[Code]])</f>
        <v>0</v>
      </c>
      <c r="L1750" s="80">
        <f>STOCK[[#This Row],[Entradas]]-STOCK[[#This Row],[Salidas]]</f>
        <v>4</v>
      </c>
      <c r="M1750" s="77">
        <f>STOCK[[#This Row],[Precio Final]]*10%</f>
        <v>1.3065</v>
      </c>
      <c r="N1750" s="54">
        <v>0</v>
      </c>
      <c r="O1750" s="77">
        <v>0</v>
      </c>
      <c r="P1750" s="77"/>
      <c r="Q1750" s="77">
        <v>5.86</v>
      </c>
      <c r="R1750" s="80"/>
      <c r="S1750" s="77"/>
      <c r="T1750" s="77">
        <f>STOCK[[#This Row],[Costo Unitario (USD)]]+STOCK[[#This Row],[Costo Envío (USD)]]+STOCK[[#This Row],[Comisión 10%]]</f>
        <v>1.3065</v>
      </c>
      <c r="U1750" s="53">
        <f>STOCK[[#This Row],[Costo total]]*1.5</f>
        <v>1.95975</v>
      </c>
      <c r="V1750" s="53">
        <v>13.065</v>
      </c>
      <c r="W1750" s="77">
        <f>STOCK[[#This Row],[Precio Final]]-STOCK[[#This Row],[Costo total]]</f>
        <v>11.7585</v>
      </c>
      <c r="X1750" s="77">
        <f>STOCK[[#This Row],[Ganancia Unitaria]]*STOCK[[#This Row],[Salidas]]</f>
        <v>0</v>
      </c>
      <c r="Y1750" s="77">
        <v>0</v>
      </c>
      <c r="Z1750" s="90"/>
      <c r="AA1750" s="54">
        <f>STOCK[[#This Row],[Costo total]]*STOCK[[#This Row],[Entradas]]</f>
        <v>5.226</v>
      </c>
      <c r="AB1750" s="54">
        <f>STOCK[[#This Row],[Stock Actual]]*STOCK[[#This Row],[Costo total]]</f>
        <v>5.226</v>
      </c>
      <c r="AC1750" s="77">
        <v>34.84</v>
      </c>
      <c r="AD1750" s="77"/>
    </row>
    <row r="1751" s="53" customFormat="1" ht="50" customHeight="1" spans="1:29">
      <c r="A1751" s="53" t="s">
        <v>3465</v>
      </c>
      <c r="B1751" s="66"/>
      <c r="C1751" s="53" t="s">
        <v>32</v>
      </c>
      <c r="D1751" s="86" t="s">
        <v>3278</v>
      </c>
      <c r="E1751" s="67" t="s">
        <v>3466</v>
      </c>
      <c r="F1751" s="53" t="s">
        <v>525</v>
      </c>
      <c r="G1751" s="53" t="s">
        <v>36</v>
      </c>
      <c r="H1751" s="77">
        <f>STOCK[[#This Row],[Precio Final]]</f>
        <v>9.6</v>
      </c>
      <c r="I1751" s="82">
        <f>STOCK[[#This Row],[Precio Venta Ideal (x1.5)]]</f>
        <v>26.94</v>
      </c>
      <c r="J1751" s="71">
        <v>10</v>
      </c>
      <c r="K1751" s="80">
        <f>SUMIFS(VENTAS[Cantidad],VENTAS[Código del producto Vendido],STOCK[[#This Row],[Code]])</f>
        <v>2</v>
      </c>
      <c r="L1751" s="80">
        <f>STOCK[[#This Row],[Entradas]]-STOCK[[#This Row],[Salidas]]</f>
        <v>8</v>
      </c>
      <c r="M1751" s="77">
        <f>STOCK[[#This Row],[Precio Final]]*10%</f>
        <v>0.96</v>
      </c>
      <c r="N1751" s="54">
        <v>0</v>
      </c>
      <c r="O1751" s="77">
        <v>0</v>
      </c>
      <c r="Q1751" s="53">
        <v>4.5</v>
      </c>
      <c r="R1751" s="71">
        <v>0</v>
      </c>
      <c r="S1751" s="53">
        <v>17</v>
      </c>
      <c r="T1751" s="77">
        <f>STOCK[[#This Row],[Costo Unitario (USD)]]+STOCK[[#This Row],[Costo Envío (USD)]]+STOCK[[#This Row],[Comisión 10%]]</f>
        <v>17.96</v>
      </c>
      <c r="U1751" s="53">
        <f>STOCK[[#This Row],[Costo total]]*1.5</f>
        <v>26.94</v>
      </c>
      <c r="V1751" s="53">
        <v>9.6</v>
      </c>
      <c r="W1751" s="77">
        <f>STOCK[[#This Row],[Precio Final]]-STOCK[[#This Row],[Costo total]]</f>
        <v>-8.36</v>
      </c>
      <c r="X1751" s="77">
        <f>STOCK[[#This Row],[Ganancia Unitaria]]*STOCK[[#This Row],[Salidas]]</f>
        <v>-16.72</v>
      </c>
      <c r="Y1751" s="53">
        <v>0</v>
      </c>
      <c r="AA1751" s="54">
        <f>STOCK[[#This Row],[Costo total]]*STOCK[[#This Row],[Entradas]]</f>
        <v>179.6</v>
      </c>
      <c r="AB1751" s="54">
        <f>STOCK[[#This Row],[Stock Actual]]*STOCK[[#This Row],[Costo total]]</f>
        <v>143.68</v>
      </c>
      <c r="AC1751" s="53">
        <v>64</v>
      </c>
    </row>
    <row r="1752" s="53" customFormat="1" ht="50" customHeight="1" spans="1:29">
      <c r="A1752" s="53" t="s">
        <v>3467</v>
      </c>
      <c r="B1752" s="94"/>
      <c r="C1752" s="53" t="s">
        <v>32</v>
      </c>
      <c r="D1752" s="86" t="s">
        <v>3278</v>
      </c>
      <c r="E1752" s="96" t="s">
        <v>3468</v>
      </c>
      <c r="F1752" s="91" t="s">
        <v>540</v>
      </c>
      <c r="H1752" s="77">
        <f>STOCK[[#This Row],[Precio Final]]</f>
        <v>76.725</v>
      </c>
      <c r="I1752" s="82">
        <f>STOCK[[#This Row],[Precio Venta Ideal (x1.5)]]</f>
        <v>11.50875</v>
      </c>
      <c r="J1752" s="92">
        <v>1</v>
      </c>
      <c r="K1752" s="80">
        <f>SUMIFS(VENTAS[Cantidad],VENTAS[Código del producto Vendido],STOCK[[#This Row],[Code]])</f>
        <v>0</v>
      </c>
      <c r="L1752" s="80">
        <f>STOCK[[#This Row],[Entradas]]-STOCK[[#This Row],[Salidas]]</f>
        <v>1</v>
      </c>
      <c r="M1752" s="77">
        <f>STOCK[[#This Row],[Precio Final]]*10%</f>
        <v>7.6725</v>
      </c>
      <c r="N1752" s="54">
        <v>0</v>
      </c>
      <c r="O1752" s="77">
        <v>0</v>
      </c>
      <c r="Q1752" s="53">
        <v>42.5</v>
      </c>
      <c r="R1752" s="71"/>
      <c r="T1752" s="77">
        <f>STOCK[[#This Row],[Costo Unitario (USD)]]+STOCK[[#This Row],[Costo Envío (USD)]]+STOCK[[#This Row],[Comisión 10%]]</f>
        <v>7.6725</v>
      </c>
      <c r="U1752" s="53">
        <f>STOCK[[#This Row],[Costo total]]*1.5</f>
        <v>11.50875</v>
      </c>
      <c r="V1752" s="53">
        <v>76.725</v>
      </c>
      <c r="W1752" s="77">
        <f>STOCK[[#This Row],[Precio Final]]-STOCK[[#This Row],[Costo total]]</f>
        <v>69.0525</v>
      </c>
      <c r="X1752" s="77">
        <f>STOCK[[#This Row],[Ganancia Unitaria]]*STOCK[[#This Row],[Salidas]]</f>
        <v>0</v>
      </c>
      <c r="Y1752" s="53">
        <v>0</v>
      </c>
      <c r="Z1752" s="93"/>
      <c r="AA1752" s="54">
        <f>STOCK[[#This Row],[Costo total]]*STOCK[[#This Row],[Entradas]]</f>
        <v>7.6725</v>
      </c>
      <c r="AB1752" s="54">
        <f>STOCK[[#This Row],[Stock Actual]]*STOCK[[#This Row],[Costo total]]</f>
        <v>7.6725</v>
      </c>
      <c r="AC1752" s="53">
        <v>51.15</v>
      </c>
    </row>
    <row r="1753" s="53" customFormat="1" ht="50" customHeight="1" spans="1:30">
      <c r="A1753" s="53" t="s">
        <v>3469</v>
      </c>
      <c r="B1753" s="85"/>
      <c r="C1753" s="53" t="s">
        <v>32</v>
      </c>
      <c r="D1753" s="86" t="s">
        <v>3278</v>
      </c>
      <c r="E1753" s="87" t="s">
        <v>3470</v>
      </c>
      <c r="F1753" s="88" t="s">
        <v>3471</v>
      </c>
      <c r="G1753" s="77"/>
      <c r="H1753" s="77">
        <f>STOCK[[#This Row],[Precio Final]]</f>
        <v>8.46</v>
      </c>
      <c r="I1753" s="82">
        <f>STOCK[[#This Row],[Precio Venta Ideal (x1.5)]]</f>
        <v>1.269</v>
      </c>
      <c r="J1753" s="89">
        <v>2</v>
      </c>
      <c r="K1753" s="80">
        <f>SUMIFS(VENTAS[Cantidad],VENTAS[Código del producto Vendido],STOCK[[#This Row],[Code]])</f>
        <v>2</v>
      </c>
      <c r="L1753" s="80">
        <f>STOCK[[#This Row],[Entradas]]-STOCK[[#This Row],[Salidas]]</f>
        <v>0</v>
      </c>
      <c r="M1753" s="77">
        <f>STOCK[[#This Row],[Precio Final]]*10%</f>
        <v>0.846</v>
      </c>
      <c r="N1753" s="54">
        <v>0</v>
      </c>
      <c r="O1753" s="77">
        <v>0</v>
      </c>
      <c r="P1753" s="77"/>
      <c r="Q1753" s="77">
        <v>3.59</v>
      </c>
      <c r="R1753" s="80"/>
      <c r="S1753" s="77"/>
      <c r="T1753" s="77">
        <f>STOCK[[#This Row],[Costo Unitario (USD)]]+STOCK[[#This Row],[Costo Envío (USD)]]+STOCK[[#This Row],[Comisión 10%]]</f>
        <v>0.846</v>
      </c>
      <c r="U1753" s="53">
        <f>STOCK[[#This Row],[Costo total]]*1.5</f>
        <v>1.269</v>
      </c>
      <c r="V1753" s="53">
        <v>8.46</v>
      </c>
      <c r="W1753" s="77">
        <f>STOCK[[#This Row],[Precio Final]]-STOCK[[#This Row],[Costo total]]</f>
        <v>7.614</v>
      </c>
      <c r="X1753" s="77">
        <f>STOCK[[#This Row],[Ganancia Unitaria]]*STOCK[[#This Row],[Salidas]]</f>
        <v>15.228</v>
      </c>
      <c r="Y1753" s="77">
        <v>0</v>
      </c>
      <c r="Z1753" s="90"/>
      <c r="AA1753" s="54">
        <f>STOCK[[#This Row],[Costo total]]*STOCK[[#This Row],[Entradas]]</f>
        <v>1.692</v>
      </c>
      <c r="AB1753" s="54">
        <f>STOCK[[#This Row],[Stock Actual]]*STOCK[[#This Row],[Costo total]]</f>
        <v>0</v>
      </c>
      <c r="AC1753" s="77">
        <v>11.28</v>
      </c>
      <c r="AD1753" s="77"/>
    </row>
    <row r="1754" s="53" customFormat="1" ht="50" customHeight="1" spans="1:30">
      <c r="A1754" s="53" t="s">
        <v>3472</v>
      </c>
      <c r="B1754" s="85"/>
      <c r="C1754" s="53" t="s">
        <v>32</v>
      </c>
      <c r="D1754" s="86" t="s">
        <v>3278</v>
      </c>
      <c r="E1754" s="87" t="s">
        <v>3473</v>
      </c>
      <c r="F1754" s="88" t="s">
        <v>525</v>
      </c>
      <c r="G1754" s="77"/>
      <c r="H1754" s="77">
        <f>STOCK[[#This Row],[Precio Final]]</f>
        <v>8.475</v>
      </c>
      <c r="I1754" s="82">
        <f>STOCK[[#This Row],[Precio Venta Ideal (x1.5)]]</f>
        <v>1.27125</v>
      </c>
      <c r="J1754" s="89">
        <v>4</v>
      </c>
      <c r="K1754" s="80">
        <f>SUMIFS(VENTAS[Cantidad],VENTAS[Código del producto Vendido],STOCK[[#This Row],[Code]])</f>
        <v>4</v>
      </c>
      <c r="L1754" s="80">
        <f>STOCK[[#This Row],[Entradas]]-STOCK[[#This Row],[Salidas]]</f>
        <v>0</v>
      </c>
      <c r="M1754" s="77">
        <f>STOCK[[#This Row],[Precio Final]]*10%</f>
        <v>0.8475</v>
      </c>
      <c r="N1754" s="54">
        <v>0</v>
      </c>
      <c r="O1754" s="77">
        <v>0</v>
      </c>
      <c r="P1754" s="77"/>
      <c r="Q1754" s="77">
        <v>3.6</v>
      </c>
      <c r="R1754" s="80"/>
      <c r="S1754" s="77"/>
      <c r="T1754" s="77">
        <f>STOCK[[#This Row],[Costo Unitario (USD)]]+STOCK[[#This Row],[Costo Envío (USD)]]+STOCK[[#This Row],[Comisión 10%]]</f>
        <v>0.8475</v>
      </c>
      <c r="U1754" s="53">
        <f>STOCK[[#This Row],[Costo total]]*1.5</f>
        <v>1.27125</v>
      </c>
      <c r="V1754" s="53">
        <v>8.475</v>
      </c>
      <c r="W1754" s="77">
        <f>STOCK[[#This Row],[Precio Final]]-STOCK[[#This Row],[Costo total]]</f>
        <v>7.6275</v>
      </c>
      <c r="X1754" s="77">
        <f>STOCK[[#This Row],[Ganancia Unitaria]]*STOCK[[#This Row],[Salidas]]</f>
        <v>30.51</v>
      </c>
      <c r="Y1754" s="77">
        <v>0</v>
      </c>
      <c r="Z1754" s="90"/>
      <c r="AA1754" s="54">
        <f>STOCK[[#This Row],[Costo total]]*STOCK[[#This Row],[Entradas]]</f>
        <v>3.39</v>
      </c>
      <c r="AB1754" s="54">
        <f>STOCK[[#This Row],[Stock Actual]]*STOCK[[#This Row],[Costo total]]</f>
        <v>0</v>
      </c>
      <c r="AC1754" s="77">
        <v>22.6</v>
      </c>
      <c r="AD1754" s="77"/>
    </row>
    <row r="1755" s="53" customFormat="1" ht="50" customHeight="1" spans="1:30">
      <c r="A1755" s="53" t="s">
        <v>3474</v>
      </c>
      <c r="B1755" s="85"/>
      <c r="C1755" s="53" t="s">
        <v>32</v>
      </c>
      <c r="D1755" s="86" t="s">
        <v>3278</v>
      </c>
      <c r="E1755" s="87" t="s">
        <v>3475</v>
      </c>
      <c r="F1755" s="88" t="s">
        <v>1534</v>
      </c>
      <c r="G1755" s="77"/>
      <c r="H1755" s="77">
        <f>STOCK[[#This Row],[Precio Final]]</f>
        <v>4.92</v>
      </c>
      <c r="I1755" s="82">
        <f>STOCK[[#This Row],[Precio Venta Ideal (x1.5)]]</f>
        <v>0.738</v>
      </c>
      <c r="J1755" s="89">
        <v>10</v>
      </c>
      <c r="K1755" s="80">
        <f>SUMIFS(VENTAS[Cantidad],VENTAS[Código del producto Vendido],STOCK[[#This Row],[Code]])</f>
        <v>0</v>
      </c>
      <c r="L1755" s="80">
        <f>STOCK[[#This Row],[Entradas]]-STOCK[[#This Row],[Salidas]]</f>
        <v>10</v>
      </c>
      <c r="M1755" s="77">
        <f>STOCK[[#This Row],[Precio Final]]*10%</f>
        <v>0.492</v>
      </c>
      <c r="N1755" s="54">
        <v>0</v>
      </c>
      <c r="O1755" s="77">
        <v>0</v>
      </c>
      <c r="P1755" s="77"/>
      <c r="Q1755" s="77">
        <v>1.23</v>
      </c>
      <c r="R1755" s="80"/>
      <c r="S1755" s="77"/>
      <c r="T1755" s="77">
        <f>STOCK[[#This Row],[Costo Unitario (USD)]]+STOCK[[#This Row],[Costo Envío (USD)]]+STOCK[[#This Row],[Comisión 10%]]</f>
        <v>0.492</v>
      </c>
      <c r="U1755" s="53">
        <f>STOCK[[#This Row],[Costo total]]*1.5</f>
        <v>0.738</v>
      </c>
      <c r="V1755" s="53">
        <v>4.92</v>
      </c>
      <c r="W1755" s="77">
        <f>STOCK[[#This Row],[Precio Final]]-STOCK[[#This Row],[Costo total]]</f>
        <v>4.428</v>
      </c>
      <c r="X1755" s="77">
        <f>STOCK[[#This Row],[Ganancia Unitaria]]*STOCK[[#This Row],[Salidas]]</f>
        <v>0</v>
      </c>
      <c r="Y1755" s="77">
        <v>0</v>
      </c>
      <c r="Z1755" s="90"/>
      <c r="AA1755" s="54">
        <f>STOCK[[#This Row],[Costo total]]*STOCK[[#This Row],[Entradas]]</f>
        <v>4.92</v>
      </c>
      <c r="AB1755" s="54">
        <f>STOCK[[#This Row],[Stock Actual]]*STOCK[[#This Row],[Costo total]]</f>
        <v>4.92</v>
      </c>
      <c r="AC1755" s="77">
        <v>32.8</v>
      </c>
      <c r="AD1755" s="77"/>
    </row>
    <row r="1756" s="53" customFormat="1" ht="50" customHeight="1" spans="1:30">
      <c r="A1756" s="53" t="s">
        <v>3476</v>
      </c>
      <c r="B1756" s="85"/>
      <c r="C1756" s="53" t="s">
        <v>32</v>
      </c>
      <c r="D1756" s="86" t="s">
        <v>3278</v>
      </c>
      <c r="E1756" s="87" t="s">
        <v>3341</v>
      </c>
      <c r="F1756" s="88" t="s">
        <v>46</v>
      </c>
      <c r="G1756" s="77"/>
      <c r="H1756" s="77">
        <f>STOCK[[#This Row],[Precio Final]]</f>
        <v>19.755</v>
      </c>
      <c r="I1756" s="82">
        <f>STOCK[[#This Row],[Precio Venta Ideal (x1.5)]]</f>
        <v>2.96325</v>
      </c>
      <c r="J1756" s="89">
        <v>1</v>
      </c>
      <c r="K1756" s="80">
        <f>SUMIFS(VENTAS[Cantidad],VENTAS[Código del producto Vendido],STOCK[[#This Row],[Code]])</f>
        <v>1</v>
      </c>
      <c r="L1756" s="80">
        <f>STOCK[[#This Row],[Entradas]]-STOCK[[#This Row],[Salidas]]</f>
        <v>0</v>
      </c>
      <c r="M1756" s="77">
        <f>STOCK[[#This Row],[Precio Final]]*10%</f>
        <v>1.9755</v>
      </c>
      <c r="N1756" s="54">
        <v>0</v>
      </c>
      <c r="O1756" s="77">
        <v>0</v>
      </c>
      <c r="P1756" s="77"/>
      <c r="Q1756" s="77">
        <v>9.62</v>
      </c>
      <c r="R1756" s="80"/>
      <c r="S1756" s="77"/>
      <c r="T1756" s="77">
        <f>STOCK[[#This Row],[Costo Unitario (USD)]]+STOCK[[#This Row],[Costo Envío (USD)]]+STOCK[[#This Row],[Comisión 10%]]</f>
        <v>1.9755</v>
      </c>
      <c r="U1756" s="53">
        <f>STOCK[[#This Row],[Costo total]]*1.5</f>
        <v>2.96325</v>
      </c>
      <c r="V1756" s="53">
        <v>19.755</v>
      </c>
      <c r="W1756" s="77">
        <f>STOCK[[#This Row],[Precio Final]]-STOCK[[#This Row],[Costo total]]</f>
        <v>17.7795</v>
      </c>
      <c r="X1756" s="77">
        <f>STOCK[[#This Row],[Ganancia Unitaria]]*STOCK[[#This Row],[Salidas]]</f>
        <v>17.7795</v>
      </c>
      <c r="Y1756" s="77">
        <v>0</v>
      </c>
      <c r="Z1756" s="90"/>
      <c r="AA1756" s="54">
        <f>STOCK[[#This Row],[Costo total]]*STOCK[[#This Row],[Entradas]]</f>
        <v>1.9755</v>
      </c>
      <c r="AB1756" s="54">
        <f>STOCK[[#This Row],[Stock Actual]]*STOCK[[#This Row],[Costo total]]</f>
        <v>0</v>
      </c>
      <c r="AC1756" s="77">
        <v>13.17</v>
      </c>
      <c r="AD1756" s="77"/>
    </row>
    <row r="1757" s="53" customFormat="1" ht="50" customHeight="1" spans="1:30">
      <c r="A1757" s="53" t="s">
        <v>3477</v>
      </c>
      <c r="B1757" s="85"/>
      <c r="C1757" s="53" t="s">
        <v>32</v>
      </c>
      <c r="D1757" s="86" t="s">
        <v>3278</v>
      </c>
      <c r="E1757" s="87" t="s">
        <v>3344</v>
      </c>
      <c r="F1757" s="88" t="s">
        <v>62</v>
      </c>
      <c r="G1757" s="77"/>
      <c r="H1757" s="77">
        <f>STOCK[[#This Row],[Precio Final]]</f>
        <v>17.91</v>
      </c>
      <c r="I1757" s="82">
        <f>STOCK[[#This Row],[Precio Venta Ideal (x1.5)]]</f>
        <v>2.6865</v>
      </c>
      <c r="J1757" s="89">
        <v>2</v>
      </c>
      <c r="K1757" s="80">
        <f>SUMIFS(VENTAS[Cantidad],VENTAS[Código del producto Vendido],STOCK[[#This Row],[Code]])</f>
        <v>2</v>
      </c>
      <c r="L1757" s="80">
        <f>STOCK[[#This Row],[Entradas]]-STOCK[[#This Row],[Salidas]]</f>
        <v>0</v>
      </c>
      <c r="M1757" s="77">
        <f>STOCK[[#This Row],[Precio Final]]*10%</f>
        <v>1.791</v>
      </c>
      <c r="N1757" s="54">
        <v>0</v>
      </c>
      <c r="O1757" s="77">
        <v>0</v>
      </c>
      <c r="P1757" s="77"/>
      <c r="Q1757" s="77">
        <v>8.39</v>
      </c>
      <c r="R1757" s="80"/>
      <c r="S1757" s="77"/>
      <c r="T1757" s="77">
        <f>STOCK[[#This Row],[Costo Unitario (USD)]]+STOCK[[#This Row],[Costo Envío (USD)]]+STOCK[[#This Row],[Comisión 10%]]</f>
        <v>1.791</v>
      </c>
      <c r="U1757" s="53">
        <f>STOCK[[#This Row],[Costo total]]*1.5</f>
        <v>2.6865</v>
      </c>
      <c r="V1757" s="53">
        <v>17.91</v>
      </c>
      <c r="W1757" s="77">
        <f>STOCK[[#This Row],[Precio Final]]-STOCK[[#This Row],[Costo total]]</f>
        <v>16.119</v>
      </c>
      <c r="X1757" s="77">
        <f>STOCK[[#This Row],[Ganancia Unitaria]]*STOCK[[#This Row],[Salidas]]</f>
        <v>32.238</v>
      </c>
      <c r="Y1757" s="77">
        <v>0</v>
      </c>
      <c r="Z1757" s="90"/>
      <c r="AA1757" s="54">
        <f>STOCK[[#This Row],[Costo total]]*STOCK[[#This Row],[Entradas]]</f>
        <v>3.582</v>
      </c>
      <c r="AB1757" s="54">
        <f>STOCK[[#This Row],[Stock Actual]]*STOCK[[#This Row],[Costo total]]</f>
        <v>0</v>
      </c>
      <c r="AC1757" s="77">
        <v>23.88</v>
      </c>
      <c r="AD1757" s="77"/>
    </row>
    <row r="1758" s="53" customFormat="1" ht="50" customHeight="1" spans="1:30">
      <c r="A1758" s="53" t="s">
        <v>3478</v>
      </c>
      <c r="B1758" s="85"/>
      <c r="C1758" s="53" t="s">
        <v>32</v>
      </c>
      <c r="D1758" s="86" t="s">
        <v>3278</v>
      </c>
      <c r="E1758" s="87" t="s">
        <v>3479</v>
      </c>
      <c r="F1758" s="88" t="s">
        <v>525</v>
      </c>
      <c r="G1758" s="77"/>
      <c r="H1758" s="77">
        <f>STOCK[[#This Row],[Precio Final]]</f>
        <v>17.805</v>
      </c>
      <c r="I1758" s="82">
        <f>STOCK[[#This Row],[Precio Venta Ideal (x1.5)]]</f>
        <v>2.67075</v>
      </c>
      <c r="J1758" s="89">
        <v>3</v>
      </c>
      <c r="K1758" s="80">
        <f>SUMIFS(VENTAS[Cantidad],VENTAS[Código del producto Vendido],STOCK[[#This Row],[Code]])</f>
        <v>3</v>
      </c>
      <c r="L1758" s="80">
        <f>STOCK[[#This Row],[Entradas]]-STOCK[[#This Row],[Salidas]]</f>
        <v>0</v>
      </c>
      <c r="M1758" s="77">
        <f>STOCK[[#This Row],[Precio Final]]*10%</f>
        <v>1.7805</v>
      </c>
      <c r="N1758" s="54">
        <v>0</v>
      </c>
      <c r="O1758" s="77">
        <v>0</v>
      </c>
      <c r="P1758" s="77"/>
      <c r="Q1758" s="77">
        <v>9.82</v>
      </c>
      <c r="R1758" s="80"/>
      <c r="S1758" s="77"/>
      <c r="T1758" s="77">
        <f>STOCK[[#This Row],[Costo Unitario (USD)]]+STOCK[[#This Row],[Costo Envío (USD)]]+STOCK[[#This Row],[Comisión 10%]]</f>
        <v>1.7805</v>
      </c>
      <c r="U1758" s="53">
        <f>STOCK[[#This Row],[Costo total]]*1.5</f>
        <v>2.67075</v>
      </c>
      <c r="V1758" s="53">
        <v>17.805</v>
      </c>
      <c r="W1758" s="77">
        <f>STOCK[[#This Row],[Precio Final]]-STOCK[[#This Row],[Costo total]]</f>
        <v>16.0245</v>
      </c>
      <c r="X1758" s="77">
        <f>STOCK[[#This Row],[Ganancia Unitaria]]*STOCK[[#This Row],[Salidas]]</f>
        <v>48.0735</v>
      </c>
      <c r="Y1758" s="77">
        <v>0</v>
      </c>
      <c r="Z1758" s="90"/>
      <c r="AA1758" s="54">
        <f>STOCK[[#This Row],[Costo total]]*STOCK[[#This Row],[Entradas]]</f>
        <v>5.3415</v>
      </c>
      <c r="AB1758" s="54">
        <f>STOCK[[#This Row],[Stock Actual]]*STOCK[[#This Row],[Costo total]]</f>
        <v>0</v>
      </c>
      <c r="AC1758" s="77">
        <v>35.61</v>
      </c>
      <c r="AD1758" s="77"/>
    </row>
    <row r="1759" s="53" customFormat="1" ht="50" customHeight="1" spans="1:30">
      <c r="A1759" s="95" t="s">
        <v>3480</v>
      </c>
      <c r="B1759" s="85"/>
      <c r="C1759" s="53" t="s">
        <v>32</v>
      </c>
      <c r="D1759" s="86" t="s">
        <v>749</v>
      </c>
      <c r="E1759" s="97" t="s">
        <v>3481</v>
      </c>
      <c r="F1759" s="95" t="s">
        <v>49</v>
      </c>
      <c r="G1759" s="77"/>
      <c r="H1759" s="77">
        <f>STOCK[[#This Row],[Precio Final]]</f>
        <v>20</v>
      </c>
      <c r="I1759" s="82">
        <f>STOCK[[#This Row],[Precio Venta Ideal (x1.5)]]</f>
        <v>16.5</v>
      </c>
      <c r="J1759" s="95">
        <v>1</v>
      </c>
      <c r="K1759" s="80">
        <f>SUMIFS(VENTAS[Cantidad],VENTAS[Código del producto Vendido],STOCK[[#This Row],[Code]])</f>
        <v>0</v>
      </c>
      <c r="L1759" s="80">
        <f>STOCK[[#This Row],[Entradas]]-STOCK[[#This Row],[Salidas]]</f>
        <v>1</v>
      </c>
      <c r="M1759" s="77">
        <f>STOCK[[#This Row],[Precio Final]]*10%</f>
        <v>2</v>
      </c>
      <c r="N1759" s="54">
        <v>0</v>
      </c>
      <c r="O1759" s="77">
        <v>0</v>
      </c>
      <c r="P1759" s="77">
        <v>9</v>
      </c>
      <c r="Q1759" s="77">
        <v>0</v>
      </c>
      <c r="R1759" s="80">
        <v>0</v>
      </c>
      <c r="S1759" s="77">
        <v>0</v>
      </c>
      <c r="T1759" s="77">
        <f>STOCK[[#This Row],[Costo Unitario (USD)]]+STOCK[[#This Row],[Costo Envío (USD)]]+STOCK[[#This Row],[Comisión 10%]]</f>
        <v>11</v>
      </c>
      <c r="U1759" s="53">
        <f>STOCK[[#This Row],[Costo total]]*1.5</f>
        <v>16.5</v>
      </c>
      <c r="V1759" s="53">
        <v>20</v>
      </c>
      <c r="W1759" s="77">
        <f>STOCK[[#This Row],[Precio Final]]-STOCK[[#This Row],[Costo total]]</f>
        <v>9</v>
      </c>
      <c r="X1759" s="77">
        <f>STOCK[[#This Row],[Ganancia Unitaria]]*STOCK[[#This Row],[Salidas]]</f>
        <v>0</v>
      </c>
      <c r="Y1759" s="77" t="s">
        <v>3482</v>
      </c>
      <c r="Z1759" s="90"/>
      <c r="AA1759" s="54">
        <f>STOCK[[#This Row],[Costo total]]*STOCK[[#This Row],[Entradas]]</f>
        <v>11</v>
      </c>
      <c r="AB1759" s="54">
        <f>STOCK[[#This Row],[Stock Actual]]*STOCK[[#This Row],[Costo total]]</f>
        <v>11</v>
      </c>
      <c r="AC1759" s="77"/>
      <c r="AD1759" s="98"/>
    </row>
    <row r="1760" s="53" customFormat="1" ht="50" customHeight="1" spans="1:30">
      <c r="A1760" s="95" t="s">
        <v>3483</v>
      </c>
      <c r="B1760" s="85"/>
      <c r="C1760" s="53" t="s">
        <v>32</v>
      </c>
      <c r="D1760" s="86" t="s">
        <v>749</v>
      </c>
      <c r="E1760" s="97" t="s">
        <v>3484</v>
      </c>
      <c r="F1760" s="95" t="s">
        <v>49</v>
      </c>
      <c r="G1760" s="77"/>
      <c r="H1760" s="77">
        <f>STOCK[[#This Row],[Precio Final]]</f>
        <v>20</v>
      </c>
      <c r="I1760" s="82">
        <f>STOCK[[#This Row],[Precio Venta Ideal (x1.5)]]</f>
        <v>16.5</v>
      </c>
      <c r="J1760" s="95">
        <v>1</v>
      </c>
      <c r="K1760" s="80">
        <f>SUMIFS(VENTAS[Cantidad],VENTAS[Código del producto Vendido],STOCK[[#This Row],[Code]])</f>
        <v>0</v>
      </c>
      <c r="L1760" s="80">
        <f>STOCK[[#This Row],[Entradas]]-STOCK[[#This Row],[Salidas]]</f>
        <v>1</v>
      </c>
      <c r="M1760" s="77">
        <f>STOCK[[#This Row],[Precio Final]]*10%</f>
        <v>2</v>
      </c>
      <c r="N1760" s="54">
        <v>0</v>
      </c>
      <c r="O1760" s="77">
        <v>0</v>
      </c>
      <c r="P1760" s="77">
        <v>9</v>
      </c>
      <c r="Q1760" s="77">
        <v>0</v>
      </c>
      <c r="R1760" s="80">
        <v>0</v>
      </c>
      <c r="S1760" s="77">
        <v>0</v>
      </c>
      <c r="T1760" s="77">
        <f>STOCK[[#This Row],[Costo Unitario (USD)]]+STOCK[[#This Row],[Costo Envío (USD)]]+STOCK[[#This Row],[Comisión 10%]]</f>
        <v>11</v>
      </c>
      <c r="U1760" s="53">
        <f>STOCK[[#This Row],[Costo total]]*1.5</f>
        <v>16.5</v>
      </c>
      <c r="V1760" s="53">
        <v>20</v>
      </c>
      <c r="W1760" s="77">
        <f>STOCK[[#This Row],[Precio Final]]-STOCK[[#This Row],[Costo total]]</f>
        <v>9</v>
      </c>
      <c r="X1760" s="77">
        <f>STOCK[[#This Row],[Ganancia Unitaria]]*STOCK[[#This Row],[Salidas]]</f>
        <v>0</v>
      </c>
      <c r="Y1760" s="77" t="s">
        <v>3482</v>
      </c>
      <c r="Z1760" s="90"/>
      <c r="AA1760" s="54">
        <f>STOCK[[#This Row],[Costo total]]*STOCK[[#This Row],[Entradas]]</f>
        <v>11</v>
      </c>
      <c r="AB1760" s="54">
        <f>STOCK[[#This Row],[Stock Actual]]*STOCK[[#This Row],[Costo total]]</f>
        <v>11</v>
      </c>
      <c r="AC1760" s="77"/>
      <c r="AD1760" s="98"/>
    </row>
    <row r="1761" s="53" customFormat="1" ht="50" customHeight="1" spans="1:30">
      <c r="A1761" s="95" t="s">
        <v>3485</v>
      </c>
      <c r="B1761" s="85"/>
      <c r="C1761" s="53" t="s">
        <v>32</v>
      </c>
      <c r="D1761" s="86"/>
      <c r="E1761" s="97" t="s">
        <v>3486</v>
      </c>
      <c r="F1761" s="95" t="s">
        <v>46</v>
      </c>
      <c r="G1761" s="77"/>
      <c r="H1761" s="77">
        <f>STOCK[[#This Row],[Precio Final]]</f>
        <v>10</v>
      </c>
      <c r="I1761" s="82">
        <f>STOCK[[#This Row],[Precio Venta Ideal (x1.5)]]</f>
        <v>15</v>
      </c>
      <c r="J1761" s="95">
        <v>1</v>
      </c>
      <c r="K1761" s="80">
        <v>1</v>
      </c>
      <c r="L1761" s="80">
        <f>STOCK[[#This Row],[Entradas]]-STOCK[[#This Row],[Salidas]]</f>
        <v>0</v>
      </c>
      <c r="M1761" s="77">
        <f>STOCK[[#This Row],[Precio Final]]*10%</f>
        <v>1</v>
      </c>
      <c r="N1761" s="54">
        <v>0</v>
      </c>
      <c r="O1761" s="77">
        <v>0</v>
      </c>
      <c r="P1761" s="77">
        <v>9</v>
      </c>
      <c r="Q1761" s="77">
        <v>0</v>
      </c>
      <c r="R1761" s="80">
        <v>0</v>
      </c>
      <c r="S1761" s="77">
        <v>0</v>
      </c>
      <c r="T1761" s="77">
        <f>STOCK[[#This Row],[Costo Unitario (USD)]]+STOCK[[#This Row],[Costo Envío (USD)]]+STOCK[[#This Row],[Comisión 10%]]</f>
        <v>10</v>
      </c>
      <c r="U1761" s="53">
        <f>STOCK[[#This Row],[Costo total]]*1.5</f>
        <v>15</v>
      </c>
      <c r="V1761" s="53">
        <v>10</v>
      </c>
      <c r="W1761" s="77">
        <f>STOCK[[#This Row],[Precio Final]]-STOCK[[#This Row],[Costo total]]</f>
        <v>0</v>
      </c>
      <c r="X1761" s="77">
        <f>STOCK[[#This Row],[Ganancia Unitaria]]*STOCK[[#This Row],[Salidas]]</f>
        <v>0</v>
      </c>
      <c r="Y1761" s="77" t="s">
        <v>3482</v>
      </c>
      <c r="Z1761" s="90"/>
      <c r="AA1761" s="54">
        <f>STOCK[[#This Row],[Costo total]]*STOCK[[#This Row],[Entradas]]</f>
        <v>10</v>
      </c>
      <c r="AB1761" s="54">
        <f>STOCK[[#This Row],[Stock Actual]]*STOCK[[#This Row],[Costo total]]</f>
        <v>0</v>
      </c>
      <c r="AC1761" s="77"/>
      <c r="AD1761" s="98"/>
    </row>
    <row r="1762" s="53" customFormat="1" ht="50" customHeight="1" spans="1:30">
      <c r="A1762" s="95" t="s">
        <v>3487</v>
      </c>
      <c r="B1762" s="85"/>
      <c r="C1762" s="53" t="s">
        <v>32</v>
      </c>
      <c r="D1762" s="86" t="s">
        <v>749</v>
      </c>
      <c r="E1762" s="97" t="s">
        <v>3488</v>
      </c>
      <c r="F1762" s="95" t="s">
        <v>46</v>
      </c>
      <c r="G1762" s="77"/>
      <c r="H1762" s="77">
        <f>STOCK[[#This Row],[Precio Final]]</f>
        <v>20</v>
      </c>
      <c r="I1762" s="82">
        <f>STOCK[[#This Row],[Precio Venta Ideal (x1.5)]]</f>
        <v>16.5</v>
      </c>
      <c r="J1762" s="95">
        <v>1</v>
      </c>
      <c r="K1762" s="80">
        <f>SUMIFS(VENTAS[Cantidad],VENTAS[Código del producto Vendido],STOCK[[#This Row],[Code]])</f>
        <v>0</v>
      </c>
      <c r="L1762" s="80">
        <f>STOCK[[#This Row],[Entradas]]-STOCK[[#This Row],[Salidas]]</f>
        <v>1</v>
      </c>
      <c r="M1762" s="77">
        <f>STOCK[[#This Row],[Precio Final]]*10%</f>
        <v>2</v>
      </c>
      <c r="N1762" s="54">
        <v>0</v>
      </c>
      <c r="O1762" s="77">
        <v>0</v>
      </c>
      <c r="P1762" s="77">
        <v>9</v>
      </c>
      <c r="Q1762" s="77">
        <v>0</v>
      </c>
      <c r="R1762" s="80">
        <v>0</v>
      </c>
      <c r="S1762" s="77">
        <v>0</v>
      </c>
      <c r="T1762" s="77">
        <f>STOCK[[#This Row],[Costo Unitario (USD)]]+STOCK[[#This Row],[Costo Envío (USD)]]+STOCK[[#This Row],[Comisión 10%]]</f>
        <v>11</v>
      </c>
      <c r="U1762" s="53">
        <f>STOCK[[#This Row],[Costo total]]*1.5</f>
        <v>16.5</v>
      </c>
      <c r="V1762" s="53">
        <v>20</v>
      </c>
      <c r="W1762" s="77">
        <f>STOCK[[#This Row],[Precio Final]]-STOCK[[#This Row],[Costo total]]</f>
        <v>9</v>
      </c>
      <c r="X1762" s="77">
        <f>STOCK[[#This Row],[Ganancia Unitaria]]*STOCK[[#This Row],[Salidas]]</f>
        <v>0</v>
      </c>
      <c r="Y1762" s="77" t="s">
        <v>3482</v>
      </c>
      <c r="Z1762" s="90"/>
      <c r="AA1762" s="54">
        <f>STOCK[[#This Row],[Costo total]]*STOCK[[#This Row],[Entradas]]</f>
        <v>11</v>
      </c>
      <c r="AB1762" s="54">
        <f>STOCK[[#This Row],[Stock Actual]]*STOCK[[#This Row],[Costo total]]</f>
        <v>11</v>
      </c>
      <c r="AC1762" s="77"/>
      <c r="AD1762" s="98"/>
    </row>
    <row r="1763" s="53" customFormat="1" ht="50" customHeight="1" spans="1:30">
      <c r="A1763" s="95" t="s">
        <v>3489</v>
      </c>
      <c r="B1763" s="85"/>
      <c r="C1763" s="53" t="s">
        <v>32</v>
      </c>
      <c r="D1763" s="86"/>
      <c r="E1763" s="97" t="s">
        <v>3490</v>
      </c>
      <c r="F1763" s="95" t="s">
        <v>46</v>
      </c>
      <c r="G1763" s="77"/>
      <c r="H1763" s="77">
        <f>STOCK[[#This Row],[Precio Final]]</f>
        <v>10</v>
      </c>
      <c r="I1763" s="82">
        <f>STOCK[[#This Row],[Precio Venta Ideal (x1.5)]]</f>
        <v>15</v>
      </c>
      <c r="J1763" s="95">
        <v>1</v>
      </c>
      <c r="K1763" s="80">
        <v>1</v>
      </c>
      <c r="L1763" s="80">
        <f>STOCK[[#This Row],[Entradas]]-STOCK[[#This Row],[Salidas]]</f>
        <v>0</v>
      </c>
      <c r="M1763" s="77">
        <f>STOCK[[#This Row],[Precio Final]]*10%</f>
        <v>1</v>
      </c>
      <c r="N1763" s="54">
        <v>0</v>
      </c>
      <c r="O1763" s="77">
        <v>0</v>
      </c>
      <c r="P1763" s="77">
        <v>9</v>
      </c>
      <c r="Q1763" s="77">
        <v>0</v>
      </c>
      <c r="R1763" s="80">
        <v>0</v>
      </c>
      <c r="S1763" s="77">
        <v>0</v>
      </c>
      <c r="T1763" s="77">
        <f>STOCK[[#This Row],[Costo Unitario (USD)]]+STOCK[[#This Row],[Costo Envío (USD)]]+STOCK[[#This Row],[Comisión 10%]]</f>
        <v>10</v>
      </c>
      <c r="U1763" s="53">
        <f>STOCK[[#This Row],[Costo total]]*1.5</f>
        <v>15</v>
      </c>
      <c r="V1763" s="53">
        <v>10</v>
      </c>
      <c r="W1763" s="77">
        <f>STOCK[[#This Row],[Precio Final]]-STOCK[[#This Row],[Costo total]]</f>
        <v>0</v>
      </c>
      <c r="X1763" s="77">
        <f>STOCK[[#This Row],[Ganancia Unitaria]]*STOCK[[#This Row],[Salidas]]</f>
        <v>0</v>
      </c>
      <c r="Y1763" s="77" t="s">
        <v>3482</v>
      </c>
      <c r="Z1763" s="90"/>
      <c r="AA1763" s="54">
        <f>STOCK[[#This Row],[Costo total]]*STOCK[[#This Row],[Entradas]]</f>
        <v>10</v>
      </c>
      <c r="AB1763" s="54">
        <f>STOCK[[#This Row],[Stock Actual]]*STOCK[[#This Row],[Costo total]]</f>
        <v>0</v>
      </c>
      <c r="AC1763" s="77"/>
      <c r="AD1763" s="98"/>
    </row>
    <row r="1764" s="53" customFormat="1" ht="50" customHeight="1" spans="1:30">
      <c r="A1764" s="95" t="s">
        <v>3491</v>
      </c>
      <c r="B1764" s="85"/>
      <c r="C1764" s="53" t="s">
        <v>32</v>
      </c>
      <c r="D1764" s="86" t="s">
        <v>1388</v>
      </c>
      <c r="E1764" s="97" t="s">
        <v>3492</v>
      </c>
      <c r="F1764" s="95" t="s">
        <v>42</v>
      </c>
      <c r="G1764" s="77"/>
      <c r="H1764" s="77">
        <f>STOCK[[#This Row],[Precio Final]]</f>
        <v>20</v>
      </c>
      <c r="I1764" s="82">
        <f>STOCK[[#This Row],[Precio Venta Ideal (x1.5)]]</f>
        <v>16.5</v>
      </c>
      <c r="J1764" s="95">
        <v>1</v>
      </c>
      <c r="K1764" s="80">
        <f>SUMIFS(VENTAS[Cantidad],VENTAS[Código del producto Vendido],STOCK[[#This Row],[Code]])</f>
        <v>0</v>
      </c>
      <c r="L1764" s="80">
        <f>STOCK[[#This Row],[Entradas]]-STOCK[[#This Row],[Salidas]]</f>
        <v>1</v>
      </c>
      <c r="M1764" s="77">
        <f>STOCK[[#This Row],[Precio Final]]*10%</f>
        <v>2</v>
      </c>
      <c r="N1764" s="54">
        <v>0</v>
      </c>
      <c r="O1764" s="77">
        <v>0</v>
      </c>
      <c r="P1764" s="77">
        <v>9</v>
      </c>
      <c r="Q1764" s="77">
        <v>0</v>
      </c>
      <c r="R1764" s="80">
        <v>0</v>
      </c>
      <c r="S1764" s="77">
        <v>0</v>
      </c>
      <c r="T1764" s="77">
        <f>STOCK[[#This Row],[Costo Unitario (USD)]]+STOCK[[#This Row],[Costo Envío (USD)]]+STOCK[[#This Row],[Comisión 10%]]</f>
        <v>11</v>
      </c>
      <c r="U1764" s="53">
        <f>STOCK[[#This Row],[Costo total]]*1.5</f>
        <v>16.5</v>
      </c>
      <c r="V1764" s="53">
        <v>20</v>
      </c>
      <c r="W1764" s="77">
        <f>STOCK[[#This Row],[Precio Final]]-STOCK[[#This Row],[Costo total]]</f>
        <v>9</v>
      </c>
      <c r="X1764" s="77">
        <f>STOCK[[#This Row],[Ganancia Unitaria]]*STOCK[[#This Row],[Salidas]]</f>
        <v>0</v>
      </c>
      <c r="Y1764" s="77" t="s">
        <v>3482</v>
      </c>
      <c r="Z1764" s="90"/>
      <c r="AA1764" s="54">
        <f>STOCK[[#This Row],[Costo total]]*STOCK[[#This Row],[Entradas]]</f>
        <v>11</v>
      </c>
      <c r="AB1764" s="54">
        <f>STOCK[[#This Row],[Stock Actual]]*STOCK[[#This Row],[Costo total]]</f>
        <v>11</v>
      </c>
      <c r="AC1764" s="77"/>
      <c r="AD1764" s="98"/>
    </row>
    <row r="1765" s="53" customFormat="1" ht="50" customHeight="1" spans="1:30">
      <c r="A1765" s="95" t="s">
        <v>3493</v>
      </c>
      <c r="B1765" s="85"/>
      <c r="C1765" s="53" t="s">
        <v>32</v>
      </c>
      <c r="D1765" s="86" t="s">
        <v>749</v>
      </c>
      <c r="E1765" s="97" t="s">
        <v>3494</v>
      </c>
      <c r="F1765" s="95" t="s">
        <v>62</v>
      </c>
      <c r="G1765" s="77"/>
      <c r="H1765" s="77">
        <f>STOCK[[#This Row],[Precio Final]]</f>
        <v>18</v>
      </c>
      <c r="I1765" s="82">
        <f>STOCK[[#This Row],[Precio Venta Ideal (x1.5)]]</f>
        <v>16.2</v>
      </c>
      <c r="J1765" s="95">
        <v>1</v>
      </c>
      <c r="K1765" s="80">
        <f>SUMIFS(VENTAS[Cantidad],VENTAS[Código del producto Vendido],STOCK[[#This Row],[Code]])</f>
        <v>0</v>
      </c>
      <c r="L1765" s="80">
        <f>STOCK[[#This Row],[Entradas]]-STOCK[[#This Row],[Salidas]]</f>
        <v>1</v>
      </c>
      <c r="M1765" s="77">
        <f>STOCK[[#This Row],[Precio Final]]*10%</f>
        <v>1.8</v>
      </c>
      <c r="N1765" s="54">
        <v>0</v>
      </c>
      <c r="O1765" s="77">
        <v>0</v>
      </c>
      <c r="P1765" s="77">
        <v>9</v>
      </c>
      <c r="Q1765" s="77">
        <v>0</v>
      </c>
      <c r="R1765" s="80">
        <v>0</v>
      </c>
      <c r="S1765" s="77">
        <v>0</v>
      </c>
      <c r="T1765" s="77">
        <f>STOCK[[#This Row],[Costo Unitario (USD)]]+STOCK[[#This Row],[Costo Envío (USD)]]+STOCK[[#This Row],[Comisión 10%]]</f>
        <v>10.8</v>
      </c>
      <c r="U1765" s="53">
        <f>STOCK[[#This Row],[Costo total]]*1.5</f>
        <v>16.2</v>
      </c>
      <c r="V1765" s="53">
        <v>18</v>
      </c>
      <c r="W1765" s="77">
        <f>STOCK[[#This Row],[Precio Final]]-STOCK[[#This Row],[Costo total]]</f>
        <v>7.2</v>
      </c>
      <c r="X1765" s="77">
        <f>STOCK[[#This Row],[Ganancia Unitaria]]*STOCK[[#This Row],[Salidas]]</f>
        <v>0</v>
      </c>
      <c r="Y1765" s="77" t="s">
        <v>3482</v>
      </c>
      <c r="Z1765" s="90"/>
      <c r="AA1765" s="54">
        <f>STOCK[[#This Row],[Costo total]]*STOCK[[#This Row],[Entradas]]</f>
        <v>10.8</v>
      </c>
      <c r="AB1765" s="54">
        <f>STOCK[[#This Row],[Stock Actual]]*STOCK[[#This Row],[Costo total]]</f>
        <v>10.8</v>
      </c>
      <c r="AC1765" s="77"/>
      <c r="AD1765" s="98"/>
    </row>
    <row r="1766" s="53" customFormat="1" ht="50" customHeight="1" spans="1:30">
      <c r="A1766" s="95" t="s">
        <v>3495</v>
      </c>
      <c r="B1766" s="85"/>
      <c r="C1766" s="53" t="s">
        <v>32</v>
      </c>
      <c r="D1766" s="86" t="s">
        <v>1388</v>
      </c>
      <c r="E1766" s="97" t="s">
        <v>3496</v>
      </c>
      <c r="F1766" s="95" t="s">
        <v>3497</v>
      </c>
      <c r="G1766" s="77"/>
      <c r="H1766" s="77">
        <f>STOCK[[#This Row],[Precio Final]]</f>
        <v>40</v>
      </c>
      <c r="I1766" s="82">
        <f>STOCK[[#This Row],[Precio Venta Ideal (x1.5)]]</f>
        <v>19.5</v>
      </c>
      <c r="J1766" s="95">
        <v>1</v>
      </c>
      <c r="K1766" s="80">
        <f>SUMIFS(VENTAS[Cantidad],VENTAS[Código del producto Vendido],STOCK[[#This Row],[Code]])</f>
        <v>0</v>
      </c>
      <c r="L1766" s="80">
        <f>STOCK[[#This Row],[Entradas]]-STOCK[[#This Row],[Salidas]]</f>
        <v>1</v>
      </c>
      <c r="M1766" s="77">
        <f>STOCK[[#This Row],[Precio Final]]*10%</f>
        <v>4</v>
      </c>
      <c r="N1766" s="54">
        <v>0</v>
      </c>
      <c r="O1766" s="77">
        <v>0</v>
      </c>
      <c r="P1766" s="77">
        <v>9</v>
      </c>
      <c r="Q1766" s="77">
        <v>0</v>
      </c>
      <c r="R1766" s="80">
        <v>0</v>
      </c>
      <c r="S1766" s="77">
        <v>0</v>
      </c>
      <c r="T1766" s="77">
        <f>STOCK[[#This Row],[Costo Unitario (USD)]]+STOCK[[#This Row],[Costo Envío (USD)]]+STOCK[[#This Row],[Comisión 10%]]</f>
        <v>13</v>
      </c>
      <c r="U1766" s="53">
        <f>STOCK[[#This Row],[Costo total]]*1.5</f>
        <v>19.5</v>
      </c>
      <c r="V1766" s="53">
        <v>40</v>
      </c>
      <c r="W1766" s="77">
        <f>STOCK[[#This Row],[Precio Final]]-STOCK[[#This Row],[Costo total]]</f>
        <v>27</v>
      </c>
      <c r="X1766" s="77">
        <f>STOCK[[#This Row],[Ganancia Unitaria]]*STOCK[[#This Row],[Salidas]]</f>
        <v>0</v>
      </c>
      <c r="Y1766" s="77" t="s">
        <v>3482</v>
      </c>
      <c r="Z1766" s="90"/>
      <c r="AA1766" s="54">
        <f>STOCK[[#This Row],[Costo total]]*STOCK[[#This Row],[Entradas]]</f>
        <v>13</v>
      </c>
      <c r="AB1766" s="54">
        <f>STOCK[[#This Row],[Stock Actual]]*STOCK[[#This Row],[Costo total]]</f>
        <v>13</v>
      </c>
      <c r="AC1766" s="77"/>
      <c r="AD1766" s="98"/>
    </row>
    <row r="1767" s="53" customFormat="1" ht="50" customHeight="1" spans="1:30">
      <c r="A1767" s="95" t="s">
        <v>3498</v>
      </c>
      <c r="B1767" s="85"/>
      <c r="C1767" s="53" t="s">
        <v>32</v>
      </c>
      <c r="D1767" s="86" t="s">
        <v>749</v>
      </c>
      <c r="E1767" s="97" t="s">
        <v>3499</v>
      </c>
      <c r="F1767" s="95" t="s">
        <v>716</v>
      </c>
      <c r="G1767" s="77"/>
      <c r="H1767" s="77">
        <f>STOCK[[#This Row],[Precio Final]]</f>
        <v>18</v>
      </c>
      <c r="I1767" s="82">
        <f>STOCK[[#This Row],[Precio Venta Ideal (x1.5)]]</f>
        <v>16.2</v>
      </c>
      <c r="J1767" s="95">
        <v>1</v>
      </c>
      <c r="K1767" s="80">
        <f>SUMIFS(VENTAS[Cantidad],VENTAS[Código del producto Vendido],STOCK[[#This Row],[Code]])</f>
        <v>0</v>
      </c>
      <c r="L1767" s="80">
        <f>STOCK[[#This Row],[Entradas]]-STOCK[[#This Row],[Salidas]]</f>
        <v>1</v>
      </c>
      <c r="M1767" s="77">
        <f>STOCK[[#This Row],[Precio Final]]*10%</f>
        <v>1.8</v>
      </c>
      <c r="N1767" s="54">
        <v>0</v>
      </c>
      <c r="O1767" s="77">
        <v>0</v>
      </c>
      <c r="P1767" s="77">
        <v>9</v>
      </c>
      <c r="Q1767" s="77">
        <v>0</v>
      </c>
      <c r="R1767" s="80">
        <v>0</v>
      </c>
      <c r="S1767" s="77">
        <v>0</v>
      </c>
      <c r="T1767" s="77">
        <f>STOCK[[#This Row],[Costo Unitario (USD)]]+STOCK[[#This Row],[Costo Envío (USD)]]+STOCK[[#This Row],[Comisión 10%]]</f>
        <v>10.8</v>
      </c>
      <c r="U1767" s="53">
        <f>STOCK[[#This Row],[Costo total]]*1.5</f>
        <v>16.2</v>
      </c>
      <c r="V1767" s="53">
        <v>18</v>
      </c>
      <c r="W1767" s="77">
        <f>STOCK[[#This Row],[Precio Final]]-STOCK[[#This Row],[Costo total]]</f>
        <v>7.2</v>
      </c>
      <c r="X1767" s="77">
        <f>STOCK[[#This Row],[Ganancia Unitaria]]*STOCK[[#This Row],[Salidas]]</f>
        <v>0</v>
      </c>
      <c r="Y1767" s="77" t="s">
        <v>3482</v>
      </c>
      <c r="Z1767" s="90"/>
      <c r="AA1767" s="54">
        <f>STOCK[[#This Row],[Costo total]]*STOCK[[#This Row],[Entradas]]</f>
        <v>10.8</v>
      </c>
      <c r="AB1767" s="54">
        <f>STOCK[[#This Row],[Stock Actual]]*STOCK[[#This Row],[Costo total]]</f>
        <v>10.8</v>
      </c>
      <c r="AC1767" s="77"/>
      <c r="AD1767" s="98"/>
    </row>
    <row r="1768" s="53" customFormat="1" ht="50" customHeight="1" spans="1:30">
      <c r="A1768" s="95" t="s">
        <v>3500</v>
      </c>
      <c r="B1768" s="85"/>
      <c r="C1768" s="53" t="s">
        <v>32</v>
      </c>
      <c r="D1768" s="86" t="s">
        <v>1362</v>
      </c>
      <c r="E1768" s="97" t="s">
        <v>3501</v>
      </c>
      <c r="F1768" s="95" t="s">
        <v>1408</v>
      </c>
      <c r="G1768" s="77"/>
      <c r="H1768" s="77">
        <f>STOCK[[#This Row],[Precio Final]]</f>
        <v>20</v>
      </c>
      <c r="I1768" s="82">
        <f>STOCK[[#This Row],[Precio Venta Ideal (x1.5)]]</f>
        <v>16.5</v>
      </c>
      <c r="J1768" s="95">
        <v>1</v>
      </c>
      <c r="K1768" s="80">
        <f>SUMIFS(VENTAS[Cantidad],VENTAS[Código del producto Vendido],STOCK[[#This Row],[Code]])</f>
        <v>0</v>
      </c>
      <c r="L1768" s="80">
        <f>STOCK[[#This Row],[Entradas]]-STOCK[[#This Row],[Salidas]]</f>
        <v>1</v>
      </c>
      <c r="M1768" s="77">
        <f>STOCK[[#This Row],[Precio Final]]*10%</f>
        <v>2</v>
      </c>
      <c r="N1768" s="54">
        <v>0</v>
      </c>
      <c r="O1768" s="77">
        <v>0</v>
      </c>
      <c r="P1768" s="77">
        <v>9</v>
      </c>
      <c r="Q1768" s="77">
        <v>0</v>
      </c>
      <c r="R1768" s="80">
        <v>0</v>
      </c>
      <c r="S1768" s="77">
        <v>0</v>
      </c>
      <c r="T1768" s="77">
        <f>STOCK[[#This Row],[Costo Unitario (USD)]]+STOCK[[#This Row],[Costo Envío (USD)]]+STOCK[[#This Row],[Comisión 10%]]</f>
        <v>11</v>
      </c>
      <c r="U1768" s="53">
        <f>STOCK[[#This Row],[Costo total]]*1.5</f>
        <v>16.5</v>
      </c>
      <c r="V1768" s="53">
        <v>20</v>
      </c>
      <c r="W1768" s="77">
        <f>STOCK[[#This Row],[Precio Final]]-STOCK[[#This Row],[Costo total]]</f>
        <v>9</v>
      </c>
      <c r="X1768" s="77">
        <f>STOCK[[#This Row],[Ganancia Unitaria]]*STOCK[[#This Row],[Salidas]]</f>
        <v>0</v>
      </c>
      <c r="Y1768" s="77" t="s">
        <v>3482</v>
      </c>
      <c r="Z1768" s="90"/>
      <c r="AA1768" s="54">
        <f>STOCK[[#This Row],[Costo total]]*STOCK[[#This Row],[Entradas]]</f>
        <v>11</v>
      </c>
      <c r="AB1768" s="54">
        <f>STOCK[[#This Row],[Stock Actual]]*STOCK[[#This Row],[Costo total]]</f>
        <v>11</v>
      </c>
      <c r="AC1768" s="77"/>
      <c r="AD1768" s="98"/>
    </row>
    <row r="1769" s="53" customFormat="1" ht="50" customHeight="1" spans="1:30">
      <c r="A1769" s="95" t="s">
        <v>3502</v>
      </c>
      <c r="B1769" s="85"/>
      <c r="C1769" s="53" t="s">
        <v>32</v>
      </c>
      <c r="D1769" s="86" t="s">
        <v>749</v>
      </c>
      <c r="E1769" s="97" t="s">
        <v>3503</v>
      </c>
      <c r="F1769" s="95" t="s">
        <v>46</v>
      </c>
      <c r="G1769" s="77"/>
      <c r="H1769" s="77">
        <f>STOCK[[#This Row],[Precio Final]]</f>
        <v>30</v>
      </c>
      <c r="I1769" s="82">
        <f>STOCK[[#This Row],[Precio Venta Ideal (x1.5)]]</f>
        <v>18</v>
      </c>
      <c r="J1769" s="95">
        <v>1</v>
      </c>
      <c r="K1769" s="80">
        <f>SUMIFS(VENTAS[Cantidad],VENTAS[Código del producto Vendido],STOCK[[#This Row],[Code]])</f>
        <v>0</v>
      </c>
      <c r="L1769" s="80">
        <f>STOCK[[#This Row],[Entradas]]-STOCK[[#This Row],[Salidas]]</f>
        <v>1</v>
      </c>
      <c r="M1769" s="77">
        <f>STOCK[[#This Row],[Precio Final]]*10%</f>
        <v>3</v>
      </c>
      <c r="N1769" s="54">
        <v>0</v>
      </c>
      <c r="O1769" s="77">
        <v>0</v>
      </c>
      <c r="P1769" s="77">
        <v>9</v>
      </c>
      <c r="Q1769" s="77">
        <v>0</v>
      </c>
      <c r="R1769" s="80">
        <v>0</v>
      </c>
      <c r="S1769" s="77">
        <v>0</v>
      </c>
      <c r="T1769" s="77">
        <f>STOCK[[#This Row],[Costo Unitario (USD)]]+STOCK[[#This Row],[Costo Envío (USD)]]+STOCK[[#This Row],[Comisión 10%]]</f>
        <v>12</v>
      </c>
      <c r="U1769" s="53">
        <f>STOCK[[#This Row],[Costo total]]*1.5</f>
        <v>18</v>
      </c>
      <c r="V1769" s="53">
        <v>30</v>
      </c>
      <c r="W1769" s="77">
        <f>STOCK[[#This Row],[Precio Final]]-STOCK[[#This Row],[Costo total]]</f>
        <v>18</v>
      </c>
      <c r="X1769" s="77">
        <f>STOCK[[#This Row],[Ganancia Unitaria]]*STOCK[[#This Row],[Salidas]]</f>
        <v>0</v>
      </c>
      <c r="Y1769" s="77" t="s">
        <v>3482</v>
      </c>
      <c r="Z1769" s="90"/>
      <c r="AA1769" s="54">
        <f>STOCK[[#This Row],[Costo total]]*STOCK[[#This Row],[Entradas]]</f>
        <v>12</v>
      </c>
      <c r="AB1769" s="54">
        <f>STOCK[[#This Row],[Stock Actual]]*STOCK[[#This Row],[Costo total]]</f>
        <v>12</v>
      </c>
      <c r="AC1769" s="77"/>
      <c r="AD1769" s="98"/>
    </row>
    <row r="1770" s="53" customFormat="1" ht="50" customHeight="1" spans="1:30">
      <c r="A1770" s="95" t="s">
        <v>3504</v>
      </c>
      <c r="B1770" s="85"/>
      <c r="C1770" s="53" t="s">
        <v>32</v>
      </c>
      <c r="D1770" s="86" t="s">
        <v>780</v>
      </c>
      <c r="E1770" s="97" t="s">
        <v>3505</v>
      </c>
      <c r="F1770" s="95" t="s">
        <v>40</v>
      </c>
      <c r="G1770" s="77"/>
      <c r="H1770" s="77">
        <f>STOCK[[#This Row],[Precio Final]]</f>
        <v>20</v>
      </c>
      <c r="I1770" s="82">
        <f>STOCK[[#This Row],[Precio Venta Ideal (x1.5)]]</f>
        <v>16.5</v>
      </c>
      <c r="J1770" s="95">
        <v>1</v>
      </c>
      <c r="K1770" s="80">
        <f>SUMIFS(VENTAS[Cantidad],VENTAS[Código del producto Vendido],STOCK[[#This Row],[Code]])</f>
        <v>0</v>
      </c>
      <c r="L1770" s="80">
        <f>STOCK[[#This Row],[Entradas]]-STOCK[[#This Row],[Salidas]]</f>
        <v>1</v>
      </c>
      <c r="M1770" s="77">
        <f>STOCK[[#This Row],[Precio Final]]*10%</f>
        <v>2</v>
      </c>
      <c r="N1770" s="54">
        <v>0</v>
      </c>
      <c r="O1770" s="77">
        <v>0</v>
      </c>
      <c r="P1770" s="77">
        <v>9</v>
      </c>
      <c r="Q1770" s="77">
        <v>0</v>
      </c>
      <c r="R1770" s="80">
        <v>0</v>
      </c>
      <c r="S1770" s="77">
        <v>0</v>
      </c>
      <c r="T1770" s="77">
        <f>STOCK[[#This Row],[Costo Unitario (USD)]]+STOCK[[#This Row],[Costo Envío (USD)]]+STOCK[[#This Row],[Comisión 10%]]</f>
        <v>11</v>
      </c>
      <c r="U1770" s="53">
        <f>STOCK[[#This Row],[Costo total]]*1.5</f>
        <v>16.5</v>
      </c>
      <c r="V1770" s="53">
        <v>20</v>
      </c>
      <c r="W1770" s="77">
        <f>STOCK[[#This Row],[Precio Final]]-STOCK[[#This Row],[Costo total]]</f>
        <v>9</v>
      </c>
      <c r="X1770" s="77">
        <f>STOCK[[#This Row],[Ganancia Unitaria]]*STOCK[[#This Row],[Salidas]]</f>
        <v>0</v>
      </c>
      <c r="Y1770" s="77" t="s">
        <v>3482</v>
      </c>
      <c r="Z1770" s="90"/>
      <c r="AA1770" s="54">
        <f>STOCK[[#This Row],[Costo total]]*STOCK[[#This Row],[Entradas]]</f>
        <v>11</v>
      </c>
      <c r="AB1770" s="54">
        <f>STOCK[[#This Row],[Stock Actual]]*STOCK[[#This Row],[Costo total]]</f>
        <v>11</v>
      </c>
      <c r="AC1770" s="77"/>
      <c r="AD1770" s="98"/>
    </row>
    <row r="1771" s="53" customFormat="1" ht="50" customHeight="1" spans="1:30">
      <c r="A1771" s="95" t="s">
        <v>3506</v>
      </c>
      <c r="B1771" s="85"/>
      <c r="C1771" s="53" t="s">
        <v>32</v>
      </c>
      <c r="D1771" s="86" t="s">
        <v>749</v>
      </c>
      <c r="E1771" s="97" t="s">
        <v>3507</v>
      </c>
      <c r="F1771" s="95" t="s">
        <v>46</v>
      </c>
      <c r="G1771" s="77"/>
      <c r="H1771" s="77">
        <f>STOCK[[#This Row],[Precio Final]]</f>
        <v>25</v>
      </c>
      <c r="I1771" s="82">
        <f>STOCK[[#This Row],[Precio Venta Ideal (x1.5)]]</f>
        <v>17.25</v>
      </c>
      <c r="J1771" s="95">
        <v>1</v>
      </c>
      <c r="K1771" s="80">
        <f>SUMIFS(VENTAS[Cantidad],VENTAS[Código del producto Vendido],STOCK[[#This Row],[Code]])</f>
        <v>0</v>
      </c>
      <c r="L1771" s="80">
        <f>STOCK[[#This Row],[Entradas]]-STOCK[[#This Row],[Salidas]]</f>
        <v>1</v>
      </c>
      <c r="M1771" s="77">
        <f>STOCK[[#This Row],[Precio Final]]*10%</f>
        <v>2.5</v>
      </c>
      <c r="N1771" s="54">
        <v>0</v>
      </c>
      <c r="O1771" s="77">
        <v>0</v>
      </c>
      <c r="P1771" s="77">
        <v>9</v>
      </c>
      <c r="Q1771" s="77">
        <v>0</v>
      </c>
      <c r="R1771" s="80">
        <v>0</v>
      </c>
      <c r="S1771" s="77">
        <v>0</v>
      </c>
      <c r="T1771" s="77">
        <f>STOCK[[#This Row],[Costo Unitario (USD)]]+STOCK[[#This Row],[Costo Envío (USD)]]+STOCK[[#This Row],[Comisión 10%]]</f>
        <v>11.5</v>
      </c>
      <c r="U1771" s="53">
        <f>STOCK[[#This Row],[Costo total]]*1.5</f>
        <v>17.25</v>
      </c>
      <c r="V1771" s="53">
        <v>25</v>
      </c>
      <c r="W1771" s="77">
        <f>STOCK[[#This Row],[Precio Final]]-STOCK[[#This Row],[Costo total]]</f>
        <v>13.5</v>
      </c>
      <c r="X1771" s="77">
        <f>STOCK[[#This Row],[Ganancia Unitaria]]*STOCK[[#This Row],[Salidas]]</f>
        <v>0</v>
      </c>
      <c r="Y1771" s="77" t="s">
        <v>3482</v>
      </c>
      <c r="Z1771" s="90"/>
      <c r="AA1771" s="54">
        <f>STOCK[[#This Row],[Costo total]]*STOCK[[#This Row],[Entradas]]</f>
        <v>11.5</v>
      </c>
      <c r="AB1771" s="54">
        <f>STOCK[[#This Row],[Stock Actual]]*STOCK[[#This Row],[Costo total]]</f>
        <v>11.5</v>
      </c>
      <c r="AC1771" s="77"/>
      <c r="AD1771" s="98"/>
    </row>
    <row r="1772" s="53" customFormat="1" ht="50" customHeight="1" spans="1:30">
      <c r="A1772" s="95" t="s">
        <v>3508</v>
      </c>
      <c r="B1772" s="85"/>
      <c r="C1772" s="53" t="s">
        <v>32</v>
      </c>
      <c r="D1772" s="86" t="s">
        <v>780</v>
      </c>
      <c r="E1772" s="97" t="s">
        <v>3509</v>
      </c>
      <c r="F1772" s="95" t="s">
        <v>40</v>
      </c>
      <c r="G1772" s="77"/>
      <c r="H1772" s="77">
        <f>STOCK[[#This Row],[Precio Final]]</f>
        <v>18</v>
      </c>
      <c r="I1772" s="82">
        <f>STOCK[[#This Row],[Precio Venta Ideal (x1.5)]]</f>
        <v>16.2</v>
      </c>
      <c r="J1772" s="95">
        <v>1</v>
      </c>
      <c r="K1772" s="80">
        <f>SUMIFS(VENTAS[Cantidad],VENTAS[Código del producto Vendido],STOCK[[#This Row],[Code]])</f>
        <v>0</v>
      </c>
      <c r="L1772" s="80">
        <f>STOCK[[#This Row],[Entradas]]-STOCK[[#This Row],[Salidas]]</f>
        <v>1</v>
      </c>
      <c r="M1772" s="77">
        <f>STOCK[[#This Row],[Precio Final]]*10%</f>
        <v>1.8</v>
      </c>
      <c r="N1772" s="54">
        <v>0</v>
      </c>
      <c r="O1772" s="77">
        <v>0</v>
      </c>
      <c r="P1772" s="77">
        <v>9</v>
      </c>
      <c r="Q1772" s="77">
        <v>0</v>
      </c>
      <c r="R1772" s="80">
        <v>0</v>
      </c>
      <c r="S1772" s="77">
        <v>0</v>
      </c>
      <c r="T1772" s="77">
        <f>STOCK[[#This Row],[Costo Unitario (USD)]]+STOCK[[#This Row],[Costo Envío (USD)]]+STOCK[[#This Row],[Comisión 10%]]</f>
        <v>10.8</v>
      </c>
      <c r="U1772" s="53">
        <f>STOCK[[#This Row],[Costo total]]*1.5</f>
        <v>16.2</v>
      </c>
      <c r="V1772" s="53">
        <v>18</v>
      </c>
      <c r="W1772" s="77">
        <f>STOCK[[#This Row],[Precio Final]]-STOCK[[#This Row],[Costo total]]</f>
        <v>7.2</v>
      </c>
      <c r="X1772" s="77">
        <f>STOCK[[#This Row],[Ganancia Unitaria]]*STOCK[[#This Row],[Salidas]]</f>
        <v>0</v>
      </c>
      <c r="Y1772" s="77" t="s">
        <v>3482</v>
      </c>
      <c r="Z1772" s="90"/>
      <c r="AA1772" s="54">
        <f>STOCK[[#This Row],[Costo total]]*STOCK[[#This Row],[Entradas]]</f>
        <v>10.8</v>
      </c>
      <c r="AB1772" s="54">
        <f>STOCK[[#This Row],[Stock Actual]]*STOCK[[#This Row],[Costo total]]</f>
        <v>10.8</v>
      </c>
      <c r="AC1772" s="77"/>
      <c r="AD1772" s="98"/>
    </row>
    <row r="1773" s="53" customFormat="1" ht="50" customHeight="1" spans="1:30">
      <c r="A1773" s="95" t="s">
        <v>3510</v>
      </c>
      <c r="B1773" s="85"/>
      <c r="C1773" s="53" t="s">
        <v>32</v>
      </c>
      <c r="D1773" s="86" t="s">
        <v>749</v>
      </c>
      <c r="E1773" s="97" t="s">
        <v>3511</v>
      </c>
      <c r="F1773" s="95" t="s">
        <v>3512</v>
      </c>
      <c r="G1773" s="77"/>
      <c r="H1773" s="77">
        <f>STOCK[[#This Row],[Precio Final]]</f>
        <v>38</v>
      </c>
      <c r="I1773" s="82">
        <f>STOCK[[#This Row],[Precio Venta Ideal (x1.5)]]</f>
        <v>19.2</v>
      </c>
      <c r="J1773" s="95">
        <v>1</v>
      </c>
      <c r="K1773" s="80">
        <f>SUMIFS(VENTAS[Cantidad],VENTAS[Código del producto Vendido],STOCK[[#This Row],[Code]])</f>
        <v>0</v>
      </c>
      <c r="L1773" s="80">
        <f>STOCK[[#This Row],[Entradas]]-STOCK[[#This Row],[Salidas]]</f>
        <v>1</v>
      </c>
      <c r="M1773" s="77">
        <f>STOCK[[#This Row],[Precio Final]]*10%</f>
        <v>3.8</v>
      </c>
      <c r="N1773" s="54">
        <v>0</v>
      </c>
      <c r="O1773" s="77">
        <v>0</v>
      </c>
      <c r="P1773" s="77">
        <v>9</v>
      </c>
      <c r="Q1773" s="77">
        <v>0</v>
      </c>
      <c r="R1773" s="80">
        <v>0</v>
      </c>
      <c r="S1773" s="77">
        <v>0</v>
      </c>
      <c r="T1773" s="77">
        <f>STOCK[[#This Row],[Costo Unitario (USD)]]+STOCK[[#This Row],[Costo Envío (USD)]]+STOCK[[#This Row],[Comisión 10%]]</f>
        <v>12.8</v>
      </c>
      <c r="U1773" s="53">
        <f>STOCK[[#This Row],[Costo total]]*1.5</f>
        <v>19.2</v>
      </c>
      <c r="V1773" s="53">
        <v>38</v>
      </c>
      <c r="W1773" s="77">
        <f>STOCK[[#This Row],[Precio Final]]-STOCK[[#This Row],[Costo total]]</f>
        <v>25.2</v>
      </c>
      <c r="X1773" s="77">
        <f>STOCK[[#This Row],[Ganancia Unitaria]]*STOCK[[#This Row],[Salidas]]</f>
        <v>0</v>
      </c>
      <c r="Y1773" s="77" t="s">
        <v>3482</v>
      </c>
      <c r="Z1773" s="90"/>
      <c r="AA1773" s="54">
        <f>STOCK[[#This Row],[Costo total]]*STOCK[[#This Row],[Entradas]]</f>
        <v>12.8</v>
      </c>
      <c r="AB1773" s="54">
        <f>STOCK[[#This Row],[Stock Actual]]*STOCK[[#This Row],[Costo total]]</f>
        <v>12.8</v>
      </c>
      <c r="AC1773" s="77"/>
      <c r="AD1773" s="98"/>
    </row>
    <row r="1774" s="53" customFormat="1" ht="50" customHeight="1" spans="1:30">
      <c r="A1774" s="95" t="s">
        <v>3513</v>
      </c>
      <c r="B1774" s="85"/>
      <c r="C1774" s="53" t="s">
        <v>32</v>
      </c>
      <c r="D1774" s="86" t="s">
        <v>1388</v>
      </c>
      <c r="E1774" s="97" t="s">
        <v>3514</v>
      </c>
      <c r="F1774" s="95" t="s">
        <v>3515</v>
      </c>
      <c r="G1774" s="77"/>
      <c r="H1774" s="77">
        <f>STOCK[[#This Row],[Precio Final]]</f>
        <v>38</v>
      </c>
      <c r="I1774" s="82">
        <f>STOCK[[#This Row],[Precio Venta Ideal (x1.5)]]</f>
        <v>19.2</v>
      </c>
      <c r="J1774" s="95">
        <v>1</v>
      </c>
      <c r="K1774" s="80">
        <f>SUMIFS(VENTAS[Cantidad],VENTAS[Código del producto Vendido],STOCK[[#This Row],[Code]])</f>
        <v>0</v>
      </c>
      <c r="L1774" s="80">
        <f>STOCK[[#This Row],[Entradas]]-STOCK[[#This Row],[Salidas]]</f>
        <v>1</v>
      </c>
      <c r="M1774" s="77">
        <f>STOCK[[#This Row],[Precio Final]]*10%</f>
        <v>3.8</v>
      </c>
      <c r="N1774" s="54">
        <v>0</v>
      </c>
      <c r="O1774" s="77">
        <v>0</v>
      </c>
      <c r="P1774" s="77">
        <v>9</v>
      </c>
      <c r="Q1774" s="77">
        <v>0</v>
      </c>
      <c r="R1774" s="80">
        <v>0</v>
      </c>
      <c r="S1774" s="77">
        <v>0</v>
      </c>
      <c r="T1774" s="77">
        <f>STOCK[[#This Row],[Costo Unitario (USD)]]+STOCK[[#This Row],[Costo Envío (USD)]]+STOCK[[#This Row],[Comisión 10%]]</f>
        <v>12.8</v>
      </c>
      <c r="U1774" s="53">
        <f>STOCK[[#This Row],[Costo total]]*1.5</f>
        <v>19.2</v>
      </c>
      <c r="V1774" s="53">
        <v>38</v>
      </c>
      <c r="W1774" s="77">
        <f>STOCK[[#This Row],[Precio Final]]-STOCK[[#This Row],[Costo total]]</f>
        <v>25.2</v>
      </c>
      <c r="X1774" s="77">
        <f>STOCK[[#This Row],[Ganancia Unitaria]]*STOCK[[#This Row],[Salidas]]</f>
        <v>0</v>
      </c>
      <c r="Y1774" s="77" t="s">
        <v>3482</v>
      </c>
      <c r="Z1774" s="90"/>
      <c r="AA1774" s="54">
        <f>STOCK[[#This Row],[Costo total]]*STOCK[[#This Row],[Entradas]]</f>
        <v>12.8</v>
      </c>
      <c r="AB1774" s="54">
        <f>STOCK[[#This Row],[Stock Actual]]*STOCK[[#This Row],[Costo total]]</f>
        <v>12.8</v>
      </c>
      <c r="AC1774" s="77"/>
      <c r="AD1774" s="98"/>
    </row>
    <row r="1775" s="53" customFormat="1" ht="50" customHeight="1" spans="1:30">
      <c r="A1775" s="95" t="s">
        <v>3516</v>
      </c>
      <c r="B1775" s="85"/>
      <c r="C1775" s="53" t="s">
        <v>32</v>
      </c>
      <c r="D1775" s="86" t="s">
        <v>749</v>
      </c>
      <c r="E1775" s="97" t="s">
        <v>3517</v>
      </c>
      <c r="F1775" s="95" t="s">
        <v>3518</v>
      </c>
      <c r="G1775" s="77"/>
      <c r="H1775" s="77">
        <f>STOCK[[#This Row],[Precio Final]]</f>
        <v>38</v>
      </c>
      <c r="I1775" s="82">
        <f>STOCK[[#This Row],[Precio Venta Ideal (x1.5)]]</f>
        <v>19.2</v>
      </c>
      <c r="J1775" s="95">
        <v>1</v>
      </c>
      <c r="K1775" s="80">
        <f>SUMIFS(VENTAS[Cantidad],VENTAS[Código del producto Vendido],STOCK[[#This Row],[Code]])</f>
        <v>0</v>
      </c>
      <c r="L1775" s="80">
        <f>STOCK[[#This Row],[Entradas]]-STOCK[[#This Row],[Salidas]]</f>
        <v>1</v>
      </c>
      <c r="M1775" s="77">
        <f>STOCK[[#This Row],[Precio Final]]*10%</f>
        <v>3.8</v>
      </c>
      <c r="N1775" s="54">
        <v>0</v>
      </c>
      <c r="O1775" s="77">
        <v>0</v>
      </c>
      <c r="P1775" s="77">
        <v>9</v>
      </c>
      <c r="Q1775" s="77">
        <v>0</v>
      </c>
      <c r="R1775" s="80">
        <v>0</v>
      </c>
      <c r="S1775" s="77">
        <v>0</v>
      </c>
      <c r="T1775" s="77">
        <f>STOCK[[#This Row],[Costo Unitario (USD)]]+STOCK[[#This Row],[Costo Envío (USD)]]+STOCK[[#This Row],[Comisión 10%]]</f>
        <v>12.8</v>
      </c>
      <c r="U1775" s="53">
        <f>STOCK[[#This Row],[Costo total]]*1.5</f>
        <v>19.2</v>
      </c>
      <c r="V1775" s="53">
        <v>38</v>
      </c>
      <c r="W1775" s="77">
        <f>STOCK[[#This Row],[Precio Final]]-STOCK[[#This Row],[Costo total]]</f>
        <v>25.2</v>
      </c>
      <c r="X1775" s="77">
        <f>STOCK[[#This Row],[Ganancia Unitaria]]*STOCK[[#This Row],[Salidas]]</f>
        <v>0</v>
      </c>
      <c r="Y1775" s="77" t="s">
        <v>3482</v>
      </c>
      <c r="Z1775" s="90"/>
      <c r="AA1775" s="54">
        <f>STOCK[[#This Row],[Costo total]]*STOCK[[#This Row],[Entradas]]</f>
        <v>12.8</v>
      </c>
      <c r="AB1775" s="54">
        <f>STOCK[[#This Row],[Stock Actual]]*STOCK[[#This Row],[Costo total]]</f>
        <v>12.8</v>
      </c>
      <c r="AC1775" s="77"/>
      <c r="AD1775" s="98"/>
    </row>
    <row r="1776" s="53" customFormat="1" ht="50" customHeight="1" spans="1:30">
      <c r="A1776" s="95" t="s">
        <v>3519</v>
      </c>
      <c r="B1776" s="85"/>
      <c r="C1776" s="53" t="s">
        <v>32</v>
      </c>
      <c r="D1776" s="86" t="s">
        <v>780</v>
      </c>
      <c r="E1776" s="97" t="s">
        <v>3520</v>
      </c>
      <c r="F1776" s="95" t="s">
        <v>1408</v>
      </c>
      <c r="G1776" s="77"/>
      <c r="H1776" s="77">
        <f>STOCK[[#This Row],[Precio Final]]</f>
        <v>15</v>
      </c>
      <c r="I1776" s="82">
        <f>STOCK[[#This Row],[Precio Venta Ideal (x1.5)]]</f>
        <v>15.75</v>
      </c>
      <c r="J1776" s="95">
        <v>1</v>
      </c>
      <c r="K1776" s="80">
        <f>SUMIFS(VENTAS[Cantidad],VENTAS[Código del producto Vendido],STOCK[[#This Row],[Code]])</f>
        <v>0</v>
      </c>
      <c r="L1776" s="80">
        <f>STOCK[[#This Row],[Entradas]]-STOCK[[#This Row],[Salidas]]</f>
        <v>1</v>
      </c>
      <c r="M1776" s="77">
        <f>STOCK[[#This Row],[Precio Final]]*10%</f>
        <v>1.5</v>
      </c>
      <c r="N1776" s="54">
        <v>0</v>
      </c>
      <c r="O1776" s="77">
        <v>0</v>
      </c>
      <c r="P1776" s="77">
        <v>9</v>
      </c>
      <c r="Q1776" s="77">
        <v>0</v>
      </c>
      <c r="R1776" s="80">
        <v>0</v>
      </c>
      <c r="S1776" s="77">
        <v>0</v>
      </c>
      <c r="T1776" s="77">
        <f>STOCK[[#This Row],[Costo Unitario (USD)]]+STOCK[[#This Row],[Costo Envío (USD)]]+STOCK[[#This Row],[Comisión 10%]]</f>
        <v>10.5</v>
      </c>
      <c r="U1776" s="53">
        <f>STOCK[[#This Row],[Costo total]]*1.5</f>
        <v>15.75</v>
      </c>
      <c r="V1776" s="53">
        <v>15</v>
      </c>
      <c r="W1776" s="77">
        <f>STOCK[[#This Row],[Precio Final]]-STOCK[[#This Row],[Costo total]]</f>
        <v>4.5</v>
      </c>
      <c r="X1776" s="77">
        <f>STOCK[[#This Row],[Ganancia Unitaria]]*STOCK[[#This Row],[Salidas]]</f>
        <v>0</v>
      </c>
      <c r="Y1776" s="77" t="s">
        <v>3482</v>
      </c>
      <c r="Z1776" s="90"/>
      <c r="AA1776" s="54">
        <f>STOCK[[#This Row],[Costo total]]*STOCK[[#This Row],[Entradas]]</f>
        <v>10.5</v>
      </c>
      <c r="AB1776" s="54">
        <f>STOCK[[#This Row],[Stock Actual]]*STOCK[[#This Row],[Costo total]]</f>
        <v>10.5</v>
      </c>
      <c r="AC1776" s="77"/>
      <c r="AD1776" s="98"/>
    </row>
    <row r="1777" s="53" customFormat="1" ht="50" customHeight="1" spans="1:30">
      <c r="A1777" s="95" t="s">
        <v>3521</v>
      </c>
      <c r="B1777" s="85"/>
      <c r="C1777" s="53" t="s">
        <v>32</v>
      </c>
      <c r="D1777" s="86" t="s">
        <v>780</v>
      </c>
      <c r="E1777" s="97" t="s">
        <v>3522</v>
      </c>
      <c r="F1777" s="95" t="s">
        <v>62</v>
      </c>
      <c r="G1777" s="77"/>
      <c r="H1777" s="77">
        <f>STOCK[[#This Row],[Precio Final]]</f>
        <v>15</v>
      </c>
      <c r="I1777" s="82">
        <f>STOCK[[#This Row],[Precio Venta Ideal (x1.5)]]</f>
        <v>15.75</v>
      </c>
      <c r="J1777" s="95">
        <v>1</v>
      </c>
      <c r="K1777" s="80">
        <f>SUMIFS(VENTAS[Cantidad],VENTAS[Código del producto Vendido],STOCK[[#This Row],[Code]])</f>
        <v>0</v>
      </c>
      <c r="L1777" s="80">
        <f>STOCK[[#This Row],[Entradas]]-STOCK[[#This Row],[Salidas]]</f>
        <v>1</v>
      </c>
      <c r="M1777" s="77">
        <f>STOCK[[#This Row],[Precio Final]]*10%</f>
        <v>1.5</v>
      </c>
      <c r="N1777" s="54">
        <v>0</v>
      </c>
      <c r="O1777" s="77">
        <v>0</v>
      </c>
      <c r="P1777" s="77">
        <v>9</v>
      </c>
      <c r="Q1777" s="77">
        <v>0</v>
      </c>
      <c r="R1777" s="80">
        <v>0</v>
      </c>
      <c r="S1777" s="77">
        <v>0</v>
      </c>
      <c r="T1777" s="77">
        <f>STOCK[[#This Row],[Costo Unitario (USD)]]+STOCK[[#This Row],[Costo Envío (USD)]]+STOCK[[#This Row],[Comisión 10%]]</f>
        <v>10.5</v>
      </c>
      <c r="U1777" s="53">
        <f>STOCK[[#This Row],[Costo total]]*1.5</f>
        <v>15.75</v>
      </c>
      <c r="V1777" s="53">
        <v>15</v>
      </c>
      <c r="W1777" s="77">
        <f>STOCK[[#This Row],[Precio Final]]-STOCK[[#This Row],[Costo total]]</f>
        <v>4.5</v>
      </c>
      <c r="X1777" s="77">
        <f>STOCK[[#This Row],[Ganancia Unitaria]]*STOCK[[#This Row],[Salidas]]</f>
        <v>0</v>
      </c>
      <c r="Y1777" s="77" t="s">
        <v>3482</v>
      </c>
      <c r="Z1777" s="90"/>
      <c r="AA1777" s="54">
        <f>STOCK[[#This Row],[Costo total]]*STOCK[[#This Row],[Entradas]]</f>
        <v>10.5</v>
      </c>
      <c r="AB1777" s="54">
        <f>STOCK[[#This Row],[Stock Actual]]*STOCK[[#This Row],[Costo total]]</f>
        <v>10.5</v>
      </c>
      <c r="AC1777" s="77"/>
      <c r="AD1777" s="98"/>
    </row>
    <row r="1778" s="53" customFormat="1" ht="50" customHeight="1" spans="1:30">
      <c r="A1778" s="95" t="s">
        <v>3523</v>
      </c>
      <c r="B1778" s="85"/>
      <c r="C1778" s="53" t="s">
        <v>32</v>
      </c>
      <c r="D1778" s="86" t="s">
        <v>749</v>
      </c>
      <c r="E1778" s="97" t="s">
        <v>3524</v>
      </c>
      <c r="F1778" s="95" t="s">
        <v>3525</v>
      </c>
      <c r="G1778" s="77"/>
      <c r="H1778" s="77">
        <f>STOCK[[#This Row],[Precio Final]]</f>
        <v>38</v>
      </c>
      <c r="I1778" s="82">
        <f>STOCK[[#This Row],[Precio Venta Ideal (x1.5)]]</f>
        <v>19.2</v>
      </c>
      <c r="J1778" s="95">
        <v>1</v>
      </c>
      <c r="K1778" s="80">
        <f>SUMIFS(VENTAS[Cantidad],VENTAS[Código del producto Vendido],STOCK[[#This Row],[Code]])</f>
        <v>0</v>
      </c>
      <c r="L1778" s="80">
        <f>STOCK[[#This Row],[Entradas]]-STOCK[[#This Row],[Salidas]]</f>
        <v>1</v>
      </c>
      <c r="M1778" s="77">
        <f>STOCK[[#This Row],[Precio Final]]*10%</f>
        <v>3.8</v>
      </c>
      <c r="N1778" s="54">
        <v>0</v>
      </c>
      <c r="O1778" s="77">
        <v>0</v>
      </c>
      <c r="P1778" s="77">
        <v>9</v>
      </c>
      <c r="Q1778" s="77">
        <v>0</v>
      </c>
      <c r="R1778" s="80">
        <v>0</v>
      </c>
      <c r="S1778" s="77">
        <v>0</v>
      </c>
      <c r="T1778" s="77">
        <f>STOCK[[#This Row],[Costo Unitario (USD)]]+STOCK[[#This Row],[Costo Envío (USD)]]+STOCK[[#This Row],[Comisión 10%]]</f>
        <v>12.8</v>
      </c>
      <c r="U1778" s="53">
        <f>STOCK[[#This Row],[Costo total]]*1.5</f>
        <v>19.2</v>
      </c>
      <c r="V1778" s="53">
        <v>38</v>
      </c>
      <c r="W1778" s="77">
        <f>STOCK[[#This Row],[Precio Final]]-STOCK[[#This Row],[Costo total]]</f>
        <v>25.2</v>
      </c>
      <c r="X1778" s="77">
        <f>STOCK[[#This Row],[Ganancia Unitaria]]*STOCK[[#This Row],[Salidas]]</f>
        <v>0</v>
      </c>
      <c r="Y1778" s="77" t="s">
        <v>3482</v>
      </c>
      <c r="Z1778" s="90"/>
      <c r="AA1778" s="54">
        <f>STOCK[[#This Row],[Costo total]]*STOCK[[#This Row],[Entradas]]</f>
        <v>12.8</v>
      </c>
      <c r="AB1778" s="54">
        <f>STOCK[[#This Row],[Stock Actual]]*STOCK[[#This Row],[Costo total]]</f>
        <v>12.8</v>
      </c>
      <c r="AC1778" s="77"/>
      <c r="AD1778" s="98"/>
    </row>
    <row r="1779" s="53" customFormat="1" ht="50" customHeight="1" spans="1:30">
      <c r="A1779" s="95" t="s">
        <v>3526</v>
      </c>
      <c r="B1779" s="85"/>
      <c r="C1779" s="53" t="s">
        <v>32</v>
      </c>
      <c r="D1779" s="86" t="s">
        <v>780</v>
      </c>
      <c r="E1779" s="97" t="s">
        <v>3527</v>
      </c>
      <c r="F1779" s="95" t="s">
        <v>62</v>
      </c>
      <c r="G1779" s="77"/>
      <c r="H1779" s="77">
        <f>STOCK[[#This Row],[Precio Final]]</f>
        <v>12</v>
      </c>
      <c r="I1779" s="82">
        <f>STOCK[[#This Row],[Precio Venta Ideal (x1.5)]]</f>
        <v>15.3</v>
      </c>
      <c r="J1779" s="95">
        <v>2</v>
      </c>
      <c r="K1779" s="80">
        <f>SUMIFS(VENTAS[Cantidad],VENTAS[Código del producto Vendido],STOCK[[#This Row],[Code]])</f>
        <v>0</v>
      </c>
      <c r="L1779" s="80">
        <f>STOCK[[#This Row],[Entradas]]-STOCK[[#This Row],[Salidas]]</f>
        <v>2</v>
      </c>
      <c r="M1779" s="77">
        <f>STOCK[[#This Row],[Precio Final]]*10%</f>
        <v>1.2</v>
      </c>
      <c r="N1779" s="54">
        <v>0</v>
      </c>
      <c r="O1779" s="77">
        <v>0</v>
      </c>
      <c r="P1779" s="77">
        <v>9</v>
      </c>
      <c r="Q1779" s="77">
        <v>0</v>
      </c>
      <c r="R1779" s="80">
        <v>0</v>
      </c>
      <c r="S1779" s="77">
        <v>0</v>
      </c>
      <c r="T1779" s="77">
        <f>STOCK[[#This Row],[Costo Unitario (USD)]]+STOCK[[#This Row],[Costo Envío (USD)]]+STOCK[[#This Row],[Comisión 10%]]</f>
        <v>10.2</v>
      </c>
      <c r="U1779" s="53">
        <f>STOCK[[#This Row],[Costo total]]*1.5</f>
        <v>15.3</v>
      </c>
      <c r="V1779" s="53">
        <v>12</v>
      </c>
      <c r="W1779" s="77">
        <f>STOCK[[#This Row],[Precio Final]]-STOCK[[#This Row],[Costo total]]</f>
        <v>1.8</v>
      </c>
      <c r="X1779" s="77">
        <f>STOCK[[#This Row],[Ganancia Unitaria]]*STOCK[[#This Row],[Salidas]]</f>
        <v>0</v>
      </c>
      <c r="Y1779" s="77" t="s">
        <v>3482</v>
      </c>
      <c r="Z1779" s="90"/>
      <c r="AA1779" s="54">
        <f>STOCK[[#This Row],[Costo total]]*STOCK[[#This Row],[Entradas]]</f>
        <v>20.4</v>
      </c>
      <c r="AB1779" s="54">
        <f>STOCK[[#This Row],[Stock Actual]]*STOCK[[#This Row],[Costo total]]</f>
        <v>20.4</v>
      </c>
      <c r="AC1779" s="77"/>
      <c r="AD1779" s="98"/>
    </row>
    <row r="1780" s="53" customFormat="1" ht="50" customHeight="1" spans="1:30">
      <c r="A1780" s="95" t="s">
        <v>3528</v>
      </c>
      <c r="B1780" s="85"/>
      <c r="C1780" s="53" t="s">
        <v>32</v>
      </c>
      <c r="D1780" s="86" t="s">
        <v>780</v>
      </c>
      <c r="E1780" s="97" t="s">
        <v>3529</v>
      </c>
      <c r="F1780" s="95" t="s">
        <v>42</v>
      </c>
      <c r="G1780" s="77"/>
      <c r="H1780" s="77">
        <f>STOCK[[#This Row],[Precio Final]]</f>
        <v>20</v>
      </c>
      <c r="I1780" s="82">
        <f>STOCK[[#This Row],[Precio Venta Ideal (x1.5)]]</f>
        <v>16.5</v>
      </c>
      <c r="J1780" s="95">
        <v>1</v>
      </c>
      <c r="K1780" s="80">
        <f>SUMIFS(VENTAS[Cantidad],VENTAS[Código del producto Vendido],STOCK[[#This Row],[Code]])</f>
        <v>0</v>
      </c>
      <c r="L1780" s="80">
        <f>STOCK[[#This Row],[Entradas]]-STOCK[[#This Row],[Salidas]]</f>
        <v>1</v>
      </c>
      <c r="M1780" s="77">
        <f>STOCK[[#This Row],[Precio Final]]*10%</f>
        <v>2</v>
      </c>
      <c r="N1780" s="54">
        <v>0</v>
      </c>
      <c r="O1780" s="77">
        <v>0</v>
      </c>
      <c r="P1780" s="77">
        <v>9</v>
      </c>
      <c r="Q1780" s="77">
        <v>0</v>
      </c>
      <c r="R1780" s="80">
        <v>0</v>
      </c>
      <c r="S1780" s="77">
        <v>0</v>
      </c>
      <c r="T1780" s="77">
        <f>STOCK[[#This Row],[Costo Unitario (USD)]]+STOCK[[#This Row],[Costo Envío (USD)]]+STOCK[[#This Row],[Comisión 10%]]</f>
        <v>11</v>
      </c>
      <c r="U1780" s="53">
        <f>STOCK[[#This Row],[Costo total]]*1.5</f>
        <v>16.5</v>
      </c>
      <c r="V1780" s="53">
        <v>20</v>
      </c>
      <c r="W1780" s="77">
        <f>STOCK[[#This Row],[Precio Final]]-STOCK[[#This Row],[Costo total]]</f>
        <v>9</v>
      </c>
      <c r="X1780" s="77">
        <f>STOCK[[#This Row],[Ganancia Unitaria]]*STOCK[[#This Row],[Salidas]]</f>
        <v>0</v>
      </c>
      <c r="Y1780" s="77" t="s">
        <v>3482</v>
      </c>
      <c r="Z1780" s="90"/>
      <c r="AA1780" s="54">
        <f>STOCK[[#This Row],[Costo total]]*STOCK[[#This Row],[Entradas]]</f>
        <v>11</v>
      </c>
      <c r="AB1780" s="54">
        <f>STOCK[[#This Row],[Stock Actual]]*STOCK[[#This Row],[Costo total]]</f>
        <v>11</v>
      </c>
      <c r="AC1780" s="77"/>
      <c r="AD1780" s="98"/>
    </row>
    <row r="1781" s="53" customFormat="1" ht="50" customHeight="1" spans="1:30">
      <c r="A1781" s="95" t="s">
        <v>3530</v>
      </c>
      <c r="B1781" s="85"/>
      <c r="C1781" s="53" t="s">
        <v>32</v>
      </c>
      <c r="D1781" s="86" t="s">
        <v>780</v>
      </c>
      <c r="E1781" s="97" t="s">
        <v>3531</v>
      </c>
      <c r="F1781" s="95" t="s">
        <v>716</v>
      </c>
      <c r="G1781" s="77"/>
      <c r="H1781" s="77">
        <f>STOCK[[#This Row],[Precio Final]]</f>
        <v>22</v>
      </c>
      <c r="I1781" s="82">
        <f>STOCK[[#This Row],[Precio Venta Ideal (x1.5)]]</f>
        <v>16.8</v>
      </c>
      <c r="J1781" s="95">
        <v>1</v>
      </c>
      <c r="K1781" s="80">
        <f>SUMIFS(VENTAS[Cantidad],VENTAS[Código del producto Vendido],STOCK[[#This Row],[Code]])</f>
        <v>0</v>
      </c>
      <c r="L1781" s="80">
        <f>STOCK[[#This Row],[Entradas]]-STOCK[[#This Row],[Salidas]]</f>
        <v>1</v>
      </c>
      <c r="M1781" s="77">
        <f>STOCK[[#This Row],[Precio Final]]*10%</f>
        <v>2.2</v>
      </c>
      <c r="N1781" s="54">
        <v>0</v>
      </c>
      <c r="O1781" s="77">
        <v>0</v>
      </c>
      <c r="P1781" s="77">
        <v>9</v>
      </c>
      <c r="Q1781" s="77">
        <v>0</v>
      </c>
      <c r="R1781" s="80">
        <v>0</v>
      </c>
      <c r="S1781" s="77">
        <v>0</v>
      </c>
      <c r="T1781" s="77">
        <f>STOCK[[#This Row],[Costo Unitario (USD)]]+STOCK[[#This Row],[Costo Envío (USD)]]+STOCK[[#This Row],[Comisión 10%]]</f>
        <v>11.2</v>
      </c>
      <c r="U1781" s="53">
        <f>STOCK[[#This Row],[Costo total]]*1.5</f>
        <v>16.8</v>
      </c>
      <c r="V1781" s="53">
        <v>22</v>
      </c>
      <c r="W1781" s="77">
        <f>STOCK[[#This Row],[Precio Final]]-STOCK[[#This Row],[Costo total]]</f>
        <v>10.8</v>
      </c>
      <c r="X1781" s="77">
        <f>STOCK[[#This Row],[Ganancia Unitaria]]*STOCK[[#This Row],[Salidas]]</f>
        <v>0</v>
      </c>
      <c r="Y1781" s="77" t="s">
        <v>3482</v>
      </c>
      <c r="Z1781" s="90"/>
      <c r="AA1781" s="54">
        <f>STOCK[[#This Row],[Costo total]]*STOCK[[#This Row],[Entradas]]</f>
        <v>11.2</v>
      </c>
      <c r="AB1781" s="54">
        <f>STOCK[[#This Row],[Stock Actual]]*STOCK[[#This Row],[Costo total]]</f>
        <v>11.2</v>
      </c>
      <c r="AC1781" s="77"/>
      <c r="AD1781" s="98"/>
    </row>
    <row r="1782" s="53" customFormat="1" ht="50" customHeight="1" spans="1:30">
      <c r="A1782" s="95" t="s">
        <v>3532</v>
      </c>
      <c r="B1782" s="85"/>
      <c r="C1782" s="53" t="s">
        <v>32</v>
      </c>
      <c r="D1782" s="86" t="s">
        <v>780</v>
      </c>
      <c r="E1782" s="97" t="s">
        <v>3533</v>
      </c>
      <c r="F1782" s="95" t="s">
        <v>49</v>
      </c>
      <c r="G1782" s="77"/>
      <c r="H1782" s="77">
        <f>STOCK[[#This Row],[Precio Final]]</f>
        <v>16</v>
      </c>
      <c r="I1782" s="82">
        <f>STOCK[[#This Row],[Precio Venta Ideal (x1.5)]]</f>
        <v>15.9</v>
      </c>
      <c r="J1782" s="95">
        <v>1</v>
      </c>
      <c r="K1782" s="80">
        <f>SUMIFS(VENTAS[Cantidad],VENTAS[Código del producto Vendido],STOCK[[#This Row],[Code]])</f>
        <v>0</v>
      </c>
      <c r="L1782" s="80">
        <f>STOCK[[#This Row],[Entradas]]-STOCK[[#This Row],[Salidas]]</f>
        <v>1</v>
      </c>
      <c r="M1782" s="77">
        <f>STOCK[[#This Row],[Precio Final]]*10%</f>
        <v>1.6</v>
      </c>
      <c r="N1782" s="54">
        <v>0</v>
      </c>
      <c r="O1782" s="77">
        <v>0</v>
      </c>
      <c r="P1782" s="77">
        <v>9</v>
      </c>
      <c r="Q1782" s="77">
        <v>0</v>
      </c>
      <c r="R1782" s="80">
        <v>0</v>
      </c>
      <c r="S1782" s="77">
        <v>0</v>
      </c>
      <c r="T1782" s="77">
        <f>STOCK[[#This Row],[Costo Unitario (USD)]]+STOCK[[#This Row],[Costo Envío (USD)]]+STOCK[[#This Row],[Comisión 10%]]</f>
        <v>10.6</v>
      </c>
      <c r="U1782" s="53">
        <f>STOCK[[#This Row],[Costo total]]*1.5</f>
        <v>15.9</v>
      </c>
      <c r="V1782" s="53">
        <v>16</v>
      </c>
      <c r="W1782" s="77">
        <f>STOCK[[#This Row],[Precio Final]]-STOCK[[#This Row],[Costo total]]</f>
        <v>5.4</v>
      </c>
      <c r="X1782" s="77">
        <f>STOCK[[#This Row],[Ganancia Unitaria]]*STOCK[[#This Row],[Salidas]]</f>
        <v>0</v>
      </c>
      <c r="Y1782" s="77" t="s">
        <v>3482</v>
      </c>
      <c r="Z1782" s="90"/>
      <c r="AA1782" s="54">
        <f>STOCK[[#This Row],[Costo total]]*STOCK[[#This Row],[Entradas]]</f>
        <v>10.6</v>
      </c>
      <c r="AB1782" s="54">
        <f>STOCK[[#This Row],[Stock Actual]]*STOCK[[#This Row],[Costo total]]</f>
        <v>10.6</v>
      </c>
      <c r="AC1782" s="77"/>
      <c r="AD1782" s="98"/>
    </row>
    <row r="1783" s="53" customFormat="1" ht="50" customHeight="1" spans="1:30">
      <c r="A1783" s="95" t="s">
        <v>3534</v>
      </c>
      <c r="B1783" s="85"/>
      <c r="C1783" s="53" t="s">
        <v>32</v>
      </c>
      <c r="D1783" s="86" t="s">
        <v>780</v>
      </c>
      <c r="E1783" s="97" t="s">
        <v>3535</v>
      </c>
      <c r="F1783" s="95" t="s">
        <v>62</v>
      </c>
      <c r="G1783" s="77"/>
      <c r="H1783" s="77">
        <f>STOCK[[#This Row],[Precio Final]]</f>
        <v>15</v>
      </c>
      <c r="I1783" s="82">
        <f>STOCK[[#This Row],[Precio Venta Ideal (x1.5)]]</f>
        <v>15.75</v>
      </c>
      <c r="J1783" s="95">
        <v>1</v>
      </c>
      <c r="K1783" s="80">
        <f>SUMIFS(VENTAS[Cantidad],VENTAS[Código del producto Vendido],STOCK[[#This Row],[Code]])</f>
        <v>0</v>
      </c>
      <c r="L1783" s="80">
        <f>STOCK[[#This Row],[Entradas]]-STOCK[[#This Row],[Salidas]]</f>
        <v>1</v>
      </c>
      <c r="M1783" s="77">
        <f>STOCK[[#This Row],[Precio Final]]*10%</f>
        <v>1.5</v>
      </c>
      <c r="N1783" s="54">
        <v>0</v>
      </c>
      <c r="O1783" s="77">
        <v>0</v>
      </c>
      <c r="P1783" s="77">
        <v>9</v>
      </c>
      <c r="Q1783" s="77">
        <v>0</v>
      </c>
      <c r="R1783" s="80">
        <v>0</v>
      </c>
      <c r="S1783" s="77">
        <v>0</v>
      </c>
      <c r="T1783" s="77">
        <f>STOCK[[#This Row],[Costo Unitario (USD)]]+STOCK[[#This Row],[Costo Envío (USD)]]+STOCK[[#This Row],[Comisión 10%]]</f>
        <v>10.5</v>
      </c>
      <c r="U1783" s="53">
        <f>STOCK[[#This Row],[Costo total]]*1.5</f>
        <v>15.75</v>
      </c>
      <c r="V1783" s="53">
        <v>15</v>
      </c>
      <c r="W1783" s="77">
        <f>STOCK[[#This Row],[Precio Final]]-STOCK[[#This Row],[Costo total]]</f>
        <v>4.5</v>
      </c>
      <c r="X1783" s="77">
        <f>STOCK[[#This Row],[Ganancia Unitaria]]*STOCK[[#This Row],[Salidas]]</f>
        <v>0</v>
      </c>
      <c r="Y1783" s="77" t="s">
        <v>3482</v>
      </c>
      <c r="Z1783" s="90"/>
      <c r="AA1783" s="54">
        <f>STOCK[[#This Row],[Costo total]]*STOCK[[#This Row],[Entradas]]</f>
        <v>10.5</v>
      </c>
      <c r="AB1783" s="54">
        <f>STOCK[[#This Row],[Stock Actual]]*STOCK[[#This Row],[Costo total]]</f>
        <v>10.5</v>
      </c>
      <c r="AC1783" s="77"/>
      <c r="AD1783" s="98"/>
    </row>
    <row r="1784" s="53" customFormat="1" ht="50" customHeight="1" spans="1:30">
      <c r="A1784" s="95" t="s">
        <v>3536</v>
      </c>
      <c r="B1784" s="85"/>
      <c r="C1784" s="53" t="s">
        <v>32</v>
      </c>
      <c r="D1784" s="86" t="s">
        <v>780</v>
      </c>
      <c r="E1784" s="97" t="s">
        <v>3535</v>
      </c>
      <c r="F1784" s="95" t="s">
        <v>716</v>
      </c>
      <c r="G1784" s="77"/>
      <c r="H1784" s="77">
        <f>STOCK[[#This Row],[Precio Final]]</f>
        <v>15</v>
      </c>
      <c r="I1784" s="82">
        <f>STOCK[[#This Row],[Precio Venta Ideal (x1.5)]]</f>
        <v>15.75</v>
      </c>
      <c r="J1784" s="95">
        <v>2</v>
      </c>
      <c r="K1784" s="80">
        <f>SUMIFS(VENTAS[Cantidad],VENTAS[Código del producto Vendido],STOCK[[#This Row],[Code]])</f>
        <v>0</v>
      </c>
      <c r="L1784" s="80">
        <f>STOCK[[#This Row],[Entradas]]-STOCK[[#This Row],[Salidas]]</f>
        <v>2</v>
      </c>
      <c r="M1784" s="77">
        <f>STOCK[[#This Row],[Precio Final]]*10%</f>
        <v>1.5</v>
      </c>
      <c r="N1784" s="54">
        <v>0</v>
      </c>
      <c r="O1784" s="77">
        <v>0</v>
      </c>
      <c r="P1784" s="77">
        <v>9</v>
      </c>
      <c r="Q1784" s="77">
        <v>0</v>
      </c>
      <c r="R1784" s="80">
        <v>0</v>
      </c>
      <c r="S1784" s="77">
        <v>0</v>
      </c>
      <c r="T1784" s="77">
        <f>STOCK[[#This Row],[Costo Unitario (USD)]]+STOCK[[#This Row],[Costo Envío (USD)]]+STOCK[[#This Row],[Comisión 10%]]</f>
        <v>10.5</v>
      </c>
      <c r="U1784" s="53">
        <f>STOCK[[#This Row],[Costo total]]*1.5</f>
        <v>15.75</v>
      </c>
      <c r="V1784" s="53">
        <v>15</v>
      </c>
      <c r="W1784" s="77">
        <f>STOCK[[#This Row],[Precio Final]]-STOCK[[#This Row],[Costo total]]</f>
        <v>4.5</v>
      </c>
      <c r="X1784" s="77">
        <f>STOCK[[#This Row],[Ganancia Unitaria]]*STOCK[[#This Row],[Salidas]]</f>
        <v>0</v>
      </c>
      <c r="Y1784" s="77" t="s">
        <v>3482</v>
      </c>
      <c r="Z1784" s="90"/>
      <c r="AA1784" s="54">
        <f>STOCK[[#This Row],[Costo total]]*STOCK[[#This Row],[Entradas]]</f>
        <v>21</v>
      </c>
      <c r="AB1784" s="54">
        <f>STOCK[[#This Row],[Stock Actual]]*STOCK[[#This Row],[Costo total]]</f>
        <v>21</v>
      </c>
      <c r="AC1784" s="77"/>
      <c r="AD1784" s="98"/>
    </row>
    <row r="1785" s="53" customFormat="1" ht="50" customHeight="1" spans="1:30">
      <c r="A1785" s="95" t="s">
        <v>3537</v>
      </c>
      <c r="B1785" s="85"/>
      <c r="C1785" s="53" t="s">
        <v>32</v>
      </c>
      <c r="D1785" s="86" t="s">
        <v>780</v>
      </c>
      <c r="E1785" s="97" t="s">
        <v>3535</v>
      </c>
      <c r="F1785" s="95" t="s">
        <v>1408</v>
      </c>
      <c r="G1785" s="77"/>
      <c r="H1785" s="77">
        <f>STOCK[[#This Row],[Precio Final]]</f>
        <v>15</v>
      </c>
      <c r="I1785" s="82">
        <f>STOCK[[#This Row],[Precio Venta Ideal (x1.5)]]</f>
        <v>15.75</v>
      </c>
      <c r="J1785" s="95">
        <v>1</v>
      </c>
      <c r="K1785" s="80">
        <f>SUMIFS(VENTAS[Cantidad],VENTAS[Código del producto Vendido],STOCK[[#This Row],[Code]])</f>
        <v>0</v>
      </c>
      <c r="L1785" s="80">
        <f>STOCK[[#This Row],[Entradas]]-STOCK[[#This Row],[Salidas]]</f>
        <v>1</v>
      </c>
      <c r="M1785" s="77">
        <f>STOCK[[#This Row],[Precio Final]]*10%</f>
        <v>1.5</v>
      </c>
      <c r="N1785" s="54">
        <v>0</v>
      </c>
      <c r="O1785" s="77">
        <v>0</v>
      </c>
      <c r="P1785" s="77">
        <v>9</v>
      </c>
      <c r="Q1785" s="77">
        <v>0</v>
      </c>
      <c r="R1785" s="80">
        <v>0</v>
      </c>
      <c r="S1785" s="77">
        <v>0</v>
      </c>
      <c r="T1785" s="77">
        <f>STOCK[[#This Row],[Costo Unitario (USD)]]+STOCK[[#This Row],[Costo Envío (USD)]]+STOCK[[#This Row],[Comisión 10%]]</f>
        <v>10.5</v>
      </c>
      <c r="U1785" s="53">
        <f>STOCK[[#This Row],[Costo total]]*1.5</f>
        <v>15.75</v>
      </c>
      <c r="V1785" s="53">
        <v>15</v>
      </c>
      <c r="W1785" s="77">
        <f>STOCK[[#This Row],[Precio Final]]-STOCK[[#This Row],[Costo total]]</f>
        <v>4.5</v>
      </c>
      <c r="X1785" s="77">
        <f>STOCK[[#This Row],[Ganancia Unitaria]]*STOCK[[#This Row],[Salidas]]</f>
        <v>0</v>
      </c>
      <c r="Y1785" s="77" t="s">
        <v>3482</v>
      </c>
      <c r="Z1785" s="90"/>
      <c r="AA1785" s="54">
        <f>STOCK[[#This Row],[Costo total]]*STOCK[[#This Row],[Entradas]]</f>
        <v>10.5</v>
      </c>
      <c r="AB1785" s="54">
        <f>STOCK[[#This Row],[Stock Actual]]*STOCK[[#This Row],[Costo total]]</f>
        <v>10.5</v>
      </c>
      <c r="AC1785" s="77"/>
      <c r="AD1785" s="98"/>
    </row>
    <row r="1786" s="53" customFormat="1" ht="50" customHeight="1" spans="1:30">
      <c r="A1786" s="95" t="s">
        <v>3538</v>
      </c>
      <c r="B1786" s="85"/>
      <c r="C1786" s="53" t="s">
        <v>32</v>
      </c>
      <c r="D1786" s="86" t="s">
        <v>780</v>
      </c>
      <c r="E1786" s="97" t="s">
        <v>3539</v>
      </c>
      <c r="F1786" s="95" t="s">
        <v>716</v>
      </c>
      <c r="G1786" s="77"/>
      <c r="H1786" s="77">
        <f>STOCK[[#This Row],[Precio Final]]</f>
        <v>15</v>
      </c>
      <c r="I1786" s="82">
        <f>STOCK[[#This Row],[Precio Venta Ideal (x1.5)]]</f>
        <v>15.75</v>
      </c>
      <c r="J1786" s="95">
        <v>1</v>
      </c>
      <c r="K1786" s="80">
        <f>SUMIFS(VENTAS[Cantidad],VENTAS[Código del producto Vendido],STOCK[[#This Row],[Code]])</f>
        <v>0</v>
      </c>
      <c r="L1786" s="80">
        <f>STOCK[[#This Row],[Entradas]]-STOCK[[#This Row],[Salidas]]</f>
        <v>1</v>
      </c>
      <c r="M1786" s="77">
        <f>STOCK[[#This Row],[Precio Final]]*10%</f>
        <v>1.5</v>
      </c>
      <c r="N1786" s="54">
        <v>0</v>
      </c>
      <c r="O1786" s="77">
        <v>0</v>
      </c>
      <c r="P1786" s="77">
        <v>9</v>
      </c>
      <c r="Q1786" s="77">
        <v>0</v>
      </c>
      <c r="R1786" s="80">
        <v>0</v>
      </c>
      <c r="S1786" s="77">
        <v>0</v>
      </c>
      <c r="T1786" s="77">
        <f>STOCK[[#This Row],[Costo Unitario (USD)]]+STOCK[[#This Row],[Costo Envío (USD)]]+STOCK[[#This Row],[Comisión 10%]]</f>
        <v>10.5</v>
      </c>
      <c r="U1786" s="53">
        <f>STOCK[[#This Row],[Costo total]]*1.5</f>
        <v>15.75</v>
      </c>
      <c r="V1786" s="53">
        <v>15</v>
      </c>
      <c r="W1786" s="77">
        <f>STOCK[[#This Row],[Precio Final]]-STOCK[[#This Row],[Costo total]]</f>
        <v>4.5</v>
      </c>
      <c r="X1786" s="77">
        <f>STOCK[[#This Row],[Ganancia Unitaria]]*STOCK[[#This Row],[Salidas]]</f>
        <v>0</v>
      </c>
      <c r="Y1786" s="77" t="s">
        <v>3482</v>
      </c>
      <c r="Z1786" s="90"/>
      <c r="AA1786" s="54">
        <f>STOCK[[#This Row],[Costo total]]*STOCK[[#This Row],[Entradas]]</f>
        <v>10.5</v>
      </c>
      <c r="AB1786" s="54">
        <f>STOCK[[#This Row],[Stock Actual]]*STOCK[[#This Row],[Costo total]]</f>
        <v>10.5</v>
      </c>
      <c r="AC1786" s="77"/>
      <c r="AD1786" s="98"/>
    </row>
    <row r="1787" s="53" customFormat="1" ht="50" customHeight="1" spans="1:30">
      <c r="A1787" s="95" t="s">
        <v>3540</v>
      </c>
      <c r="B1787" s="85"/>
      <c r="C1787" s="53" t="s">
        <v>32</v>
      </c>
      <c r="D1787" s="86" t="s">
        <v>780</v>
      </c>
      <c r="E1787" s="97" t="s">
        <v>3124</v>
      </c>
      <c r="F1787" s="95" t="s">
        <v>62</v>
      </c>
      <c r="G1787" s="77"/>
      <c r="H1787" s="77">
        <f>STOCK[[#This Row],[Precio Final]]</f>
        <v>15</v>
      </c>
      <c r="I1787" s="82">
        <f>STOCK[[#This Row],[Precio Venta Ideal (x1.5)]]</f>
        <v>15.75</v>
      </c>
      <c r="J1787" s="95">
        <v>1</v>
      </c>
      <c r="K1787" s="80">
        <f>SUMIFS(VENTAS[Cantidad],VENTAS[Código del producto Vendido],STOCK[[#This Row],[Code]])</f>
        <v>0</v>
      </c>
      <c r="L1787" s="80">
        <f>STOCK[[#This Row],[Entradas]]-STOCK[[#This Row],[Salidas]]</f>
        <v>1</v>
      </c>
      <c r="M1787" s="77">
        <f>STOCK[[#This Row],[Precio Final]]*10%</f>
        <v>1.5</v>
      </c>
      <c r="N1787" s="54">
        <v>0</v>
      </c>
      <c r="O1787" s="77">
        <v>0</v>
      </c>
      <c r="P1787" s="77">
        <v>9</v>
      </c>
      <c r="Q1787" s="77">
        <v>0</v>
      </c>
      <c r="R1787" s="80">
        <v>0</v>
      </c>
      <c r="S1787" s="77">
        <v>0</v>
      </c>
      <c r="T1787" s="77">
        <f>STOCK[[#This Row],[Costo Unitario (USD)]]+STOCK[[#This Row],[Costo Envío (USD)]]+STOCK[[#This Row],[Comisión 10%]]</f>
        <v>10.5</v>
      </c>
      <c r="U1787" s="53">
        <f>STOCK[[#This Row],[Costo total]]*1.5</f>
        <v>15.75</v>
      </c>
      <c r="V1787" s="53">
        <v>15</v>
      </c>
      <c r="W1787" s="77">
        <f>STOCK[[#This Row],[Precio Final]]-STOCK[[#This Row],[Costo total]]</f>
        <v>4.5</v>
      </c>
      <c r="X1787" s="77">
        <f>STOCK[[#This Row],[Ganancia Unitaria]]*STOCK[[#This Row],[Salidas]]</f>
        <v>0</v>
      </c>
      <c r="Y1787" s="77" t="s">
        <v>3482</v>
      </c>
      <c r="Z1787" s="90"/>
      <c r="AA1787" s="54">
        <f>STOCK[[#This Row],[Costo total]]*STOCK[[#This Row],[Entradas]]</f>
        <v>10.5</v>
      </c>
      <c r="AB1787" s="54">
        <f>STOCK[[#This Row],[Stock Actual]]*STOCK[[#This Row],[Costo total]]</f>
        <v>10.5</v>
      </c>
      <c r="AC1787" s="77"/>
      <c r="AD1787" s="98"/>
    </row>
    <row r="1788" s="53" customFormat="1" ht="50" customHeight="1" spans="1:30">
      <c r="A1788" s="95" t="s">
        <v>3541</v>
      </c>
      <c r="B1788" s="85"/>
      <c r="C1788" s="53" t="s">
        <v>32</v>
      </c>
      <c r="D1788" s="86" t="s">
        <v>780</v>
      </c>
      <c r="E1788" s="97" t="s">
        <v>3542</v>
      </c>
      <c r="F1788" s="95" t="s">
        <v>716</v>
      </c>
      <c r="G1788" s="77"/>
      <c r="H1788" s="77">
        <f>STOCK[[#This Row],[Precio Final]]</f>
        <v>15</v>
      </c>
      <c r="I1788" s="82">
        <f>STOCK[[#This Row],[Precio Venta Ideal (x1.5)]]</f>
        <v>15.75</v>
      </c>
      <c r="J1788" s="95">
        <v>1</v>
      </c>
      <c r="K1788" s="80">
        <f>SUMIFS(VENTAS[Cantidad],VENTAS[Código del producto Vendido],STOCK[[#This Row],[Code]])</f>
        <v>0</v>
      </c>
      <c r="L1788" s="80">
        <f>STOCK[[#This Row],[Entradas]]-STOCK[[#This Row],[Salidas]]</f>
        <v>1</v>
      </c>
      <c r="M1788" s="77">
        <f>STOCK[[#This Row],[Precio Final]]*10%</f>
        <v>1.5</v>
      </c>
      <c r="N1788" s="54">
        <v>0</v>
      </c>
      <c r="O1788" s="77">
        <v>0</v>
      </c>
      <c r="P1788" s="77">
        <v>9</v>
      </c>
      <c r="Q1788" s="77">
        <v>0</v>
      </c>
      <c r="R1788" s="80">
        <v>0</v>
      </c>
      <c r="S1788" s="77">
        <v>0</v>
      </c>
      <c r="T1788" s="77">
        <f>STOCK[[#This Row],[Costo Unitario (USD)]]+STOCK[[#This Row],[Costo Envío (USD)]]+STOCK[[#This Row],[Comisión 10%]]</f>
        <v>10.5</v>
      </c>
      <c r="U1788" s="53">
        <f>STOCK[[#This Row],[Costo total]]*1.5</f>
        <v>15.75</v>
      </c>
      <c r="V1788" s="53">
        <v>15</v>
      </c>
      <c r="W1788" s="77">
        <f>STOCK[[#This Row],[Precio Final]]-STOCK[[#This Row],[Costo total]]</f>
        <v>4.5</v>
      </c>
      <c r="X1788" s="77">
        <f>STOCK[[#This Row],[Ganancia Unitaria]]*STOCK[[#This Row],[Salidas]]</f>
        <v>0</v>
      </c>
      <c r="Y1788" s="77" t="s">
        <v>3482</v>
      </c>
      <c r="Z1788" s="90"/>
      <c r="AA1788" s="54">
        <f>STOCK[[#This Row],[Costo total]]*STOCK[[#This Row],[Entradas]]</f>
        <v>10.5</v>
      </c>
      <c r="AB1788" s="54">
        <f>STOCK[[#This Row],[Stock Actual]]*STOCK[[#This Row],[Costo total]]</f>
        <v>10.5</v>
      </c>
      <c r="AC1788" s="77"/>
      <c r="AD1788" s="98"/>
    </row>
    <row r="1789" s="53" customFormat="1" ht="50" customHeight="1" spans="1:30">
      <c r="A1789" s="95" t="s">
        <v>3543</v>
      </c>
      <c r="B1789" s="85"/>
      <c r="C1789" s="53" t="s">
        <v>32</v>
      </c>
      <c r="D1789" s="86"/>
      <c r="E1789" s="97" t="s">
        <v>3544</v>
      </c>
      <c r="F1789" s="95" t="s">
        <v>3525</v>
      </c>
      <c r="G1789" s="77"/>
      <c r="H1789" s="77">
        <f>STOCK[[#This Row],[Precio Final]]</f>
        <v>10</v>
      </c>
      <c r="I1789" s="82">
        <f>STOCK[[#This Row],[Precio Venta Ideal (x1.5)]]</f>
        <v>15</v>
      </c>
      <c r="J1789" s="95">
        <v>1</v>
      </c>
      <c r="K1789" s="80">
        <v>1</v>
      </c>
      <c r="L1789" s="80">
        <f>STOCK[[#This Row],[Entradas]]-STOCK[[#This Row],[Salidas]]</f>
        <v>0</v>
      </c>
      <c r="M1789" s="77">
        <f>STOCK[[#This Row],[Precio Final]]*10%</f>
        <v>1</v>
      </c>
      <c r="N1789" s="54">
        <v>0</v>
      </c>
      <c r="O1789" s="77">
        <v>0</v>
      </c>
      <c r="P1789" s="77">
        <v>9</v>
      </c>
      <c r="Q1789" s="77">
        <v>0</v>
      </c>
      <c r="R1789" s="80">
        <v>0</v>
      </c>
      <c r="S1789" s="77">
        <v>0</v>
      </c>
      <c r="T1789" s="77">
        <f>STOCK[[#This Row],[Costo Unitario (USD)]]+STOCK[[#This Row],[Costo Envío (USD)]]+STOCK[[#This Row],[Comisión 10%]]</f>
        <v>10</v>
      </c>
      <c r="U1789" s="53">
        <f>STOCK[[#This Row],[Costo total]]*1.5</f>
        <v>15</v>
      </c>
      <c r="V1789" s="53">
        <v>10</v>
      </c>
      <c r="W1789" s="77">
        <f>STOCK[[#This Row],[Precio Final]]-STOCK[[#This Row],[Costo total]]</f>
        <v>0</v>
      </c>
      <c r="X1789" s="77">
        <f>STOCK[[#This Row],[Ganancia Unitaria]]*STOCK[[#This Row],[Salidas]]</f>
        <v>0</v>
      </c>
      <c r="Y1789" s="77" t="s">
        <v>3482</v>
      </c>
      <c r="Z1789" s="90"/>
      <c r="AA1789" s="54">
        <f>STOCK[[#This Row],[Costo total]]*STOCK[[#This Row],[Entradas]]</f>
        <v>10</v>
      </c>
      <c r="AB1789" s="54">
        <f>STOCK[[#This Row],[Stock Actual]]*STOCK[[#This Row],[Costo total]]</f>
        <v>0</v>
      </c>
      <c r="AC1789" s="77"/>
      <c r="AD1789" s="98"/>
    </row>
    <row r="1790" s="53" customFormat="1" ht="50" customHeight="1" spans="1:30">
      <c r="A1790" s="95" t="s">
        <v>3545</v>
      </c>
      <c r="B1790" s="85"/>
      <c r="C1790" s="53" t="s">
        <v>32</v>
      </c>
      <c r="D1790" s="86" t="s">
        <v>780</v>
      </c>
      <c r="E1790" s="97" t="s">
        <v>3546</v>
      </c>
      <c r="F1790" s="95" t="s">
        <v>49</v>
      </c>
      <c r="G1790" s="77"/>
      <c r="H1790" s="77">
        <f>STOCK[[#This Row],[Precio Final]]</f>
        <v>15</v>
      </c>
      <c r="I1790" s="82">
        <f>STOCK[[#This Row],[Precio Venta Ideal (x1.5)]]</f>
        <v>15.75</v>
      </c>
      <c r="J1790" s="95">
        <v>2</v>
      </c>
      <c r="K1790" s="80">
        <f>SUMIFS(VENTAS[Cantidad],VENTAS[Código del producto Vendido],STOCK[[#This Row],[Code]])</f>
        <v>0</v>
      </c>
      <c r="L1790" s="80">
        <f>STOCK[[#This Row],[Entradas]]-STOCK[[#This Row],[Salidas]]</f>
        <v>2</v>
      </c>
      <c r="M1790" s="77">
        <f>STOCK[[#This Row],[Precio Final]]*10%</f>
        <v>1.5</v>
      </c>
      <c r="N1790" s="54">
        <v>0</v>
      </c>
      <c r="O1790" s="77">
        <v>0</v>
      </c>
      <c r="P1790" s="77">
        <v>9</v>
      </c>
      <c r="Q1790" s="77">
        <v>0</v>
      </c>
      <c r="R1790" s="80">
        <v>0</v>
      </c>
      <c r="S1790" s="77">
        <v>0</v>
      </c>
      <c r="T1790" s="77">
        <f>STOCK[[#This Row],[Costo Unitario (USD)]]+STOCK[[#This Row],[Costo Envío (USD)]]+STOCK[[#This Row],[Comisión 10%]]</f>
        <v>10.5</v>
      </c>
      <c r="U1790" s="53">
        <f>STOCK[[#This Row],[Costo total]]*1.5</f>
        <v>15.75</v>
      </c>
      <c r="V1790" s="53">
        <v>15</v>
      </c>
      <c r="W1790" s="77">
        <f>STOCK[[#This Row],[Precio Final]]-STOCK[[#This Row],[Costo total]]</f>
        <v>4.5</v>
      </c>
      <c r="X1790" s="77">
        <f>STOCK[[#This Row],[Ganancia Unitaria]]*STOCK[[#This Row],[Salidas]]</f>
        <v>0</v>
      </c>
      <c r="Y1790" s="77" t="s">
        <v>3482</v>
      </c>
      <c r="Z1790" s="90"/>
      <c r="AA1790" s="54">
        <f>STOCK[[#This Row],[Costo total]]*STOCK[[#This Row],[Entradas]]</f>
        <v>21</v>
      </c>
      <c r="AB1790" s="54">
        <f>STOCK[[#This Row],[Stock Actual]]*STOCK[[#This Row],[Costo total]]</f>
        <v>21</v>
      </c>
      <c r="AC1790" s="77"/>
      <c r="AD1790" s="98"/>
    </row>
    <row r="1791" s="53" customFormat="1" ht="50" customHeight="1" spans="1:30">
      <c r="A1791" s="95" t="s">
        <v>3547</v>
      </c>
      <c r="B1791" s="85"/>
      <c r="C1791" s="53" t="s">
        <v>32</v>
      </c>
      <c r="D1791" s="86" t="s">
        <v>749</v>
      </c>
      <c r="E1791" s="97" t="s">
        <v>3548</v>
      </c>
      <c r="F1791" s="95" t="s">
        <v>40</v>
      </c>
      <c r="G1791" s="77"/>
      <c r="H1791" s="77">
        <f>STOCK[[#This Row],[Precio Final]]</f>
        <v>18</v>
      </c>
      <c r="I1791" s="82">
        <f>STOCK[[#This Row],[Precio Venta Ideal (x1.5)]]</f>
        <v>16.2</v>
      </c>
      <c r="J1791" s="95">
        <v>1</v>
      </c>
      <c r="K1791" s="80">
        <f>SUMIFS(VENTAS[Cantidad],VENTAS[Código del producto Vendido],STOCK[[#This Row],[Code]])</f>
        <v>0</v>
      </c>
      <c r="L1791" s="80">
        <f>STOCK[[#This Row],[Entradas]]-STOCK[[#This Row],[Salidas]]</f>
        <v>1</v>
      </c>
      <c r="M1791" s="77">
        <f>STOCK[[#This Row],[Precio Final]]*10%</f>
        <v>1.8</v>
      </c>
      <c r="N1791" s="54">
        <v>0</v>
      </c>
      <c r="O1791" s="77">
        <v>0</v>
      </c>
      <c r="P1791" s="77">
        <v>9</v>
      </c>
      <c r="Q1791" s="77">
        <v>0</v>
      </c>
      <c r="R1791" s="80">
        <v>0</v>
      </c>
      <c r="S1791" s="77">
        <v>0</v>
      </c>
      <c r="T1791" s="77">
        <f>STOCK[[#This Row],[Costo Unitario (USD)]]+STOCK[[#This Row],[Costo Envío (USD)]]+STOCK[[#This Row],[Comisión 10%]]</f>
        <v>10.8</v>
      </c>
      <c r="U1791" s="53">
        <f>STOCK[[#This Row],[Costo total]]*1.5</f>
        <v>16.2</v>
      </c>
      <c r="V1791" s="53">
        <v>18</v>
      </c>
      <c r="W1791" s="77">
        <f>STOCK[[#This Row],[Precio Final]]-STOCK[[#This Row],[Costo total]]</f>
        <v>7.2</v>
      </c>
      <c r="X1791" s="77">
        <f>STOCK[[#This Row],[Ganancia Unitaria]]*STOCK[[#This Row],[Salidas]]</f>
        <v>0</v>
      </c>
      <c r="Y1791" s="77" t="s">
        <v>3482</v>
      </c>
      <c r="Z1791" s="90"/>
      <c r="AA1791" s="54">
        <f>STOCK[[#This Row],[Costo total]]*STOCK[[#This Row],[Entradas]]</f>
        <v>10.8</v>
      </c>
      <c r="AB1791" s="54">
        <f>STOCK[[#This Row],[Stock Actual]]*STOCK[[#This Row],[Costo total]]</f>
        <v>10.8</v>
      </c>
      <c r="AC1791" s="77"/>
      <c r="AD1791" s="98"/>
    </row>
    <row r="1792" s="53" customFormat="1" ht="50" customHeight="1" spans="1:30">
      <c r="A1792" s="95" t="s">
        <v>3549</v>
      </c>
      <c r="B1792" s="85"/>
      <c r="C1792" s="53" t="s">
        <v>32</v>
      </c>
      <c r="D1792" s="86" t="s">
        <v>749</v>
      </c>
      <c r="E1792" s="97" t="s">
        <v>3550</v>
      </c>
      <c r="F1792" s="95" t="s">
        <v>49</v>
      </c>
      <c r="G1792" s="77"/>
      <c r="H1792" s="77">
        <f>STOCK[[#This Row],[Precio Final]]</f>
        <v>30</v>
      </c>
      <c r="I1792" s="82">
        <f>STOCK[[#This Row],[Precio Venta Ideal (x1.5)]]</f>
        <v>18</v>
      </c>
      <c r="J1792" s="95">
        <v>1</v>
      </c>
      <c r="K1792" s="80">
        <f>SUMIFS(VENTAS[Cantidad],VENTAS[Código del producto Vendido],STOCK[[#This Row],[Code]])</f>
        <v>0</v>
      </c>
      <c r="L1792" s="80">
        <f>STOCK[[#This Row],[Entradas]]-STOCK[[#This Row],[Salidas]]</f>
        <v>1</v>
      </c>
      <c r="M1792" s="77">
        <f>STOCK[[#This Row],[Precio Final]]*10%</f>
        <v>3</v>
      </c>
      <c r="N1792" s="54">
        <v>0</v>
      </c>
      <c r="O1792" s="77">
        <v>0</v>
      </c>
      <c r="P1792" s="77">
        <v>9</v>
      </c>
      <c r="Q1792" s="77">
        <v>0</v>
      </c>
      <c r="R1792" s="80">
        <v>0</v>
      </c>
      <c r="S1792" s="77">
        <v>0</v>
      </c>
      <c r="T1792" s="77">
        <f>STOCK[[#This Row],[Costo Unitario (USD)]]+STOCK[[#This Row],[Costo Envío (USD)]]+STOCK[[#This Row],[Comisión 10%]]</f>
        <v>12</v>
      </c>
      <c r="U1792" s="53">
        <f>STOCK[[#This Row],[Costo total]]*1.5</f>
        <v>18</v>
      </c>
      <c r="V1792" s="53">
        <v>30</v>
      </c>
      <c r="W1792" s="77">
        <f>STOCK[[#This Row],[Precio Final]]-STOCK[[#This Row],[Costo total]]</f>
        <v>18</v>
      </c>
      <c r="X1792" s="77">
        <f>STOCK[[#This Row],[Ganancia Unitaria]]*STOCK[[#This Row],[Salidas]]</f>
        <v>0</v>
      </c>
      <c r="Y1792" s="77" t="s">
        <v>3482</v>
      </c>
      <c r="Z1792" s="90"/>
      <c r="AA1792" s="54">
        <f>STOCK[[#This Row],[Costo total]]*STOCK[[#This Row],[Entradas]]</f>
        <v>12</v>
      </c>
      <c r="AB1792" s="54">
        <f>STOCK[[#This Row],[Stock Actual]]*STOCK[[#This Row],[Costo total]]</f>
        <v>12</v>
      </c>
      <c r="AC1792" s="77"/>
      <c r="AD1792" s="98"/>
    </row>
    <row r="1793" s="53" customFormat="1" ht="50" customHeight="1" spans="1:30">
      <c r="A1793" s="95" t="s">
        <v>3551</v>
      </c>
      <c r="B1793" s="85"/>
      <c r="C1793" s="53" t="s">
        <v>32</v>
      </c>
      <c r="D1793" s="86" t="s">
        <v>749</v>
      </c>
      <c r="E1793" s="97" t="s">
        <v>3550</v>
      </c>
      <c r="F1793" s="95" t="s">
        <v>1408</v>
      </c>
      <c r="G1793" s="77"/>
      <c r="H1793" s="77">
        <f>STOCK[[#This Row],[Precio Final]]</f>
        <v>30</v>
      </c>
      <c r="I1793" s="82">
        <f>STOCK[[#This Row],[Precio Venta Ideal (x1.5)]]</f>
        <v>18</v>
      </c>
      <c r="J1793" s="95">
        <v>1</v>
      </c>
      <c r="K1793" s="80">
        <f>SUMIFS(VENTAS[Cantidad],VENTAS[Código del producto Vendido],STOCK[[#This Row],[Code]])</f>
        <v>0</v>
      </c>
      <c r="L1793" s="80">
        <f>STOCK[[#This Row],[Entradas]]-STOCK[[#This Row],[Salidas]]</f>
        <v>1</v>
      </c>
      <c r="M1793" s="77">
        <f>STOCK[[#This Row],[Precio Final]]*10%</f>
        <v>3</v>
      </c>
      <c r="N1793" s="54">
        <v>0</v>
      </c>
      <c r="O1793" s="77">
        <v>0</v>
      </c>
      <c r="P1793" s="77">
        <v>9</v>
      </c>
      <c r="Q1793" s="77">
        <v>0</v>
      </c>
      <c r="R1793" s="80">
        <v>0</v>
      </c>
      <c r="S1793" s="77">
        <v>0</v>
      </c>
      <c r="T1793" s="77">
        <f>STOCK[[#This Row],[Costo Unitario (USD)]]+STOCK[[#This Row],[Costo Envío (USD)]]+STOCK[[#This Row],[Comisión 10%]]</f>
        <v>12</v>
      </c>
      <c r="U1793" s="53">
        <f>STOCK[[#This Row],[Costo total]]*1.5</f>
        <v>18</v>
      </c>
      <c r="V1793" s="53">
        <v>30</v>
      </c>
      <c r="W1793" s="77">
        <f>STOCK[[#This Row],[Precio Final]]-STOCK[[#This Row],[Costo total]]</f>
        <v>18</v>
      </c>
      <c r="X1793" s="77">
        <f>STOCK[[#This Row],[Ganancia Unitaria]]*STOCK[[#This Row],[Salidas]]</f>
        <v>0</v>
      </c>
      <c r="Y1793" s="77" t="s">
        <v>3482</v>
      </c>
      <c r="Z1793" s="90"/>
      <c r="AA1793" s="54">
        <f>STOCK[[#This Row],[Costo total]]*STOCK[[#This Row],[Entradas]]</f>
        <v>12</v>
      </c>
      <c r="AB1793" s="54">
        <f>STOCK[[#This Row],[Stock Actual]]*STOCK[[#This Row],[Costo total]]</f>
        <v>12</v>
      </c>
      <c r="AC1793" s="77"/>
      <c r="AD1793" s="98"/>
    </row>
    <row r="1794" s="53" customFormat="1" ht="50" customHeight="1" spans="1:30">
      <c r="A1794" s="95" t="s">
        <v>3552</v>
      </c>
      <c r="B1794" s="85"/>
      <c r="C1794" s="53" t="s">
        <v>32</v>
      </c>
      <c r="D1794" s="86" t="s">
        <v>2625</v>
      </c>
      <c r="E1794" s="97" t="s">
        <v>3553</v>
      </c>
      <c r="F1794" s="95" t="s">
        <v>281</v>
      </c>
      <c r="G1794" s="77"/>
      <c r="H1794" s="77">
        <f>STOCK[[#This Row],[Precio Final]]</f>
        <v>30</v>
      </c>
      <c r="I1794" s="82">
        <f>STOCK[[#This Row],[Precio Venta Ideal (x1.5)]]</f>
        <v>18</v>
      </c>
      <c r="J1794" s="95">
        <v>1</v>
      </c>
      <c r="K1794" s="80">
        <f>SUMIFS(VENTAS[Cantidad],VENTAS[Código del producto Vendido],STOCK[[#This Row],[Code]])</f>
        <v>0</v>
      </c>
      <c r="L1794" s="80">
        <f>STOCK[[#This Row],[Entradas]]-STOCK[[#This Row],[Salidas]]</f>
        <v>1</v>
      </c>
      <c r="M1794" s="77">
        <f>STOCK[[#This Row],[Precio Final]]*10%</f>
        <v>3</v>
      </c>
      <c r="N1794" s="54">
        <v>0</v>
      </c>
      <c r="O1794" s="77">
        <v>0</v>
      </c>
      <c r="P1794" s="77">
        <v>9</v>
      </c>
      <c r="Q1794" s="77">
        <v>0</v>
      </c>
      <c r="R1794" s="80">
        <v>0</v>
      </c>
      <c r="S1794" s="77">
        <v>0</v>
      </c>
      <c r="T1794" s="77">
        <f>STOCK[[#This Row],[Costo Unitario (USD)]]+STOCK[[#This Row],[Costo Envío (USD)]]+STOCK[[#This Row],[Comisión 10%]]</f>
        <v>12</v>
      </c>
      <c r="U1794" s="53">
        <f>STOCK[[#This Row],[Costo total]]*1.5</f>
        <v>18</v>
      </c>
      <c r="V1794" s="53">
        <v>30</v>
      </c>
      <c r="W1794" s="77">
        <f>STOCK[[#This Row],[Precio Final]]-STOCK[[#This Row],[Costo total]]</f>
        <v>18</v>
      </c>
      <c r="X1794" s="77">
        <f>STOCK[[#This Row],[Ganancia Unitaria]]*STOCK[[#This Row],[Salidas]]</f>
        <v>0</v>
      </c>
      <c r="Y1794" s="77" t="s">
        <v>3482</v>
      </c>
      <c r="Z1794" s="90"/>
      <c r="AA1794" s="54">
        <f>STOCK[[#This Row],[Costo total]]*STOCK[[#This Row],[Entradas]]</f>
        <v>12</v>
      </c>
      <c r="AB1794" s="54">
        <f>STOCK[[#This Row],[Stock Actual]]*STOCK[[#This Row],[Costo total]]</f>
        <v>12</v>
      </c>
      <c r="AC1794" s="77"/>
      <c r="AD1794" s="98"/>
    </row>
    <row r="1795" s="53" customFormat="1" ht="50" customHeight="1" spans="1:30">
      <c r="A1795" s="95" t="s">
        <v>3554</v>
      </c>
      <c r="B1795" s="85"/>
      <c r="C1795" s="53" t="s">
        <v>32</v>
      </c>
      <c r="D1795" s="86" t="s">
        <v>780</v>
      </c>
      <c r="E1795" s="97" t="s">
        <v>3555</v>
      </c>
      <c r="F1795" s="95" t="s">
        <v>46</v>
      </c>
      <c r="G1795" s="77"/>
      <c r="H1795" s="77">
        <f>STOCK[[#This Row],[Precio Final]]</f>
        <v>18</v>
      </c>
      <c r="I1795" s="82">
        <f>STOCK[[#This Row],[Precio Venta Ideal (x1.5)]]</f>
        <v>16.2</v>
      </c>
      <c r="J1795" s="95">
        <v>1</v>
      </c>
      <c r="K1795" s="80">
        <f>SUMIFS(VENTAS[Cantidad],VENTAS[Código del producto Vendido],STOCK[[#This Row],[Code]])</f>
        <v>0</v>
      </c>
      <c r="L1795" s="80">
        <f>STOCK[[#This Row],[Entradas]]-STOCK[[#This Row],[Salidas]]</f>
        <v>1</v>
      </c>
      <c r="M1795" s="77">
        <f>STOCK[[#This Row],[Precio Final]]*10%</f>
        <v>1.8</v>
      </c>
      <c r="N1795" s="54">
        <v>0</v>
      </c>
      <c r="O1795" s="77">
        <v>0</v>
      </c>
      <c r="P1795" s="77">
        <v>9</v>
      </c>
      <c r="Q1795" s="77">
        <v>0</v>
      </c>
      <c r="R1795" s="80">
        <v>0</v>
      </c>
      <c r="S1795" s="77">
        <v>0</v>
      </c>
      <c r="T1795" s="77">
        <f>STOCK[[#This Row],[Costo Unitario (USD)]]+STOCK[[#This Row],[Costo Envío (USD)]]+STOCK[[#This Row],[Comisión 10%]]</f>
        <v>10.8</v>
      </c>
      <c r="U1795" s="53">
        <f>STOCK[[#This Row],[Costo total]]*1.5</f>
        <v>16.2</v>
      </c>
      <c r="V1795" s="53">
        <v>18</v>
      </c>
      <c r="W1795" s="77">
        <f>STOCK[[#This Row],[Precio Final]]-STOCK[[#This Row],[Costo total]]</f>
        <v>7.2</v>
      </c>
      <c r="X1795" s="77">
        <f>STOCK[[#This Row],[Ganancia Unitaria]]*STOCK[[#This Row],[Salidas]]</f>
        <v>0</v>
      </c>
      <c r="Y1795" s="77" t="s">
        <v>3482</v>
      </c>
      <c r="Z1795" s="90"/>
      <c r="AA1795" s="54">
        <f>STOCK[[#This Row],[Costo total]]*STOCK[[#This Row],[Entradas]]</f>
        <v>10.8</v>
      </c>
      <c r="AB1795" s="54">
        <f>STOCK[[#This Row],[Stock Actual]]*STOCK[[#This Row],[Costo total]]</f>
        <v>10.8</v>
      </c>
      <c r="AC1795" s="77"/>
      <c r="AD1795" s="98"/>
    </row>
    <row r="1796" s="53" customFormat="1" ht="50" customHeight="1" spans="1:30">
      <c r="A1796" s="95" t="s">
        <v>3556</v>
      </c>
      <c r="B1796" s="85"/>
      <c r="C1796" s="53" t="s">
        <v>32</v>
      </c>
      <c r="D1796" s="86" t="s">
        <v>780</v>
      </c>
      <c r="E1796" s="97" t="s">
        <v>3557</v>
      </c>
      <c r="F1796" s="95" t="s">
        <v>46</v>
      </c>
      <c r="G1796" s="77"/>
      <c r="H1796" s="77">
        <f>STOCK[[#This Row],[Precio Final]]</f>
        <v>30</v>
      </c>
      <c r="I1796" s="82">
        <f>STOCK[[#This Row],[Precio Venta Ideal (x1.5)]]</f>
        <v>18</v>
      </c>
      <c r="J1796" s="95">
        <v>1</v>
      </c>
      <c r="K1796" s="80">
        <f>SUMIFS(VENTAS[Cantidad],VENTAS[Código del producto Vendido],STOCK[[#This Row],[Code]])</f>
        <v>0</v>
      </c>
      <c r="L1796" s="80">
        <f>STOCK[[#This Row],[Entradas]]-STOCK[[#This Row],[Salidas]]</f>
        <v>1</v>
      </c>
      <c r="M1796" s="77">
        <f>STOCK[[#This Row],[Precio Final]]*10%</f>
        <v>3</v>
      </c>
      <c r="N1796" s="54">
        <v>0</v>
      </c>
      <c r="O1796" s="77">
        <v>0</v>
      </c>
      <c r="P1796" s="77">
        <v>9</v>
      </c>
      <c r="Q1796" s="77">
        <v>0</v>
      </c>
      <c r="R1796" s="80">
        <v>0</v>
      </c>
      <c r="S1796" s="77">
        <v>0</v>
      </c>
      <c r="T1796" s="77">
        <f>STOCK[[#This Row],[Costo Unitario (USD)]]+STOCK[[#This Row],[Costo Envío (USD)]]+STOCK[[#This Row],[Comisión 10%]]</f>
        <v>12</v>
      </c>
      <c r="U1796" s="53">
        <f>STOCK[[#This Row],[Costo total]]*1.5</f>
        <v>18</v>
      </c>
      <c r="V1796" s="53">
        <v>30</v>
      </c>
      <c r="W1796" s="77">
        <f>STOCK[[#This Row],[Precio Final]]-STOCK[[#This Row],[Costo total]]</f>
        <v>18</v>
      </c>
      <c r="X1796" s="77">
        <f>STOCK[[#This Row],[Ganancia Unitaria]]*STOCK[[#This Row],[Salidas]]</f>
        <v>0</v>
      </c>
      <c r="Y1796" s="77" t="s">
        <v>3482</v>
      </c>
      <c r="Z1796" s="90"/>
      <c r="AA1796" s="54">
        <f>STOCK[[#This Row],[Costo total]]*STOCK[[#This Row],[Entradas]]</f>
        <v>12</v>
      </c>
      <c r="AB1796" s="54">
        <f>STOCK[[#This Row],[Stock Actual]]*STOCK[[#This Row],[Costo total]]</f>
        <v>12</v>
      </c>
      <c r="AC1796" s="77"/>
      <c r="AD1796" s="98"/>
    </row>
    <row r="1797" s="53" customFormat="1" ht="50" customHeight="1" spans="1:30">
      <c r="A1797" s="95" t="s">
        <v>3558</v>
      </c>
      <c r="B1797" s="85"/>
      <c r="C1797" s="53" t="s">
        <v>32</v>
      </c>
      <c r="D1797" s="86" t="s">
        <v>780</v>
      </c>
      <c r="E1797" s="97" t="s">
        <v>3559</v>
      </c>
      <c r="F1797" s="95" t="s">
        <v>46</v>
      </c>
      <c r="G1797" s="77"/>
      <c r="H1797" s="77">
        <f>STOCK[[#This Row],[Precio Final]]</f>
        <v>15</v>
      </c>
      <c r="I1797" s="82">
        <f>STOCK[[#This Row],[Precio Venta Ideal (x1.5)]]</f>
        <v>15.75</v>
      </c>
      <c r="J1797" s="95">
        <v>1</v>
      </c>
      <c r="K1797" s="80">
        <f>SUMIFS(VENTAS[Cantidad],VENTAS[Código del producto Vendido],STOCK[[#This Row],[Code]])</f>
        <v>0</v>
      </c>
      <c r="L1797" s="80">
        <f>STOCK[[#This Row],[Entradas]]-STOCK[[#This Row],[Salidas]]</f>
        <v>1</v>
      </c>
      <c r="M1797" s="77">
        <f>STOCK[[#This Row],[Precio Final]]*10%</f>
        <v>1.5</v>
      </c>
      <c r="N1797" s="54">
        <v>0</v>
      </c>
      <c r="O1797" s="77">
        <v>0</v>
      </c>
      <c r="P1797" s="77">
        <v>9</v>
      </c>
      <c r="Q1797" s="77">
        <v>0</v>
      </c>
      <c r="R1797" s="80">
        <v>0</v>
      </c>
      <c r="S1797" s="77">
        <v>0</v>
      </c>
      <c r="T1797" s="77">
        <f>STOCK[[#This Row],[Costo Unitario (USD)]]+STOCK[[#This Row],[Costo Envío (USD)]]+STOCK[[#This Row],[Comisión 10%]]</f>
        <v>10.5</v>
      </c>
      <c r="U1797" s="53">
        <f>STOCK[[#This Row],[Costo total]]*1.5</f>
        <v>15.75</v>
      </c>
      <c r="V1797" s="53">
        <v>15</v>
      </c>
      <c r="W1797" s="77">
        <f>STOCK[[#This Row],[Precio Final]]-STOCK[[#This Row],[Costo total]]</f>
        <v>4.5</v>
      </c>
      <c r="X1797" s="77">
        <f>STOCK[[#This Row],[Ganancia Unitaria]]*STOCK[[#This Row],[Salidas]]</f>
        <v>0</v>
      </c>
      <c r="Y1797" s="77" t="s">
        <v>3482</v>
      </c>
      <c r="Z1797" s="90"/>
      <c r="AA1797" s="54">
        <f>STOCK[[#This Row],[Costo total]]*STOCK[[#This Row],[Entradas]]</f>
        <v>10.5</v>
      </c>
      <c r="AB1797" s="54">
        <f>STOCK[[#This Row],[Stock Actual]]*STOCK[[#This Row],[Costo total]]</f>
        <v>10.5</v>
      </c>
      <c r="AC1797" s="77"/>
      <c r="AD1797" s="98"/>
    </row>
    <row r="1798" s="53" customFormat="1" ht="50" customHeight="1" spans="1:30">
      <c r="A1798" s="95" t="s">
        <v>3560</v>
      </c>
      <c r="B1798" s="85"/>
      <c r="C1798" s="53" t="s">
        <v>32</v>
      </c>
      <c r="D1798" s="86" t="s">
        <v>1388</v>
      </c>
      <c r="E1798" s="97" t="s">
        <v>3561</v>
      </c>
      <c r="F1798" s="95" t="s">
        <v>3562</v>
      </c>
      <c r="G1798" s="77"/>
      <c r="H1798" s="77">
        <f>STOCK[[#This Row],[Precio Final]]</f>
        <v>15</v>
      </c>
      <c r="I1798" s="82">
        <f>STOCK[[#This Row],[Precio Venta Ideal (x1.5)]]</f>
        <v>15.75</v>
      </c>
      <c r="J1798" s="95">
        <v>1</v>
      </c>
      <c r="K1798" s="80">
        <f>SUMIFS(VENTAS[Cantidad],VENTAS[Código del producto Vendido],STOCK[[#This Row],[Code]])</f>
        <v>0</v>
      </c>
      <c r="L1798" s="80">
        <f>STOCK[[#This Row],[Entradas]]-STOCK[[#This Row],[Salidas]]</f>
        <v>1</v>
      </c>
      <c r="M1798" s="77">
        <f>STOCK[[#This Row],[Precio Final]]*10%</f>
        <v>1.5</v>
      </c>
      <c r="N1798" s="54">
        <v>0</v>
      </c>
      <c r="O1798" s="77">
        <v>0</v>
      </c>
      <c r="P1798" s="77">
        <v>9</v>
      </c>
      <c r="Q1798" s="77">
        <v>0</v>
      </c>
      <c r="R1798" s="80">
        <v>0</v>
      </c>
      <c r="S1798" s="77">
        <v>0</v>
      </c>
      <c r="T1798" s="77">
        <f>STOCK[[#This Row],[Costo Unitario (USD)]]+STOCK[[#This Row],[Costo Envío (USD)]]+STOCK[[#This Row],[Comisión 10%]]</f>
        <v>10.5</v>
      </c>
      <c r="U1798" s="53">
        <f>STOCK[[#This Row],[Costo total]]*1.5</f>
        <v>15.75</v>
      </c>
      <c r="V1798" s="53">
        <v>15</v>
      </c>
      <c r="W1798" s="77">
        <f>STOCK[[#This Row],[Precio Final]]-STOCK[[#This Row],[Costo total]]</f>
        <v>4.5</v>
      </c>
      <c r="X1798" s="77">
        <f>STOCK[[#This Row],[Ganancia Unitaria]]*STOCK[[#This Row],[Salidas]]</f>
        <v>0</v>
      </c>
      <c r="Y1798" s="77" t="s">
        <v>3482</v>
      </c>
      <c r="Z1798" s="90"/>
      <c r="AA1798" s="54">
        <f>STOCK[[#This Row],[Costo total]]*STOCK[[#This Row],[Entradas]]</f>
        <v>10.5</v>
      </c>
      <c r="AB1798" s="54">
        <f>STOCK[[#This Row],[Stock Actual]]*STOCK[[#This Row],[Costo total]]</f>
        <v>10.5</v>
      </c>
      <c r="AC1798" s="77"/>
      <c r="AD1798" s="98"/>
    </row>
    <row r="1799" s="53" customFormat="1" ht="50" customHeight="1" spans="1:30">
      <c r="A1799" s="95" t="s">
        <v>3563</v>
      </c>
      <c r="B1799" s="85"/>
      <c r="C1799" s="53" t="s">
        <v>32</v>
      </c>
      <c r="D1799" s="86" t="s">
        <v>780</v>
      </c>
      <c r="E1799" s="97" t="s">
        <v>3564</v>
      </c>
      <c r="F1799" s="95" t="s">
        <v>49</v>
      </c>
      <c r="G1799" s="77"/>
      <c r="H1799" s="77">
        <f>STOCK[[#This Row],[Precio Final]]</f>
        <v>15</v>
      </c>
      <c r="I1799" s="82">
        <f>STOCK[[#This Row],[Precio Venta Ideal (x1.5)]]</f>
        <v>15.75</v>
      </c>
      <c r="J1799" s="95">
        <v>1</v>
      </c>
      <c r="K1799" s="80">
        <f>SUMIFS(VENTAS[Cantidad],VENTAS[Código del producto Vendido],STOCK[[#This Row],[Code]])</f>
        <v>0</v>
      </c>
      <c r="L1799" s="80">
        <f>STOCK[[#This Row],[Entradas]]-STOCK[[#This Row],[Salidas]]</f>
        <v>1</v>
      </c>
      <c r="M1799" s="77">
        <f>STOCK[[#This Row],[Precio Final]]*10%</f>
        <v>1.5</v>
      </c>
      <c r="N1799" s="54">
        <v>0</v>
      </c>
      <c r="O1799" s="77">
        <v>0</v>
      </c>
      <c r="P1799" s="77">
        <v>9</v>
      </c>
      <c r="Q1799" s="77">
        <v>0</v>
      </c>
      <c r="R1799" s="80">
        <v>0</v>
      </c>
      <c r="S1799" s="77">
        <v>0</v>
      </c>
      <c r="T1799" s="77">
        <f>STOCK[[#This Row],[Costo Unitario (USD)]]+STOCK[[#This Row],[Costo Envío (USD)]]+STOCK[[#This Row],[Comisión 10%]]</f>
        <v>10.5</v>
      </c>
      <c r="U1799" s="53">
        <f>STOCK[[#This Row],[Costo total]]*1.5</f>
        <v>15.75</v>
      </c>
      <c r="V1799" s="53">
        <v>15</v>
      </c>
      <c r="W1799" s="77">
        <f>STOCK[[#This Row],[Precio Final]]-STOCK[[#This Row],[Costo total]]</f>
        <v>4.5</v>
      </c>
      <c r="X1799" s="77">
        <f>STOCK[[#This Row],[Ganancia Unitaria]]*STOCK[[#This Row],[Salidas]]</f>
        <v>0</v>
      </c>
      <c r="Y1799" s="77" t="s">
        <v>3482</v>
      </c>
      <c r="Z1799" s="90"/>
      <c r="AA1799" s="54">
        <f>STOCK[[#This Row],[Costo total]]*STOCK[[#This Row],[Entradas]]</f>
        <v>10.5</v>
      </c>
      <c r="AB1799" s="54">
        <f>STOCK[[#This Row],[Stock Actual]]*STOCK[[#This Row],[Costo total]]</f>
        <v>10.5</v>
      </c>
      <c r="AC1799" s="77"/>
      <c r="AD1799" s="98"/>
    </row>
    <row r="1800" s="53" customFormat="1" ht="50" customHeight="1" spans="1:30">
      <c r="A1800" s="95" t="s">
        <v>3565</v>
      </c>
      <c r="B1800" s="85"/>
      <c r="C1800" s="53" t="s">
        <v>32</v>
      </c>
      <c r="D1800" s="86" t="s">
        <v>780</v>
      </c>
      <c r="E1800" s="97" t="s">
        <v>3566</v>
      </c>
      <c r="F1800" s="95" t="s">
        <v>62</v>
      </c>
      <c r="G1800" s="77"/>
      <c r="H1800" s="77">
        <f>STOCK[[#This Row],[Precio Final]]</f>
        <v>15</v>
      </c>
      <c r="I1800" s="82">
        <f>STOCK[[#This Row],[Precio Venta Ideal (x1.5)]]</f>
        <v>15.75</v>
      </c>
      <c r="J1800" s="95">
        <v>1</v>
      </c>
      <c r="K1800" s="80">
        <f>SUMIFS(VENTAS[Cantidad],VENTAS[Código del producto Vendido],STOCK[[#This Row],[Code]])</f>
        <v>0</v>
      </c>
      <c r="L1800" s="80">
        <f>STOCK[[#This Row],[Entradas]]-STOCK[[#This Row],[Salidas]]</f>
        <v>1</v>
      </c>
      <c r="M1800" s="77">
        <f>STOCK[[#This Row],[Precio Final]]*10%</f>
        <v>1.5</v>
      </c>
      <c r="N1800" s="54">
        <v>0</v>
      </c>
      <c r="O1800" s="77">
        <v>0</v>
      </c>
      <c r="P1800" s="77">
        <v>9</v>
      </c>
      <c r="Q1800" s="77">
        <v>0</v>
      </c>
      <c r="R1800" s="80">
        <v>0</v>
      </c>
      <c r="S1800" s="77">
        <v>0</v>
      </c>
      <c r="T1800" s="77">
        <f>STOCK[[#This Row],[Costo Unitario (USD)]]+STOCK[[#This Row],[Costo Envío (USD)]]+STOCK[[#This Row],[Comisión 10%]]</f>
        <v>10.5</v>
      </c>
      <c r="U1800" s="53">
        <f>STOCK[[#This Row],[Costo total]]*1.5</f>
        <v>15.75</v>
      </c>
      <c r="V1800" s="53">
        <v>15</v>
      </c>
      <c r="W1800" s="77">
        <f>STOCK[[#This Row],[Precio Final]]-STOCK[[#This Row],[Costo total]]</f>
        <v>4.5</v>
      </c>
      <c r="X1800" s="77">
        <f>STOCK[[#This Row],[Ganancia Unitaria]]*STOCK[[#This Row],[Salidas]]</f>
        <v>0</v>
      </c>
      <c r="Y1800" s="77" t="s">
        <v>3482</v>
      </c>
      <c r="Z1800" s="90"/>
      <c r="AA1800" s="54">
        <f>STOCK[[#This Row],[Costo total]]*STOCK[[#This Row],[Entradas]]</f>
        <v>10.5</v>
      </c>
      <c r="AB1800" s="54">
        <f>STOCK[[#This Row],[Stock Actual]]*STOCK[[#This Row],[Costo total]]</f>
        <v>10.5</v>
      </c>
      <c r="AC1800" s="77"/>
      <c r="AD1800" s="98"/>
    </row>
    <row r="1801" s="53" customFormat="1" ht="50" customHeight="1" spans="1:30">
      <c r="A1801" s="95" t="s">
        <v>3567</v>
      </c>
      <c r="B1801" s="85"/>
      <c r="C1801" s="53" t="s">
        <v>32</v>
      </c>
      <c r="D1801" s="86" t="s">
        <v>780</v>
      </c>
      <c r="E1801" s="97" t="s">
        <v>3568</v>
      </c>
      <c r="F1801" s="95" t="s">
        <v>46</v>
      </c>
      <c r="G1801" s="77"/>
      <c r="H1801" s="77">
        <f>STOCK[[#This Row],[Precio Final]]</f>
        <v>15</v>
      </c>
      <c r="I1801" s="82">
        <f>STOCK[[#This Row],[Precio Venta Ideal (x1.5)]]</f>
        <v>15.75</v>
      </c>
      <c r="J1801" s="95">
        <v>1</v>
      </c>
      <c r="K1801" s="80">
        <f>SUMIFS(VENTAS[Cantidad],VENTAS[Código del producto Vendido],STOCK[[#This Row],[Code]])</f>
        <v>0</v>
      </c>
      <c r="L1801" s="80">
        <f>STOCK[[#This Row],[Entradas]]-STOCK[[#This Row],[Salidas]]</f>
        <v>1</v>
      </c>
      <c r="M1801" s="77">
        <f>STOCK[[#This Row],[Precio Final]]*10%</f>
        <v>1.5</v>
      </c>
      <c r="N1801" s="54">
        <v>0</v>
      </c>
      <c r="O1801" s="77">
        <v>0</v>
      </c>
      <c r="P1801" s="77">
        <v>9</v>
      </c>
      <c r="Q1801" s="77">
        <v>0</v>
      </c>
      <c r="R1801" s="80">
        <v>0</v>
      </c>
      <c r="S1801" s="77">
        <v>0</v>
      </c>
      <c r="T1801" s="77">
        <f>STOCK[[#This Row],[Costo Unitario (USD)]]+STOCK[[#This Row],[Costo Envío (USD)]]+STOCK[[#This Row],[Comisión 10%]]</f>
        <v>10.5</v>
      </c>
      <c r="U1801" s="53">
        <f>STOCK[[#This Row],[Costo total]]*1.5</f>
        <v>15.75</v>
      </c>
      <c r="V1801" s="53">
        <v>15</v>
      </c>
      <c r="W1801" s="77">
        <f>STOCK[[#This Row],[Precio Final]]-STOCK[[#This Row],[Costo total]]</f>
        <v>4.5</v>
      </c>
      <c r="X1801" s="77">
        <f>STOCK[[#This Row],[Ganancia Unitaria]]*STOCK[[#This Row],[Salidas]]</f>
        <v>0</v>
      </c>
      <c r="Y1801" s="77" t="s">
        <v>3482</v>
      </c>
      <c r="Z1801" s="90"/>
      <c r="AA1801" s="54">
        <f>STOCK[[#This Row],[Costo total]]*STOCK[[#This Row],[Entradas]]</f>
        <v>10.5</v>
      </c>
      <c r="AB1801" s="54">
        <f>STOCK[[#This Row],[Stock Actual]]*STOCK[[#This Row],[Costo total]]</f>
        <v>10.5</v>
      </c>
      <c r="AC1801" s="77"/>
      <c r="AD1801" s="98"/>
    </row>
    <row r="1802" s="53" customFormat="1" ht="50" customHeight="1" spans="1:30">
      <c r="A1802" s="95" t="s">
        <v>3569</v>
      </c>
      <c r="B1802" s="85"/>
      <c r="C1802" s="53" t="s">
        <v>32</v>
      </c>
      <c r="D1802" s="86" t="s">
        <v>780</v>
      </c>
      <c r="E1802" s="97" t="s">
        <v>3570</v>
      </c>
      <c r="F1802" s="95" t="s">
        <v>716</v>
      </c>
      <c r="G1802" s="77"/>
      <c r="H1802" s="77">
        <f>STOCK[[#This Row],[Precio Final]]</f>
        <v>15</v>
      </c>
      <c r="I1802" s="82">
        <f>STOCK[[#This Row],[Precio Venta Ideal (x1.5)]]</f>
        <v>15.75</v>
      </c>
      <c r="J1802" s="95">
        <v>1</v>
      </c>
      <c r="K1802" s="80">
        <f>SUMIFS(VENTAS[Cantidad],VENTAS[Código del producto Vendido],STOCK[[#This Row],[Code]])</f>
        <v>0</v>
      </c>
      <c r="L1802" s="80">
        <f>STOCK[[#This Row],[Entradas]]-STOCK[[#This Row],[Salidas]]</f>
        <v>1</v>
      </c>
      <c r="M1802" s="77">
        <f>STOCK[[#This Row],[Precio Final]]*10%</f>
        <v>1.5</v>
      </c>
      <c r="N1802" s="54">
        <v>0</v>
      </c>
      <c r="O1802" s="77">
        <v>0</v>
      </c>
      <c r="P1802" s="77">
        <v>9</v>
      </c>
      <c r="Q1802" s="77">
        <v>0</v>
      </c>
      <c r="R1802" s="80">
        <v>0</v>
      </c>
      <c r="S1802" s="77">
        <v>0</v>
      </c>
      <c r="T1802" s="77">
        <f>STOCK[[#This Row],[Costo Unitario (USD)]]+STOCK[[#This Row],[Costo Envío (USD)]]+STOCK[[#This Row],[Comisión 10%]]</f>
        <v>10.5</v>
      </c>
      <c r="U1802" s="53">
        <f>STOCK[[#This Row],[Costo total]]*1.5</f>
        <v>15.75</v>
      </c>
      <c r="V1802" s="53">
        <v>15</v>
      </c>
      <c r="W1802" s="77">
        <f>STOCK[[#This Row],[Precio Final]]-STOCK[[#This Row],[Costo total]]</f>
        <v>4.5</v>
      </c>
      <c r="X1802" s="77">
        <f>STOCK[[#This Row],[Ganancia Unitaria]]*STOCK[[#This Row],[Salidas]]</f>
        <v>0</v>
      </c>
      <c r="Y1802" s="77" t="s">
        <v>3482</v>
      </c>
      <c r="Z1802" s="90"/>
      <c r="AA1802" s="54">
        <f>STOCK[[#This Row],[Costo total]]*STOCK[[#This Row],[Entradas]]</f>
        <v>10.5</v>
      </c>
      <c r="AB1802" s="54">
        <f>STOCK[[#This Row],[Stock Actual]]*STOCK[[#This Row],[Costo total]]</f>
        <v>10.5</v>
      </c>
      <c r="AC1802" s="77"/>
      <c r="AD1802" s="98"/>
    </row>
    <row r="1803" s="53" customFormat="1" ht="50" customHeight="1" spans="1:30">
      <c r="A1803" s="95" t="s">
        <v>3571</v>
      </c>
      <c r="B1803" s="85"/>
      <c r="C1803" s="53" t="s">
        <v>32</v>
      </c>
      <c r="D1803" s="86" t="s">
        <v>780</v>
      </c>
      <c r="E1803" s="97" t="s">
        <v>3572</v>
      </c>
      <c r="F1803" s="95" t="s">
        <v>40</v>
      </c>
      <c r="G1803" s="77"/>
      <c r="H1803" s="77">
        <f>STOCK[[#This Row],[Precio Final]]</f>
        <v>25</v>
      </c>
      <c r="I1803" s="82">
        <f>STOCK[[#This Row],[Precio Venta Ideal (x1.5)]]</f>
        <v>17.25</v>
      </c>
      <c r="J1803" s="95">
        <v>1</v>
      </c>
      <c r="K1803" s="80">
        <f>SUMIFS(VENTAS[Cantidad],VENTAS[Código del producto Vendido],STOCK[[#This Row],[Code]])</f>
        <v>0</v>
      </c>
      <c r="L1803" s="80">
        <f>STOCK[[#This Row],[Entradas]]-STOCK[[#This Row],[Salidas]]</f>
        <v>1</v>
      </c>
      <c r="M1803" s="77">
        <f>STOCK[[#This Row],[Precio Final]]*10%</f>
        <v>2.5</v>
      </c>
      <c r="N1803" s="54">
        <v>0</v>
      </c>
      <c r="O1803" s="77">
        <v>0</v>
      </c>
      <c r="P1803" s="77">
        <v>9</v>
      </c>
      <c r="Q1803" s="77">
        <v>0</v>
      </c>
      <c r="R1803" s="80">
        <v>0</v>
      </c>
      <c r="S1803" s="77">
        <v>0</v>
      </c>
      <c r="T1803" s="77">
        <f>STOCK[[#This Row],[Costo Unitario (USD)]]+STOCK[[#This Row],[Costo Envío (USD)]]+STOCK[[#This Row],[Comisión 10%]]</f>
        <v>11.5</v>
      </c>
      <c r="U1803" s="53">
        <f>STOCK[[#This Row],[Costo total]]*1.5</f>
        <v>17.25</v>
      </c>
      <c r="V1803" s="53">
        <v>25</v>
      </c>
      <c r="W1803" s="77">
        <f>STOCK[[#This Row],[Precio Final]]-STOCK[[#This Row],[Costo total]]</f>
        <v>13.5</v>
      </c>
      <c r="X1803" s="77">
        <f>STOCK[[#This Row],[Ganancia Unitaria]]*STOCK[[#This Row],[Salidas]]</f>
        <v>0</v>
      </c>
      <c r="Y1803" s="77" t="s">
        <v>3482</v>
      </c>
      <c r="Z1803" s="90"/>
      <c r="AA1803" s="54">
        <f>STOCK[[#This Row],[Costo total]]*STOCK[[#This Row],[Entradas]]</f>
        <v>11.5</v>
      </c>
      <c r="AB1803" s="54">
        <f>STOCK[[#This Row],[Stock Actual]]*STOCK[[#This Row],[Costo total]]</f>
        <v>11.5</v>
      </c>
      <c r="AC1803" s="77"/>
      <c r="AD1803" s="98"/>
    </row>
    <row r="1804" s="53" customFormat="1" ht="50" customHeight="1" spans="1:30">
      <c r="A1804" s="95" t="s">
        <v>3573</v>
      </c>
      <c r="B1804" s="85"/>
      <c r="C1804" s="53" t="s">
        <v>32</v>
      </c>
      <c r="D1804" s="86" t="s">
        <v>749</v>
      </c>
      <c r="E1804" s="97" t="s">
        <v>3574</v>
      </c>
      <c r="F1804" s="95" t="s">
        <v>281</v>
      </c>
      <c r="G1804" s="77"/>
      <c r="H1804" s="77">
        <f>STOCK[[#This Row],[Precio Final]]</f>
        <v>35</v>
      </c>
      <c r="I1804" s="82">
        <f>STOCK[[#This Row],[Precio Venta Ideal (x1.5)]]</f>
        <v>18.75</v>
      </c>
      <c r="J1804" s="95">
        <v>1</v>
      </c>
      <c r="K1804" s="80">
        <f>SUMIFS(VENTAS[Cantidad],VENTAS[Código del producto Vendido],STOCK[[#This Row],[Code]])</f>
        <v>0</v>
      </c>
      <c r="L1804" s="80">
        <f>STOCK[[#This Row],[Entradas]]-STOCK[[#This Row],[Salidas]]</f>
        <v>1</v>
      </c>
      <c r="M1804" s="77">
        <f>STOCK[[#This Row],[Precio Final]]*10%</f>
        <v>3.5</v>
      </c>
      <c r="N1804" s="54">
        <v>0</v>
      </c>
      <c r="O1804" s="77">
        <v>0</v>
      </c>
      <c r="P1804" s="77">
        <v>9</v>
      </c>
      <c r="Q1804" s="77">
        <v>0</v>
      </c>
      <c r="R1804" s="80">
        <v>0</v>
      </c>
      <c r="S1804" s="77">
        <v>0</v>
      </c>
      <c r="T1804" s="77">
        <f>STOCK[[#This Row],[Costo Unitario (USD)]]+STOCK[[#This Row],[Costo Envío (USD)]]+STOCK[[#This Row],[Comisión 10%]]</f>
        <v>12.5</v>
      </c>
      <c r="U1804" s="53">
        <f>STOCK[[#This Row],[Costo total]]*1.5</f>
        <v>18.75</v>
      </c>
      <c r="V1804" s="53">
        <v>35</v>
      </c>
      <c r="W1804" s="77">
        <f>STOCK[[#This Row],[Precio Final]]-STOCK[[#This Row],[Costo total]]</f>
        <v>22.5</v>
      </c>
      <c r="X1804" s="77">
        <f>STOCK[[#This Row],[Ganancia Unitaria]]*STOCK[[#This Row],[Salidas]]</f>
        <v>0</v>
      </c>
      <c r="Y1804" s="77" t="s">
        <v>3482</v>
      </c>
      <c r="Z1804" s="90"/>
      <c r="AA1804" s="54">
        <f>STOCK[[#This Row],[Costo total]]*STOCK[[#This Row],[Entradas]]</f>
        <v>12.5</v>
      </c>
      <c r="AB1804" s="54">
        <f>STOCK[[#This Row],[Stock Actual]]*STOCK[[#This Row],[Costo total]]</f>
        <v>12.5</v>
      </c>
      <c r="AC1804" s="77"/>
      <c r="AD1804" s="98"/>
    </row>
    <row r="1805" s="53" customFormat="1" ht="50" customHeight="1" spans="1:30">
      <c r="A1805" s="95" t="s">
        <v>3575</v>
      </c>
      <c r="B1805" s="85"/>
      <c r="C1805" s="53" t="s">
        <v>32</v>
      </c>
      <c r="D1805" s="86" t="s">
        <v>749</v>
      </c>
      <c r="E1805" s="97" t="s">
        <v>3576</v>
      </c>
      <c r="F1805" s="95" t="s">
        <v>42</v>
      </c>
      <c r="G1805" s="77"/>
      <c r="H1805" s="77">
        <f>STOCK[[#This Row],[Precio Final]]</f>
        <v>15</v>
      </c>
      <c r="I1805" s="82">
        <f>STOCK[[#This Row],[Precio Venta Ideal (x1.5)]]</f>
        <v>15.75</v>
      </c>
      <c r="J1805" s="95">
        <v>1</v>
      </c>
      <c r="K1805" s="80">
        <f>SUMIFS(VENTAS[Cantidad],VENTAS[Código del producto Vendido],STOCK[[#This Row],[Code]])</f>
        <v>0</v>
      </c>
      <c r="L1805" s="80">
        <f>STOCK[[#This Row],[Entradas]]-STOCK[[#This Row],[Salidas]]</f>
        <v>1</v>
      </c>
      <c r="M1805" s="77">
        <f>STOCK[[#This Row],[Precio Final]]*10%</f>
        <v>1.5</v>
      </c>
      <c r="N1805" s="54">
        <v>0</v>
      </c>
      <c r="O1805" s="77">
        <v>0</v>
      </c>
      <c r="P1805" s="77">
        <v>9</v>
      </c>
      <c r="Q1805" s="77">
        <v>0</v>
      </c>
      <c r="R1805" s="80">
        <v>0</v>
      </c>
      <c r="S1805" s="77">
        <v>0</v>
      </c>
      <c r="T1805" s="77">
        <f>STOCK[[#This Row],[Costo Unitario (USD)]]+STOCK[[#This Row],[Costo Envío (USD)]]+STOCK[[#This Row],[Comisión 10%]]</f>
        <v>10.5</v>
      </c>
      <c r="U1805" s="53">
        <f>STOCK[[#This Row],[Costo total]]*1.5</f>
        <v>15.75</v>
      </c>
      <c r="V1805" s="53">
        <v>15</v>
      </c>
      <c r="W1805" s="77">
        <f>STOCK[[#This Row],[Precio Final]]-STOCK[[#This Row],[Costo total]]</f>
        <v>4.5</v>
      </c>
      <c r="X1805" s="77">
        <f>STOCK[[#This Row],[Ganancia Unitaria]]*STOCK[[#This Row],[Salidas]]</f>
        <v>0</v>
      </c>
      <c r="Y1805" s="77" t="s">
        <v>3482</v>
      </c>
      <c r="Z1805" s="90"/>
      <c r="AA1805" s="54">
        <f>STOCK[[#This Row],[Costo total]]*STOCK[[#This Row],[Entradas]]</f>
        <v>10.5</v>
      </c>
      <c r="AB1805" s="54">
        <f>STOCK[[#This Row],[Stock Actual]]*STOCK[[#This Row],[Costo total]]</f>
        <v>10.5</v>
      </c>
      <c r="AC1805" s="77"/>
      <c r="AD1805" s="98"/>
    </row>
    <row r="1806" s="53" customFormat="1" ht="50" customHeight="1" spans="1:30">
      <c r="A1806" s="95" t="s">
        <v>3577</v>
      </c>
      <c r="B1806" s="85"/>
      <c r="C1806" s="53" t="s">
        <v>32</v>
      </c>
      <c r="D1806" s="86" t="s">
        <v>749</v>
      </c>
      <c r="E1806" s="97" t="s">
        <v>3578</v>
      </c>
      <c r="F1806" s="95" t="s">
        <v>49</v>
      </c>
      <c r="G1806" s="77"/>
      <c r="H1806" s="77">
        <f>STOCK[[#This Row],[Precio Final]]</f>
        <v>15</v>
      </c>
      <c r="I1806" s="82">
        <f>STOCK[[#This Row],[Precio Venta Ideal (x1.5)]]</f>
        <v>15.75</v>
      </c>
      <c r="J1806" s="95">
        <v>1</v>
      </c>
      <c r="K1806" s="80">
        <f>SUMIFS(VENTAS[Cantidad],VENTAS[Código del producto Vendido],STOCK[[#This Row],[Code]])</f>
        <v>0</v>
      </c>
      <c r="L1806" s="80">
        <f>STOCK[[#This Row],[Entradas]]-STOCK[[#This Row],[Salidas]]</f>
        <v>1</v>
      </c>
      <c r="M1806" s="77">
        <f>STOCK[[#This Row],[Precio Final]]*10%</f>
        <v>1.5</v>
      </c>
      <c r="N1806" s="54">
        <v>0</v>
      </c>
      <c r="O1806" s="77">
        <v>0</v>
      </c>
      <c r="P1806" s="77">
        <v>9</v>
      </c>
      <c r="Q1806" s="77">
        <v>0</v>
      </c>
      <c r="R1806" s="80">
        <v>0</v>
      </c>
      <c r="S1806" s="77">
        <v>0</v>
      </c>
      <c r="T1806" s="77">
        <f>STOCK[[#This Row],[Costo Unitario (USD)]]+STOCK[[#This Row],[Costo Envío (USD)]]+STOCK[[#This Row],[Comisión 10%]]</f>
        <v>10.5</v>
      </c>
      <c r="U1806" s="53">
        <f>STOCK[[#This Row],[Costo total]]*1.5</f>
        <v>15.75</v>
      </c>
      <c r="V1806" s="53">
        <v>15</v>
      </c>
      <c r="W1806" s="77">
        <f>STOCK[[#This Row],[Precio Final]]-STOCK[[#This Row],[Costo total]]</f>
        <v>4.5</v>
      </c>
      <c r="X1806" s="77">
        <f>STOCK[[#This Row],[Ganancia Unitaria]]*STOCK[[#This Row],[Salidas]]</f>
        <v>0</v>
      </c>
      <c r="Y1806" s="77" t="s">
        <v>3482</v>
      </c>
      <c r="Z1806" s="90"/>
      <c r="AA1806" s="54">
        <f>STOCK[[#This Row],[Costo total]]*STOCK[[#This Row],[Entradas]]</f>
        <v>10.5</v>
      </c>
      <c r="AB1806" s="54">
        <f>STOCK[[#This Row],[Stock Actual]]*STOCK[[#This Row],[Costo total]]</f>
        <v>10.5</v>
      </c>
      <c r="AC1806" s="77"/>
      <c r="AD1806" s="98"/>
    </row>
    <row r="1807" s="53" customFormat="1" ht="50" customHeight="1" spans="1:30">
      <c r="A1807" s="95" t="s">
        <v>3579</v>
      </c>
      <c r="B1807" s="85"/>
      <c r="C1807" s="53" t="s">
        <v>32</v>
      </c>
      <c r="D1807" s="86" t="s">
        <v>749</v>
      </c>
      <c r="E1807" s="97" t="s">
        <v>3580</v>
      </c>
      <c r="F1807" s="95" t="s">
        <v>3581</v>
      </c>
      <c r="G1807" s="77"/>
      <c r="H1807" s="77">
        <f>STOCK[[#This Row],[Precio Final]]</f>
        <v>30</v>
      </c>
      <c r="I1807" s="82">
        <f>STOCK[[#This Row],[Precio Venta Ideal (x1.5)]]</f>
        <v>18</v>
      </c>
      <c r="J1807" s="95">
        <v>1</v>
      </c>
      <c r="K1807" s="80">
        <f>SUMIFS(VENTAS[Cantidad],VENTAS[Código del producto Vendido],STOCK[[#This Row],[Code]])</f>
        <v>0</v>
      </c>
      <c r="L1807" s="80">
        <f>STOCK[[#This Row],[Entradas]]-STOCK[[#This Row],[Salidas]]</f>
        <v>1</v>
      </c>
      <c r="M1807" s="77">
        <f>STOCK[[#This Row],[Precio Final]]*10%</f>
        <v>3</v>
      </c>
      <c r="N1807" s="54">
        <v>0</v>
      </c>
      <c r="O1807" s="77">
        <v>0</v>
      </c>
      <c r="P1807" s="77">
        <v>9</v>
      </c>
      <c r="Q1807" s="77">
        <v>0</v>
      </c>
      <c r="R1807" s="80">
        <v>0</v>
      </c>
      <c r="S1807" s="77">
        <v>0</v>
      </c>
      <c r="T1807" s="77">
        <f>STOCK[[#This Row],[Costo Unitario (USD)]]+STOCK[[#This Row],[Costo Envío (USD)]]+STOCK[[#This Row],[Comisión 10%]]</f>
        <v>12</v>
      </c>
      <c r="U1807" s="53">
        <f>STOCK[[#This Row],[Costo total]]*1.5</f>
        <v>18</v>
      </c>
      <c r="V1807" s="53">
        <v>30</v>
      </c>
      <c r="W1807" s="77">
        <f>STOCK[[#This Row],[Precio Final]]-STOCK[[#This Row],[Costo total]]</f>
        <v>18</v>
      </c>
      <c r="X1807" s="77">
        <f>STOCK[[#This Row],[Ganancia Unitaria]]*STOCK[[#This Row],[Salidas]]</f>
        <v>0</v>
      </c>
      <c r="Y1807" s="77" t="s">
        <v>3482</v>
      </c>
      <c r="Z1807" s="90"/>
      <c r="AA1807" s="54">
        <f>STOCK[[#This Row],[Costo total]]*STOCK[[#This Row],[Entradas]]</f>
        <v>12</v>
      </c>
      <c r="AB1807" s="54">
        <f>STOCK[[#This Row],[Stock Actual]]*STOCK[[#This Row],[Costo total]]</f>
        <v>12</v>
      </c>
      <c r="AC1807" s="77"/>
      <c r="AD1807" s="98"/>
    </row>
    <row r="1808" s="53" customFormat="1" ht="50" customHeight="1" spans="1:30">
      <c r="A1808" s="95" t="s">
        <v>3582</v>
      </c>
      <c r="B1808" s="85"/>
      <c r="C1808" s="53" t="s">
        <v>32</v>
      </c>
      <c r="D1808" s="86" t="s">
        <v>749</v>
      </c>
      <c r="E1808" s="97" t="s">
        <v>3583</v>
      </c>
      <c r="F1808" s="95" t="s">
        <v>46</v>
      </c>
      <c r="G1808" s="77"/>
      <c r="H1808" s="77">
        <f>STOCK[[#This Row],[Precio Final]]</f>
        <v>15</v>
      </c>
      <c r="I1808" s="82">
        <f>STOCK[[#This Row],[Precio Venta Ideal (x1.5)]]</f>
        <v>15.75</v>
      </c>
      <c r="J1808" s="95">
        <v>1</v>
      </c>
      <c r="K1808" s="80">
        <f>SUMIFS(VENTAS[Cantidad],VENTAS[Código del producto Vendido],STOCK[[#This Row],[Code]])</f>
        <v>0</v>
      </c>
      <c r="L1808" s="80">
        <f>STOCK[[#This Row],[Entradas]]-STOCK[[#This Row],[Salidas]]</f>
        <v>1</v>
      </c>
      <c r="M1808" s="77">
        <f>STOCK[[#This Row],[Precio Final]]*10%</f>
        <v>1.5</v>
      </c>
      <c r="N1808" s="54">
        <v>0</v>
      </c>
      <c r="O1808" s="77">
        <v>0</v>
      </c>
      <c r="P1808" s="77">
        <v>9</v>
      </c>
      <c r="Q1808" s="77">
        <v>0</v>
      </c>
      <c r="R1808" s="80">
        <v>0</v>
      </c>
      <c r="S1808" s="77">
        <v>0</v>
      </c>
      <c r="T1808" s="77">
        <f>STOCK[[#This Row],[Costo Unitario (USD)]]+STOCK[[#This Row],[Costo Envío (USD)]]+STOCK[[#This Row],[Comisión 10%]]</f>
        <v>10.5</v>
      </c>
      <c r="U1808" s="53">
        <f>STOCK[[#This Row],[Costo total]]*1.5</f>
        <v>15.75</v>
      </c>
      <c r="V1808" s="53">
        <v>15</v>
      </c>
      <c r="W1808" s="77">
        <f>STOCK[[#This Row],[Precio Final]]-STOCK[[#This Row],[Costo total]]</f>
        <v>4.5</v>
      </c>
      <c r="X1808" s="77">
        <f>STOCK[[#This Row],[Ganancia Unitaria]]*STOCK[[#This Row],[Salidas]]</f>
        <v>0</v>
      </c>
      <c r="Y1808" s="77" t="s">
        <v>3482</v>
      </c>
      <c r="Z1808" s="90"/>
      <c r="AA1808" s="54">
        <f>STOCK[[#This Row],[Costo total]]*STOCK[[#This Row],[Entradas]]</f>
        <v>10.5</v>
      </c>
      <c r="AB1808" s="54">
        <f>STOCK[[#This Row],[Stock Actual]]*STOCK[[#This Row],[Costo total]]</f>
        <v>10.5</v>
      </c>
      <c r="AC1808" s="77"/>
      <c r="AD1808" s="98"/>
    </row>
    <row r="1809" s="53" customFormat="1" ht="50" customHeight="1" spans="1:30">
      <c r="A1809" s="95" t="s">
        <v>3584</v>
      </c>
      <c r="B1809" s="85"/>
      <c r="C1809" s="53" t="s">
        <v>32</v>
      </c>
      <c r="D1809" s="86" t="s">
        <v>749</v>
      </c>
      <c r="E1809" s="97" t="s">
        <v>3585</v>
      </c>
      <c r="F1809" s="95" t="s">
        <v>62</v>
      </c>
      <c r="G1809" s="77"/>
      <c r="H1809" s="77">
        <f>STOCK[[#This Row],[Precio Final]]</f>
        <v>20</v>
      </c>
      <c r="I1809" s="82">
        <f>STOCK[[#This Row],[Precio Venta Ideal (x1.5)]]</f>
        <v>16.5</v>
      </c>
      <c r="J1809" s="95">
        <v>1</v>
      </c>
      <c r="K1809" s="80">
        <f>SUMIFS(VENTAS[Cantidad],VENTAS[Código del producto Vendido],STOCK[[#This Row],[Code]])</f>
        <v>0</v>
      </c>
      <c r="L1809" s="80">
        <f>STOCK[[#This Row],[Entradas]]-STOCK[[#This Row],[Salidas]]</f>
        <v>1</v>
      </c>
      <c r="M1809" s="77">
        <f>STOCK[[#This Row],[Precio Final]]*10%</f>
        <v>2</v>
      </c>
      <c r="N1809" s="54">
        <v>0</v>
      </c>
      <c r="O1809" s="77">
        <v>0</v>
      </c>
      <c r="P1809" s="77">
        <v>9</v>
      </c>
      <c r="Q1809" s="77">
        <v>0</v>
      </c>
      <c r="R1809" s="80">
        <v>0</v>
      </c>
      <c r="S1809" s="77">
        <v>0</v>
      </c>
      <c r="T1809" s="77">
        <f>STOCK[[#This Row],[Costo Unitario (USD)]]+STOCK[[#This Row],[Costo Envío (USD)]]+STOCK[[#This Row],[Comisión 10%]]</f>
        <v>11</v>
      </c>
      <c r="U1809" s="53">
        <f>STOCK[[#This Row],[Costo total]]*1.5</f>
        <v>16.5</v>
      </c>
      <c r="V1809" s="53">
        <v>20</v>
      </c>
      <c r="W1809" s="77">
        <f>STOCK[[#This Row],[Precio Final]]-STOCK[[#This Row],[Costo total]]</f>
        <v>9</v>
      </c>
      <c r="X1809" s="77">
        <f>STOCK[[#This Row],[Ganancia Unitaria]]*STOCK[[#This Row],[Salidas]]</f>
        <v>0</v>
      </c>
      <c r="Y1809" s="77" t="s">
        <v>3482</v>
      </c>
      <c r="Z1809" s="90"/>
      <c r="AA1809" s="54">
        <f>STOCK[[#This Row],[Costo total]]*STOCK[[#This Row],[Entradas]]</f>
        <v>11</v>
      </c>
      <c r="AB1809" s="54">
        <f>STOCK[[#This Row],[Stock Actual]]*STOCK[[#This Row],[Costo total]]</f>
        <v>11</v>
      </c>
      <c r="AC1809" s="77"/>
      <c r="AD1809" s="98"/>
    </row>
    <row r="1810" s="53" customFormat="1" ht="50" customHeight="1" spans="1:30">
      <c r="A1810" s="95" t="s">
        <v>3586</v>
      </c>
      <c r="B1810" s="85"/>
      <c r="C1810" s="53" t="s">
        <v>32</v>
      </c>
      <c r="D1810" s="86" t="s">
        <v>749</v>
      </c>
      <c r="E1810" s="97" t="s">
        <v>3587</v>
      </c>
      <c r="F1810" s="95" t="s">
        <v>716</v>
      </c>
      <c r="G1810" s="77"/>
      <c r="H1810" s="77">
        <f>STOCK[[#This Row],[Precio Final]]</f>
        <v>20</v>
      </c>
      <c r="I1810" s="82">
        <f>STOCK[[#This Row],[Precio Venta Ideal (x1.5)]]</f>
        <v>16.5</v>
      </c>
      <c r="J1810" s="95">
        <v>1</v>
      </c>
      <c r="K1810" s="80">
        <f>SUMIFS(VENTAS[Cantidad],VENTAS[Código del producto Vendido],STOCK[[#This Row],[Code]])</f>
        <v>0</v>
      </c>
      <c r="L1810" s="80">
        <f>STOCK[[#This Row],[Entradas]]-STOCK[[#This Row],[Salidas]]</f>
        <v>1</v>
      </c>
      <c r="M1810" s="77">
        <f>STOCK[[#This Row],[Precio Final]]*10%</f>
        <v>2</v>
      </c>
      <c r="N1810" s="54">
        <v>0</v>
      </c>
      <c r="O1810" s="77">
        <v>0</v>
      </c>
      <c r="P1810" s="77">
        <v>9</v>
      </c>
      <c r="Q1810" s="77">
        <v>0</v>
      </c>
      <c r="R1810" s="80">
        <v>0</v>
      </c>
      <c r="S1810" s="77">
        <v>0</v>
      </c>
      <c r="T1810" s="77">
        <f>STOCK[[#This Row],[Costo Unitario (USD)]]+STOCK[[#This Row],[Costo Envío (USD)]]+STOCK[[#This Row],[Comisión 10%]]</f>
        <v>11</v>
      </c>
      <c r="U1810" s="53">
        <f>STOCK[[#This Row],[Costo total]]*1.5</f>
        <v>16.5</v>
      </c>
      <c r="V1810" s="53">
        <v>20</v>
      </c>
      <c r="W1810" s="77">
        <f>STOCK[[#This Row],[Precio Final]]-STOCK[[#This Row],[Costo total]]</f>
        <v>9</v>
      </c>
      <c r="X1810" s="77">
        <f>STOCK[[#This Row],[Ganancia Unitaria]]*STOCK[[#This Row],[Salidas]]</f>
        <v>0</v>
      </c>
      <c r="Y1810" s="77" t="s">
        <v>3482</v>
      </c>
      <c r="Z1810" s="90"/>
      <c r="AA1810" s="54">
        <f>STOCK[[#This Row],[Costo total]]*STOCK[[#This Row],[Entradas]]</f>
        <v>11</v>
      </c>
      <c r="AB1810" s="54">
        <f>STOCK[[#This Row],[Stock Actual]]*STOCK[[#This Row],[Costo total]]</f>
        <v>11</v>
      </c>
      <c r="AC1810" s="77"/>
      <c r="AD1810" s="98"/>
    </row>
    <row r="1811" s="53" customFormat="1" ht="50" customHeight="1" spans="1:30">
      <c r="A1811" s="95" t="s">
        <v>3588</v>
      </c>
      <c r="B1811" s="85"/>
      <c r="C1811" s="53" t="s">
        <v>32</v>
      </c>
      <c r="D1811" s="86" t="s">
        <v>780</v>
      </c>
      <c r="E1811" s="97" t="s">
        <v>3589</v>
      </c>
      <c r="F1811" s="95" t="s">
        <v>49</v>
      </c>
      <c r="G1811" s="77"/>
      <c r="H1811" s="77">
        <f>STOCK[[#This Row],[Precio Final]]</f>
        <v>18</v>
      </c>
      <c r="I1811" s="82">
        <f>STOCK[[#This Row],[Precio Venta Ideal (x1.5)]]</f>
        <v>16.2</v>
      </c>
      <c r="J1811" s="95">
        <v>1</v>
      </c>
      <c r="K1811" s="80">
        <f>SUMIFS(VENTAS[Cantidad],VENTAS[Código del producto Vendido],STOCK[[#This Row],[Code]])</f>
        <v>0</v>
      </c>
      <c r="L1811" s="80">
        <f>STOCK[[#This Row],[Entradas]]-STOCK[[#This Row],[Salidas]]</f>
        <v>1</v>
      </c>
      <c r="M1811" s="77">
        <f>STOCK[[#This Row],[Precio Final]]*10%</f>
        <v>1.8</v>
      </c>
      <c r="N1811" s="54">
        <v>0</v>
      </c>
      <c r="O1811" s="77">
        <v>0</v>
      </c>
      <c r="P1811" s="77">
        <v>9</v>
      </c>
      <c r="Q1811" s="77">
        <v>0</v>
      </c>
      <c r="R1811" s="80">
        <v>0</v>
      </c>
      <c r="S1811" s="77">
        <v>0</v>
      </c>
      <c r="T1811" s="77">
        <f>STOCK[[#This Row],[Costo Unitario (USD)]]+STOCK[[#This Row],[Costo Envío (USD)]]+STOCK[[#This Row],[Comisión 10%]]</f>
        <v>10.8</v>
      </c>
      <c r="U1811" s="53">
        <f>STOCK[[#This Row],[Costo total]]*1.5</f>
        <v>16.2</v>
      </c>
      <c r="V1811" s="53">
        <v>18</v>
      </c>
      <c r="W1811" s="77">
        <f>STOCK[[#This Row],[Precio Final]]-STOCK[[#This Row],[Costo total]]</f>
        <v>7.2</v>
      </c>
      <c r="X1811" s="77">
        <f>STOCK[[#This Row],[Ganancia Unitaria]]*STOCK[[#This Row],[Salidas]]</f>
        <v>0</v>
      </c>
      <c r="Y1811" s="77" t="s">
        <v>3482</v>
      </c>
      <c r="Z1811" s="90"/>
      <c r="AA1811" s="54">
        <f>STOCK[[#This Row],[Costo total]]*STOCK[[#This Row],[Entradas]]</f>
        <v>10.8</v>
      </c>
      <c r="AB1811" s="54">
        <f>STOCK[[#This Row],[Stock Actual]]*STOCK[[#This Row],[Costo total]]</f>
        <v>10.8</v>
      </c>
      <c r="AC1811" s="77"/>
      <c r="AD1811" s="98"/>
    </row>
    <row r="1812" s="53" customFormat="1" ht="50" customHeight="1" spans="1:30">
      <c r="A1812" s="95" t="s">
        <v>3590</v>
      </c>
      <c r="B1812" s="85"/>
      <c r="C1812" s="53" t="s">
        <v>32</v>
      </c>
      <c r="D1812" s="86" t="s">
        <v>749</v>
      </c>
      <c r="E1812" s="97" t="s">
        <v>3591</v>
      </c>
      <c r="F1812" s="95" t="s">
        <v>62</v>
      </c>
      <c r="G1812" s="77"/>
      <c r="H1812" s="77">
        <f>STOCK[[#This Row],[Precio Final]]</f>
        <v>22</v>
      </c>
      <c r="I1812" s="82">
        <f>STOCK[[#This Row],[Precio Venta Ideal (x1.5)]]</f>
        <v>16.8</v>
      </c>
      <c r="J1812" s="95">
        <v>1</v>
      </c>
      <c r="K1812" s="80">
        <f>SUMIFS(VENTAS[Cantidad],VENTAS[Código del producto Vendido],STOCK[[#This Row],[Code]])</f>
        <v>0</v>
      </c>
      <c r="L1812" s="80">
        <f>STOCK[[#This Row],[Entradas]]-STOCK[[#This Row],[Salidas]]</f>
        <v>1</v>
      </c>
      <c r="M1812" s="77">
        <f>STOCK[[#This Row],[Precio Final]]*10%</f>
        <v>2.2</v>
      </c>
      <c r="N1812" s="54">
        <v>0</v>
      </c>
      <c r="O1812" s="77">
        <v>0</v>
      </c>
      <c r="P1812" s="77">
        <v>9</v>
      </c>
      <c r="Q1812" s="77">
        <v>0</v>
      </c>
      <c r="R1812" s="80">
        <v>0</v>
      </c>
      <c r="S1812" s="77">
        <v>0</v>
      </c>
      <c r="T1812" s="77">
        <f>STOCK[[#This Row],[Costo Unitario (USD)]]+STOCK[[#This Row],[Costo Envío (USD)]]+STOCK[[#This Row],[Comisión 10%]]</f>
        <v>11.2</v>
      </c>
      <c r="U1812" s="53">
        <f>STOCK[[#This Row],[Costo total]]*1.5</f>
        <v>16.8</v>
      </c>
      <c r="V1812" s="53">
        <v>22</v>
      </c>
      <c r="W1812" s="77">
        <f>STOCK[[#This Row],[Precio Final]]-STOCK[[#This Row],[Costo total]]</f>
        <v>10.8</v>
      </c>
      <c r="X1812" s="77">
        <f>STOCK[[#This Row],[Ganancia Unitaria]]*STOCK[[#This Row],[Salidas]]</f>
        <v>0</v>
      </c>
      <c r="Y1812" s="77" t="s">
        <v>3482</v>
      </c>
      <c r="Z1812" s="90"/>
      <c r="AA1812" s="54">
        <f>STOCK[[#This Row],[Costo total]]*STOCK[[#This Row],[Entradas]]</f>
        <v>11.2</v>
      </c>
      <c r="AB1812" s="54">
        <f>STOCK[[#This Row],[Stock Actual]]*STOCK[[#This Row],[Costo total]]</f>
        <v>11.2</v>
      </c>
      <c r="AC1812" s="77"/>
      <c r="AD1812" s="98"/>
    </row>
    <row r="1813" s="53" customFormat="1" ht="50" customHeight="1" spans="1:30">
      <c r="A1813" s="95" t="s">
        <v>3592</v>
      </c>
      <c r="B1813" s="85"/>
      <c r="C1813" s="53" t="s">
        <v>32</v>
      </c>
      <c r="D1813" s="86" t="s">
        <v>749</v>
      </c>
      <c r="E1813" s="97" t="s">
        <v>3593</v>
      </c>
      <c r="F1813" s="95" t="s">
        <v>3594</v>
      </c>
      <c r="G1813" s="77"/>
      <c r="H1813" s="77">
        <f>STOCK[[#This Row],[Precio Final]]</f>
        <v>35</v>
      </c>
      <c r="I1813" s="82">
        <f>STOCK[[#This Row],[Precio Venta Ideal (x1.5)]]</f>
        <v>18.75</v>
      </c>
      <c r="J1813" s="95">
        <v>1</v>
      </c>
      <c r="K1813" s="80">
        <f>SUMIFS(VENTAS[Cantidad],VENTAS[Código del producto Vendido],STOCK[[#This Row],[Code]])</f>
        <v>0</v>
      </c>
      <c r="L1813" s="80">
        <f>STOCK[[#This Row],[Entradas]]-STOCK[[#This Row],[Salidas]]</f>
        <v>1</v>
      </c>
      <c r="M1813" s="77">
        <f>STOCK[[#This Row],[Precio Final]]*10%</f>
        <v>3.5</v>
      </c>
      <c r="N1813" s="54">
        <v>0</v>
      </c>
      <c r="O1813" s="77">
        <v>0</v>
      </c>
      <c r="P1813" s="77">
        <v>9</v>
      </c>
      <c r="Q1813" s="77">
        <v>0</v>
      </c>
      <c r="R1813" s="80">
        <v>0</v>
      </c>
      <c r="S1813" s="77">
        <v>0</v>
      </c>
      <c r="T1813" s="77">
        <f>STOCK[[#This Row],[Costo Unitario (USD)]]+STOCK[[#This Row],[Costo Envío (USD)]]+STOCK[[#This Row],[Comisión 10%]]</f>
        <v>12.5</v>
      </c>
      <c r="U1813" s="53">
        <f>STOCK[[#This Row],[Costo total]]*1.5</f>
        <v>18.75</v>
      </c>
      <c r="V1813" s="53">
        <v>35</v>
      </c>
      <c r="W1813" s="77">
        <f>STOCK[[#This Row],[Precio Final]]-STOCK[[#This Row],[Costo total]]</f>
        <v>22.5</v>
      </c>
      <c r="X1813" s="77">
        <f>STOCK[[#This Row],[Ganancia Unitaria]]*STOCK[[#This Row],[Salidas]]</f>
        <v>0</v>
      </c>
      <c r="Y1813" s="77" t="s">
        <v>3482</v>
      </c>
      <c r="Z1813" s="90"/>
      <c r="AA1813" s="54">
        <f>STOCK[[#This Row],[Costo total]]*STOCK[[#This Row],[Entradas]]</f>
        <v>12.5</v>
      </c>
      <c r="AB1813" s="54">
        <f>STOCK[[#This Row],[Stock Actual]]*STOCK[[#This Row],[Costo total]]</f>
        <v>12.5</v>
      </c>
      <c r="AC1813" s="77"/>
      <c r="AD1813" s="98"/>
    </row>
    <row r="1814" s="53" customFormat="1" ht="50" customHeight="1" spans="1:30">
      <c r="A1814" s="95" t="s">
        <v>3595</v>
      </c>
      <c r="B1814" s="85"/>
      <c r="C1814" s="53" t="s">
        <v>32</v>
      </c>
      <c r="D1814" s="86" t="s">
        <v>749</v>
      </c>
      <c r="E1814" s="97" t="s">
        <v>3596</v>
      </c>
      <c r="F1814" s="95" t="s">
        <v>49</v>
      </c>
      <c r="G1814" s="77"/>
      <c r="H1814" s="77">
        <f>STOCK[[#This Row],[Precio Final]]</f>
        <v>35</v>
      </c>
      <c r="I1814" s="82">
        <f>STOCK[[#This Row],[Precio Venta Ideal (x1.5)]]</f>
        <v>18.75</v>
      </c>
      <c r="J1814" s="95">
        <v>1</v>
      </c>
      <c r="K1814" s="80">
        <f>SUMIFS(VENTAS[Cantidad],VENTAS[Código del producto Vendido],STOCK[[#This Row],[Code]])</f>
        <v>0</v>
      </c>
      <c r="L1814" s="80">
        <f>STOCK[[#This Row],[Entradas]]-STOCK[[#This Row],[Salidas]]</f>
        <v>1</v>
      </c>
      <c r="M1814" s="77">
        <f>STOCK[[#This Row],[Precio Final]]*10%</f>
        <v>3.5</v>
      </c>
      <c r="N1814" s="54">
        <v>0</v>
      </c>
      <c r="O1814" s="77">
        <v>0</v>
      </c>
      <c r="P1814" s="77">
        <v>9</v>
      </c>
      <c r="Q1814" s="77">
        <v>0</v>
      </c>
      <c r="R1814" s="80">
        <v>0</v>
      </c>
      <c r="S1814" s="77">
        <v>0</v>
      </c>
      <c r="T1814" s="77">
        <f>STOCK[[#This Row],[Costo Unitario (USD)]]+STOCK[[#This Row],[Costo Envío (USD)]]+STOCK[[#This Row],[Comisión 10%]]</f>
        <v>12.5</v>
      </c>
      <c r="U1814" s="53">
        <f>STOCK[[#This Row],[Costo total]]*1.5</f>
        <v>18.75</v>
      </c>
      <c r="V1814" s="53">
        <v>35</v>
      </c>
      <c r="W1814" s="77">
        <f>STOCK[[#This Row],[Precio Final]]-STOCK[[#This Row],[Costo total]]</f>
        <v>22.5</v>
      </c>
      <c r="X1814" s="77">
        <f>STOCK[[#This Row],[Ganancia Unitaria]]*STOCK[[#This Row],[Salidas]]</f>
        <v>0</v>
      </c>
      <c r="Y1814" s="77" t="s">
        <v>3482</v>
      </c>
      <c r="Z1814" s="90"/>
      <c r="AA1814" s="54">
        <f>STOCK[[#This Row],[Costo total]]*STOCK[[#This Row],[Entradas]]</f>
        <v>12.5</v>
      </c>
      <c r="AB1814" s="54">
        <f>STOCK[[#This Row],[Stock Actual]]*STOCK[[#This Row],[Costo total]]</f>
        <v>12.5</v>
      </c>
      <c r="AC1814" s="77"/>
      <c r="AD1814" s="98"/>
    </row>
    <row r="1815" s="53" customFormat="1" ht="50" customHeight="1" spans="1:30">
      <c r="A1815" s="95" t="s">
        <v>3597</v>
      </c>
      <c r="B1815" s="85"/>
      <c r="C1815" s="53" t="s">
        <v>32</v>
      </c>
      <c r="D1815" s="86"/>
      <c r="E1815" s="97" t="s">
        <v>3598</v>
      </c>
      <c r="F1815" s="95" t="s">
        <v>46</v>
      </c>
      <c r="G1815" s="77"/>
      <c r="H1815" s="77">
        <f>STOCK[[#This Row],[Precio Final]]</f>
        <v>10</v>
      </c>
      <c r="I1815" s="82">
        <f>STOCK[[#This Row],[Precio Venta Ideal (x1.5)]]</f>
        <v>15</v>
      </c>
      <c r="J1815" s="95">
        <v>1</v>
      </c>
      <c r="K1815" s="80">
        <v>1</v>
      </c>
      <c r="L1815" s="80">
        <f>STOCK[[#This Row],[Entradas]]-STOCK[[#This Row],[Salidas]]</f>
        <v>0</v>
      </c>
      <c r="M1815" s="77">
        <f>STOCK[[#This Row],[Precio Final]]*10%</f>
        <v>1</v>
      </c>
      <c r="N1815" s="54">
        <v>0</v>
      </c>
      <c r="O1815" s="77">
        <v>0</v>
      </c>
      <c r="P1815" s="77">
        <v>9</v>
      </c>
      <c r="Q1815" s="77">
        <v>0</v>
      </c>
      <c r="R1815" s="80">
        <v>0</v>
      </c>
      <c r="S1815" s="77">
        <v>0</v>
      </c>
      <c r="T1815" s="77">
        <f>STOCK[[#This Row],[Costo Unitario (USD)]]+STOCK[[#This Row],[Costo Envío (USD)]]+STOCK[[#This Row],[Comisión 10%]]</f>
        <v>10</v>
      </c>
      <c r="U1815" s="53">
        <f>STOCK[[#This Row],[Costo total]]*1.5</f>
        <v>15</v>
      </c>
      <c r="V1815" s="53">
        <v>10</v>
      </c>
      <c r="W1815" s="77">
        <f>STOCK[[#This Row],[Precio Final]]-STOCK[[#This Row],[Costo total]]</f>
        <v>0</v>
      </c>
      <c r="X1815" s="77">
        <f>STOCK[[#This Row],[Ganancia Unitaria]]*STOCK[[#This Row],[Salidas]]</f>
        <v>0</v>
      </c>
      <c r="Y1815" s="77" t="s">
        <v>3482</v>
      </c>
      <c r="Z1815" s="90"/>
      <c r="AA1815" s="54">
        <f>STOCK[[#This Row],[Costo total]]*STOCK[[#This Row],[Entradas]]</f>
        <v>10</v>
      </c>
      <c r="AB1815" s="54">
        <f>STOCK[[#This Row],[Stock Actual]]*STOCK[[#This Row],[Costo total]]</f>
        <v>0</v>
      </c>
      <c r="AC1815" s="77"/>
      <c r="AD1815" s="98"/>
    </row>
    <row r="1816" s="53" customFormat="1" ht="50" customHeight="1" spans="1:30">
      <c r="A1816" s="95" t="s">
        <v>3599</v>
      </c>
      <c r="B1816" s="85"/>
      <c r="C1816" s="53" t="s">
        <v>32</v>
      </c>
      <c r="D1816" s="86" t="s">
        <v>749</v>
      </c>
      <c r="E1816" s="97" t="s">
        <v>3600</v>
      </c>
      <c r="F1816" s="95" t="s">
        <v>62</v>
      </c>
      <c r="G1816" s="77"/>
      <c r="H1816" s="77">
        <f>STOCK[[#This Row],[Precio Final]]</f>
        <v>20</v>
      </c>
      <c r="I1816" s="82">
        <f>STOCK[[#This Row],[Precio Venta Ideal (x1.5)]]</f>
        <v>16.5</v>
      </c>
      <c r="J1816" s="95">
        <v>2</v>
      </c>
      <c r="K1816" s="80">
        <f>SUMIFS(VENTAS[Cantidad],VENTAS[Código del producto Vendido],STOCK[[#This Row],[Code]])</f>
        <v>0</v>
      </c>
      <c r="L1816" s="80">
        <f>STOCK[[#This Row],[Entradas]]-STOCK[[#This Row],[Salidas]]</f>
        <v>2</v>
      </c>
      <c r="M1816" s="77">
        <f>STOCK[[#This Row],[Precio Final]]*10%</f>
        <v>2</v>
      </c>
      <c r="N1816" s="54">
        <v>0</v>
      </c>
      <c r="O1816" s="77">
        <v>0</v>
      </c>
      <c r="P1816" s="77">
        <v>9</v>
      </c>
      <c r="Q1816" s="77">
        <v>0</v>
      </c>
      <c r="R1816" s="80">
        <v>0</v>
      </c>
      <c r="S1816" s="77">
        <v>0</v>
      </c>
      <c r="T1816" s="77">
        <f>STOCK[[#This Row],[Costo Unitario (USD)]]+STOCK[[#This Row],[Costo Envío (USD)]]+STOCK[[#This Row],[Comisión 10%]]</f>
        <v>11</v>
      </c>
      <c r="U1816" s="53">
        <f>STOCK[[#This Row],[Costo total]]*1.5</f>
        <v>16.5</v>
      </c>
      <c r="V1816" s="53">
        <v>20</v>
      </c>
      <c r="W1816" s="77">
        <f>STOCK[[#This Row],[Precio Final]]-STOCK[[#This Row],[Costo total]]</f>
        <v>9</v>
      </c>
      <c r="X1816" s="77">
        <f>STOCK[[#This Row],[Ganancia Unitaria]]*STOCK[[#This Row],[Salidas]]</f>
        <v>0</v>
      </c>
      <c r="Y1816" s="77" t="s">
        <v>3482</v>
      </c>
      <c r="Z1816" s="90"/>
      <c r="AA1816" s="54">
        <f>STOCK[[#This Row],[Costo total]]*STOCK[[#This Row],[Entradas]]</f>
        <v>22</v>
      </c>
      <c r="AB1816" s="54">
        <f>STOCK[[#This Row],[Stock Actual]]*STOCK[[#This Row],[Costo total]]</f>
        <v>22</v>
      </c>
      <c r="AC1816" s="77"/>
      <c r="AD1816" s="98"/>
    </row>
    <row r="1817" s="53" customFormat="1" ht="50" customHeight="1" spans="1:30">
      <c r="A1817" s="95" t="s">
        <v>3601</v>
      </c>
      <c r="B1817" s="85"/>
      <c r="C1817" s="53" t="s">
        <v>32</v>
      </c>
      <c r="D1817" s="86" t="s">
        <v>749</v>
      </c>
      <c r="E1817" s="97" t="s">
        <v>3602</v>
      </c>
      <c r="F1817" s="95" t="s">
        <v>40</v>
      </c>
      <c r="G1817" s="77"/>
      <c r="H1817" s="77">
        <f>STOCK[[#This Row],[Precio Final]]</f>
        <v>25</v>
      </c>
      <c r="I1817" s="82">
        <f>STOCK[[#This Row],[Precio Venta Ideal (x1.5)]]</f>
        <v>17.25</v>
      </c>
      <c r="J1817" s="95">
        <v>1</v>
      </c>
      <c r="K1817" s="80">
        <f>SUMIFS(VENTAS[Cantidad],VENTAS[Código del producto Vendido],STOCK[[#This Row],[Code]])</f>
        <v>0</v>
      </c>
      <c r="L1817" s="80">
        <f>STOCK[[#This Row],[Entradas]]-STOCK[[#This Row],[Salidas]]</f>
        <v>1</v>
      </c>
      <c r="M1817" s="77">
        <f>STOCK[[#This Row],[Precio Final]]*10%</f>
        <v>2.5</v>
      </c>
      <c r="N1817" s="54">
        <v>0</v>
      </c>
      <c r="O1817" s="77">
        <v>0</v>
      </c>
      <c r="P1817" s="77">
        <v>9</v>
      </c>
      <c r="Q1817" s="77">
        <v>0</v>
      </c>
      <c r="R1817" s="80">
        <v>0</v>
      </c>
      <c r="S1817" s="77">
        <v>0</v>
      </c>
      <c r="T1817" s="77">
        <f>STOCK[[#This Row],[Costo Unitario (USD)]]+STOCK[[#This Row],[Costo Envío (USD)]]+STOCK[[#This Row],[Comisión 10%]]</f>
        <v>11.5</v>
      </c>
      <c r="U1817" s="53">
        <f>STOCK[[#This Row],[Costo total]]*1.5</f>
        <v>17.25</v>
      </c>
      <c r="V1817" s="53">
        <v>25</v>
      </c>
      <c r="W1817" s="77">
        <f>STOCK[[#This Row],[Precio Final]]-STOCK[[#This Row],[Costo total]]</f>
        <v>13.5</v>
      </c>
      <c r="X1817" s="77">
        <f>STOCK[[#This Row],[Ganancia Unitaria]]*STOCK[[#This Row],[Salidas]]</f>
        <v>0</v>
      </c>
      <c r="Y1817" s="77" t="s">
        <v>3482</v>
      </c>
      <c r="Z1817" s="90"/>
      <c r="AA1817" s="54">
        <f>STOCK[[#This Row],[Costo total]]*STOCK[[#This Row],[Entradas]]</f>
        <v>11.5</v>
      </c>
      <c r="AB1817" s="54">
        <f>STOCK[[#This Row],[Stock Actual]]*STOCK[[#This Row],[Costo total]]</f>
        <v>11.5</v>
      </c>
      <c r="AC1817" s="77"/>
      <c r="AD1817" s="98"/>
    </row>
    <row r="1818" s="53" customFormat="1" ht="50" customHeight="1" spans="1:30">
      <c r="A1818" s="95" t="s">
        <v>3603</v>
      </c>
      <c r="B1818" s="85"/>
      <c r="C1818" s="53" t="s">
        <v>32</v>
      </c>
      <c r="D1818" s="86" t="s">
        <v>780</v>
      </c>
      <c r="E1818" s="97" t="s">
        <v>3604</v>
      </c>
      <c r="F1818" s="95" t="s">
        <v>49</v>
      </c>
      <c r="G1818" s="77"/>
      <c r="H1818" s="77">
        <f>STOCK[[#This Row],[Precio Final]]</f>
        <v>22</v>
      </c>
      <c r="I1818" s="82">
        <f>STOCK[[#This Row],[Precio Venta Ideal (x1.5)]]</f>
        <v>16.8</v>
      </c>
      <c r="J1818" s="95">
        <v>1</v>
      </c>
      <c r="K1818" s="80">
        <f>SUMIFS(VENTAS[Cantidad],VENTAS[Código del producto Vendido],STOCK[[#This Row],[Code]])</f>
        <v>0</v>
      </c>
      <c r="L1818" s="80">
        <f>STOCK[[#This Row],[Entradas]]-STOCK[[#This Row],[Salidas]]</f>
        <v>1</v>
      </c>
      <c r="M1818" s="77">
        <f>STOCK[[#This Row],[Precio Final]]*10%</f>
        <v>2.2</v>
      </c>
      <c r="N1818" s="54">
        <v>0</v>
      </c>
      <c r="O1818" s="77">
        <v>0</v>
      </c>
      <c r="P1818" s="77">
        <v>9</v>
      </c>
      <c r="Q1818" s="77">
        <v>0</v>
      </c>
      <c r="R1818" s="80">
        <v>0</v>
      </c>
      <c r="S1818" s="77">
        <v>0</v>
      </c>
      <c r="T1818" s="77">
        <f>STOCK[[#This Row],[Costo Unitario (USD)]]+STOCK[[#This Row],[Costo Envío (USD)]]+STOCK[[#This Row],[Comisión 10%]]</f>
        <v>11.2</v>
      </c>
      <c r="U1818" s="53">
        <f>STOCK[[#This Row],[Costo total]]*1.5</f>
        <v>16.8</v>
      </c>
      <c r="V1818" s="53">
        <v>22</v>
      </c>
      <c r="W1818" s="77">
        <f>STOCK[[#This Row],[Precio Final]]-STOCK[[#This Row],[Costo total]]</f>
        <v>10.8</v>
      </c>
      <c r="X1818" s="77">
        <f>STOCK[[#This Row],[Ganancia Unitaria]]*STOCK[[#This Row],[Salidas]]</f>
        <v>0</v>
      </c>
      <c r="Y1818" s="77" t="s">
        <v>3482</v>
      </c>
      <c r="Z1818" s="90"/>
      <c r="AA1818" s="54">
        <f>STOCK[[#This Row],[Costo total]]*STOCK[[#This Row],[Entradas]]</f>
        <v>11.2</v>
      </c>
      <c r="AB1818" s="54">
        <f>STOCK[[#This Row],[Stock Actual]]*STOCK[[#This Row],[Costo total]]</f>
        <v>11.2</v>
      </c>
      <c r="AC1818" s="77"/>
      <c r="AD1818" s="98"/>
    </row>
    <row r="1819" s="53" customFormat="1" ht="50" customHeight="1" spans="1:30">
      <c r="A1819" s="95" t="s">
        <v>3605</v>
      </c>
      <c r="B1819" s="85"/>
      <c r="C1819" s="53" t="s">
        <v>32</v>
      </c>
      <c r="D1819" s="86" t="s">
        <v>780</v>
      </c>
      <c r="E1819" s="97" t="s">
        <v>3604</v>
      </c>
      <c r="F1819" s="95" t="s">
        <v>1408</v>
      </c>
      <c r="G1819" s="77"/>
      <c r="H1819" s="77">
        <f>STOCK[[#This Row],[Precio Final]]</f>
        <v>22</v>
      </c>
      <c r="I1819" s="82">
        <f>STOCK[[#This Row],[Precio Venta Ideal (x1.5)]]</f>
        <v>16.8</v>
      </c>
      <c r="J1819" s="95">
        <v>1</v>
      </c>
      <c r="K1819" s="80">
        <f>SUMIFS(VENTAS[Cantidad],VENTAS[Código del producto Vendido],STOCK[[#This Row],[Code]])</f>
        <v>0</v>
      </c>
      <c r="L1819" s="80">
        <f>STOCK[[#This Row],[Entradas]]-STOCK[[#This Row],[Salidas]]</f>
        <v>1</v>
      </c>
      <c r="M1819" s="77">
        <f>STOCK[[#This Row],[Precio Final]]*10%</f>
        <v>2.2</v>
      </c>
      <c r="N1819" s="54">
        <v>0</v>
      </c>
      <c r="O1819" s="77">
        <v>0</v>
      </c>
      <c r="P1819" s="77">
        <v>9</v>
      </c>
      <c r="Q1819" s="77">
        <v>0</v>
      </c>
      <c r="R1819" s="80">
        <v>0</v>
      </c>
      <c r="S1819" s="77">
        <v>0</v>
      </c>
      <c r="T1819" s="77">
        <f>STOCK[[#This Row],[Costo Unitario (USD)]]+STOCK[[#This Row],[Costo Envío (USD)]]+STOCK[[#This Row],[Comisión 10%]]</f>
        <v>11.2</v>
      </c>
      <c r="U1819" s="53">
        <f>STOCK[[#This Row],[Costo total]]*1.5</f>
        <v>16.8</v>
      </c>
      <c r="V1819" s="53">
        <v>22</v>
      </c>
      <c r="W1819" s="77">
        <f>STOCK[[#This Row],[Precio Final]]-STOCK[[#This Row],[Costo total]]</f>
        <v>10.8</v>
      </c>
      <c r="X1819" s="77">
        <f>STOCK[[#This Row],[Ganancia Unitaria]]*STOCK[[#This Row],[Salidas]]</f>
        <v>0</v>
      </c>
      <c r="Y1819" s="77" t="s">
        <v>3482</v>
      </c>
      <c r="Z1819" s="90"/>
      <c r="AA1819" s="54">
        <f>STOCK[[#This Row],[Costo total]]*STOCK[[#This Row],[Entradas]]</f>
        <v>11.2</v>
      </c>
      <c r="AB1819" s="54">
        <f>STOCK[[#This Row],[Stock Actual]]*STOCK[[#This Row],[Costo total]]</f>
        <v>11.2</v>
      </c>
      <c r="AC1819" s="77"/>
      <c r="AD1819" s="98"/>
    </row>
    <row r="1820" s="53" customFormat="1" ht="50" customHeight="1" spans="1:30">
      <c r="A1820" s="95" t="s">
        <v>3606</v>
      </c>
      <c r="B1820" s="85"/>
      <c r="C1820" s="53" t="s">
        <v>32</v>
      </c>
      <c r="D1820" s="86" t="s">
        <v>780</v>
      </c>
      <c r="E1820" s="97" t="s">
        <v>3604</v>
      </c>
      <c r="F1820" s="95" t="s">
        <v>819</v>
      </c>
      <c r="G1820" s="77"/>
      <c r="H1820" s="77">
        <f>STOCK[[#This Row],[Precio Final]]</f>
        <v>22</v>
      </c>
      <c r="I1820" s="82">
        <f>STOCK[[#This Row],[Precio Venta Ideal (x1.5)]]</f>
        <v>16.8</v>
      </c>
      <c r="J1820" s="95">
        <v>1</v>
      </c>
      <c r="K1820" s="80">
        <f>SUMIFS(VENTAS[Cantidad],VENTAS[Código del producto Vendido],STOCK[[#This Row],[Code]])</f>
        <v>0</v>
      </c>
      <c r="L1820" s="80">
        <f>STOCK[[#This Row],[Entradas]]-STOCK[[#This Row],[Salidas]]</f>
        <v>1</v>
      </c>
      <c r="M1820" s="77">
        <f>STOCK[[#This Row],[Precio Final]]*10%</f>
        <v>2.2</v>
      </c>
      <c r="N1820" s="54">
        <v>0</v>
      </c>
      <c r="O1820" s="77">
        <v>0</v>
      </c>
      <c r="P1820" s="77">
        <v>9</v>
      </c>
      <c r="Q1820" s="77">
        <v>0</v>
      </c>
      <c r="R1820" s="80">
        <v>0</v>
      </c>
      <c r="S1820" s="77">
        <v>0</v>
      </c>
      <c r="T1820" s="77">
        <f>STOCK[[#This Row],[Costo Unitario (USD)]]+STOCK[[#This Row],[Costo Envío (USD)]]+STOCK[[#This Row],[Comisión 10%]]</f>
        <v>11.2</v>
      </c>
      <c r="U1820" s="53">
        <f>STOCK[[#This Row],[Costo total]]*1.5</f>
        <v>16.8</v>
      </c>
      <c r="V1820" s="53">
        <v>22</v>
      </c>
      <c r="W1820" s="77">
        <f>STOCK[[#This Row],[Precio Final]]-STOCK[[#This Row],[Costo total]]</f>
        <v>10.8</v>
      </c>
      <c r="X1820" s="77">
        <f>STOCK[[#This Row],[Ganancia Unitaria]]*STOCK[[#This Row],[Salidas]]</f>
        <v>0</v>
      </c>
      <c r="Y1820" s="77" t="s">
        <v>3482</v>
      </c>
      <c r="Z1820" s="90"/>
      <c r="AA1820" s="54">
        <f>STOCK[[#This Row],[Costo total]]*STOCK[[#This Row],[Entradas]]</f>
        <v>11.2</v>
      </c>
      <c r="AB1820" s="54">
        <f>STOCK[[#This Row],[Stock Actual]]*STOCK[[#This Row],[Costo total]]</f>
        <v>11.2</v>
      </c>
      <c r="AC1820" s="77"/>
      <c r="AD1820" s="98"/>
    </row>
    <row r="1821" s="53" customFormat="1" ht="50" customHeight="1" spans="1:30">
      <c r="A1821" s="95" t="s">
        <v>3607</v>
      </c>
      <c r="B1821" s="85"/>
      <c r="C1821" s="53" t="s">
        <v>32</v>
      </c>
      <c r="D1821" s="86" t="s">
        <v>749</v>
      </c>
      <c r="E1821" s="97" t="s">
        <v>3608</v>
      </c>
      <c r="F1821" s="95" t="s">
        <v>716</v>
      </c>
      <c r="G1821" s="77"/>
      <c r="H1821" s="77">
        <f>STOCK[[#This Row],[Precio Final]]</f>
        <v>30</v>
      </c>
      <c r="I1821" s="82">
        <f>STOCK[[#This Row],[Precio Venta Ideal (x1.5)]]</f>
        <v>18</v>
      </c>
      <c r="J1821" s="95">
        <v>3</v>
      </c>
      <c r="K1821" s="80">
        <f>SUMIFS(VENTAS[Cantidad],VENTAS[Código del producto Vendido],STOCK[[#This Row],[Code]])</f>
        <v>0</v>
      </c>
      <c r="L1821" s="80">
        <f>STOCK[[#This Row],[Entradas]]-STOCK[[#This Row],[Salidas]]</f>
        <v>3</v>
      </c>
      <c r="M1821" s="77">
        <f>STOCK[[#This Row],[Precio Final]]*10%</f>
        <v>3</v>
      </c>
      <c r="N1821" s="54">
        <v>0</v>
      </c>
      <c r="O1821" s="77">
        <v>0</v>
      </c>
      <c r="P1821" s="77">
        <v>9</v>
      </c>
      <c r="Q1821" s="77">
        <v>0</v>
      </c>
      <c r="R1821" s="80">
        <v>0</v>
      </c>
      <c r="S1821" s="77">
        <v>0</v>
      </c>
      <c r="T1821" s="77">
        <f>STOCK[[#This Row],[Costo Unitario (USD)]]+STOCK[[#This Row],[Costo Envío (USD)]]+STOCK[[#This Row],[Comisión 10%]]</f>
        <v>12</v>
      </c>
      <c r="U1821" s="53">
        <f>STOCK[[#This Row],[Costo total]]*1.5</f>
        <v>18</v>
      </c>
      <c r="V1821" s="53">
        <v>30</v>
      </c>
      <c r="W1821" s="77">
        <f>STOCK[[#This Row],[Precio Final]]-STOCK[[#This Row],[Costo total]]</f>
        <v>18</v>
      </c>
      <c r="X1821" s="77">
        <f>STOCK[[#This Row],[Ganancia Unitaria]]*STOCK[[#This Row],[Salidas]]</f>
        <v>0</v>
      </c>
      <c r="Y1821" s="77" t="s">
        <v>3482</v>
      </c>
      <c r="Z1821" s="90"/>
      <c r="AA1821" s="54">
        <f>STOCK[[#This Row],[Costo total]]*STOCK[[#This Row],[Entradas]]</f>
        <v>36</v>
      </c>
      <c r="AB1821" s="54">
        <f>STOCK[[#This Row],[Stock Actual]]*STOCK[[#This Row],[Costo total]]</f>
        <v>36</v>
      </c>
      <c r="AC1821" s="77"/>
      <c r="AD1821" s="98"/>
    </row>
    <row r="1822" s="53" customFormat="1" ht="50" customHeight="1" spans="1:30">
      <c r="A1822" s="95" t="s">
        <v>3609</v>
      </c>
      <c r="B1822" s="85"/>
      <c r="C1822" s="53" t="s">
        <v>32</v>
      </c>
      <c r="D1822" s="86" t="s">
        <v>1388</v>
      </c>
      <c r="E1822" s="97" t="s">
        <v>3610</v>
      </c>
      <c r="F1822" s="95" t="s">
        <v>49</v>
      </c>
      <c r="G1822" s="77"/>
      <c r="H1822" s="77">
        <f>STOCK[[#This Row],[Precio Final]]</f>
        <v>30</v>
      </c>
      <c r="I1822" s="82">
        <f>STOCK[[#This Row],[Precio Venta Ideal (x1.5)]]</f>
        <v>18</v>
      </c>
      <c r="J1822" s="95">
        <v>3</v>
      </c>
      <c r="K1822" s="80">
        <f>SUMIFS(VENTAS[Cantidad],VENTAS[Código del producto Vendido],STOCK[[#This Row],[Code]])</f>
        <v>0</v>
      </c>
      <c r="L1822" s="80">
        <f>STOCK[[#This Row],[Entradas]]-STOCK[[#This Row],[Salidas]]</f>
        <v>3</v>
      </c>
      <c r="M1822" s="77">
        <f>STOCK[[#This Row],[Precio Final]]*10%</f>
        <v>3</v>
      </c>
      <c r="N1822" s="54">
        <v>0</v>
      </c>
      <c r="O1822" s="77">
        <v>0</v>
      </c>
      <c r="P1822" s="77">
        <v>9</v>
      </c>
      <c r="Q1822" s="77">
        <v>0</v>
      </c>
      <c r="R1822" s="80">
        <v>0</v>
      </c>
      <c r="S1822" s="77">
        <v>0</v>
      </c>
      <c r="T1822" s="77">
        <f>STOCK[[#This Row],[Costo Unitario (USD)]]+STOCK[[#This Row],[Costo Envío (USD)]]+STOCK[[#This Row],[Comisión 10%]]</f>
        <v>12</v>
      </c>
      <c r="U1822" s="53">
        <f>STOCK[[#This Row],[Costo total]]*1.5</f>
        <v>18</v>
      </c>
      <c r="V1822" s="53">
        <v>30</v>
      </c>
      <c r="W1822" s="77">
        <f>STOCK[[#This Row],[Precio Final]]-STOCK[[#This Row],[Costo total]]</f>
        <v>18</v>
      </c>
      <c r="X1822" s="77">
        <f>STOCK[[#This Row],[Ganancia Unitaria]]*STOCK[[#This Row],[Salidas]]</f>
        <v>0</v>
      </c>
      <c r="Y1822" s="77" t="s">
        <v>3482</v>
      </c>
      <c r="Z1822" s="90"/>
      <c r="AA1822" s="54">
        <f>STOCK[[#This Row],[Costo total]]*STOCK[[#This Row],[Entradas]]</f>
        <v>36</v>
      </c>
      <c r="AB1822" s="54">
        <f>STOCK[[#This Row],[Stock Actual]]*STOCK[[#This Row],[Costo total]]</f>
        <v>36</v>
      </c>
      <c r="AC1822" s="77"/>
      <c r="AD1822" s="98"/>
    </row>
    <row r="1823" s="53" customFormat="1" ht="50" customHeight="1" spans="1:30">
      <c r="A1823" s="95" t="s">
        <v>3611</v>
      </c>
      <c r="B1823" s="85"/>
      <c r="C1823" s="53" t="s">
        <v>32</v>
      </c>
      <c r="D1823" s="86" t="s">
        <v>749</v>
      </c>
      <c r="E1823" s="97" t="s">
        <v>3612</v>
      </c>
      <c r="F1823" s="95" t="s">
        <v>716</v>
      </c>
      <c r="G1823" s="77"/>
      <c r="H1823" s="77">
        <f>STOCK[[#This Row],[Precio Final]]</f>
        <v>15</v>
      </c>
      <c r="I1823" s="82">
        <f>STOCK[[#This Row],[Precio Venta Ideal (x1.5)]]</f>
        <v>15.75</v>
      </c>
      <c r="J1823" s="95">
        <v>2</v>
      </c>
      <c r="K1823" s="80">
        <f>SUMIFS(VENTAS[Cantidad],VENTAS[Código del producto Vendido],STOCK[[#This Row],[Code]])</f>
        <v>0</v>
      </c>
      <c r="L1823" s="80">
        <f>STOCK[[#This Row],[Entradas]]-STOCK[[#This Row],[Salidas]]</f>
        <v>2</v>
      </c>
      <c r="M1823" s="77">
        <f>STOCK[[#This Row],[Precio Final]]*10%</f>
        <v>1.5</v>
      </c>
      <c r="N1823" s="54">
        <v>0</v>
      </c>
      <c r="O1823" s="77">
        <v>0</v>
      </c>
      <c r="P1823" s="77">
        <v>9</v>
      </c>
      <c r="Q1823" s="77">
        <v>0</v>
      </c>
      <c r="R1823" s="80">
        <v>0</v>
      </c>
      <c r="S1823" s="77">
        <v>0</v>
      </c>
      <c r="T1823" s="77">
        <f>STOCK[[#This Row],[Costo Unitario (USD)]]+STOCK[[#This Row],[Costo Envío (USD)]]+STOCK[[#This Row],[Comisión 10%]]</f>
        <v>10.5</v>
      </c>
      <c r="U1823" s="53">
        <f>STOCK[[#This Row],[Costo total]]*1.5</f>
        <v>15.75</v>
      </c>
      <c r="V1823" s="53">
        <v>15</v>
      </c>
      <c r="W1823" s="77">
        <f>STOCK[[#This Row],[Precio Final]]-STOCK[[#This Row],[Costo total]]</f>
        <v>4.5</v>
      </c>
      <c r="X1823" s="77">
        <f>STOCK[[#This Row],[Ganancia Unitaria]]*STOCK[[#This Row],[Salidas]]</f>
        <v>0</v>
      </c>
      <c r="Y1823" s="77" t="s">
        <v>3482</v>
      </c>
      <c r="Z1823" s="90"/>
      <c r="AA1823" s="54">
        <f>STOCK[[#This Row],[Costo total]]*STOCK[[#This Row],[Entradas]]</f>
        <v>21</v>
      </c>
      <c r="AB1823" s="54">
        <f>STOCK[[#This Row],[Stock Actual]]*STOCK[[#This Row],[Costo total]]</f>
        <v>21</v>
      </c>
      <c r="AC1823" s="77"/>
      <c r="AD1823" s="98"/>
    </row>
    <row r="1824" s="53" customFormat="1" ht="50" customHeight="1" spans="1:30">
      <c r="A1824" s="95" t="s">
        <v>3613</v>
      </c>
      <c r="B1824" s="85"/>
      <c r="C1824" s="53" t="s">
        <v>32</v>
      </c>
      <c r="D1824" s="86" t="s">
        <v>780</v>
      </c>
      <c r="E1824" s="97" t="s">
        <v>3614</v>
      </c>
      <c r="F1824" s="95" t="s">
        <v>46</v>
      </c>
      <c r="G1824" s="77"/>
      <c r="H1824" s="77">
        <f>STOCK[[#This Row],[Precio Final]]</f>
        <v>18</v>
      </c>
      <c r="I1824" s="82">
        <f>STOCK[[#This Row],[Precio Venta Ideal (x1.5)]]</f>
        <v>16.2</v>
      </c>
      <c r="J1824" s="95">
        <v>2</v>
      </c>
      <c r="K1824" s="80">
        <f>SUMIFS(VENTAS[Cantidad],VENTAS[Código del producto Vendido],STOCK[[#This Row],[Code]])</f>
        <v>0</v>
      </c>
      <c r="L1824" s="80">
        <f>STOCK[[#This Row],[Entradas]]-STOCK[[#This Row],[Salidas]]</f>
        <v>2</v>
      </c>
      <c r="M1824" s="77">
        <f>STOCK[[#This Row],[Precio Final]]*10%</f>
        <v>1.8</v>
      </c>
      <c r="N1824" s="54">
        <v>0</v>
      </c>
      <c r="O1824" s="77">
        <v>0</v>
      </c>
      <c r="P1824" s="77">
        <v>9</v>
      </c>
      <c r="Q1824" s="77">
        <v>0</v>
      </c>
      <c r="R1824" s="80">
        <v>0</v>
      </c>
      <c r="S1824" s="77">
        <v>0</v>
      </c>
      <c r="T1824" s="77">
        <f>STOCK[[#This Row],[Costo Unitario (USD)]]+STOCK[[#This Row],[Costo Envío (USD)]]+STOCK[[#This Row],[Comisión 10%]]</f>
        <v>10.8</v>
      </c>
      <c r="U1824" s="53">
        <f>STOCK[[#This Row],[Costo total]]*1.5</f>
        <v>16.2</v>
      </c>
      <c r="V1824" s="53">
        <v>18</v>
      </c>
      <c r="W1824" s="77">
        <f>STOCK[[#This Row],[Precio Final]]-STOCK[[#This Row],[Costo total]]</f>
        <v>7.2</v>
      </c>
      <c r="X1824" s="77">
        <f>STOCK[[#This Row],[Ganancia Unitaria]]*STOCK[[#This Row],[Salidas]]</f>
        <v>0</v>
      </c>
      <c r="Y1824" s="77" t="s">
        <v>3482</v>
      </c>
      <c r="Z1824" s="90"/>
      <c r="AA1824" s="54">
        <f>STOCK[[#This Row],[Costo total]]*STOCK[[#This Row],[Entradas]]</f>
        <v>21.6</v>
      </c>
      <c r="AB1824" s="54">
        <f>STOCK[[#This Row],[Stock Actual]]*STOCK[[#This Row],[Costo total]]</f>
        <v>21.6</v>
      </c>
      <c r="AC1824" s="77"/>
      <c r="AD1824" s="98"/>
    </row>
    <row r="1825" s="53" customFormat="1" ht="50" customHeight="1" spans="1:30">
      <c r="A1825" s="95" t="s">
        <v>3615</v>
      </c>
      <c r="B1825" s="85"/>
      <c r="C1825" s="53" t="s">
        <v>32</v>
      </c>
      <c r="D1825" s="86" t="s">
        <v>780</v>
      </c>
      <c r="E1825" s="97" t="s">
        <v>3616</v>
      </c>
      <c r="F1825" s="95" t="s">
        <v>49</v>
      </c>
      <c r="G1825" s="77"/>
      <c r="H1825" s="77">
        <f>STOCK[[#This Row],[Precio Final]]</f>
        <v>15</v>
      </c>
      <c r="I1825" s="82">
        <f>STOCK[[#This Row],[Precio Venta Ideal (x1.5)]]</f>
        <v>15.75</v>
      </c>
      <c r="J1825" s="95">
        <v>1</v>
      </c>
      <c r="K1825" s="80">
        <f>SUMIFS(VENTAS[Cantidad],VENTAS[Código del producto Vendido],STOCK[[#This Row],[Code]])</f>
        <v>0</v>
      </c>
      <c r="L1825" s="80">
        <f>STOCK[[#This Row],[Entradas]]-STOCK[[#This Row],[Salidas]]</f>
        <v>1</v>
      </c>
      <c r="M1825" s="77">
        <f>STOCK[[#This Row],[Precio Final]]*10%</f>
        <v>1.5</v>
      </c>
      <c r="N1825" s="54">
        <v>0</v>
      </c>
      <c r="O1825" s="77">
        <v>0</v>
      </c>
      <c r="P1825" s="77">
        <v>9</v>
      </c>
      <c r="Q1825" s="77">
        <v>0</v>
      </c>
      <c r="R1825" s="80">
        <v>0</v>
      </c>
      <c r="S1825" s="77">
        <v>0</v>
      </c>
      <c r="T1825" s="77">
        <f>STOCK[[#This Row],[Costo Unitario (USD)]]+STOCK[[#This Row],[Costo Envío (USD)]]+STOCK[[#This Row],[Comisión 10%]]</f>
        <v>10.5</v>
      </c>
      <c r="U1825" s="53">
        <f>STOCK[[#This Row],[Costo total]]*1.5</f>
        <v>15.75</v>
      </c>
      <c r="V1825" s="53">
        <v>15</v>
      </c>
      <c r="W1825" s="77">
        <f>STOCK[[#This Row],[Precio Final]]-STOCK[[#This Row],[Costo total]]</f>
        <v>4.5</v>
      </c>
      <c r="X1825" s="77">
        <f>STOCK[[#This Row],[Ganancia Unitaria]]*STOCK[[#This Row],[Salidas]]</f>
        <v>0</v>
      </c>
      <c r="Y1825" s="77" t="s">
        <v>3482</v>
      </c>
      <c r="Z1825" s="90"/>
      <c r="AA1825" s="54">
        <f>STOCK[[#This Row],[Costo total]]*STOCK[[#This Row],[Entradas]]</f>
        <v>10.5</v>
      </c>
      <c r="AB1825" s="54">
        <f>STOCK[[#This Row],[Stock Actual]]*STOCK[[#This Row],[Costo total]]</f>
        <v>10.5</v>
      </c>
      <c r="AC1825" s="77"/>
      <c r="AD1825" s="98"/>
    </row>
    <row r="1826" s="53" customFormat="1" ht="50" customHeight="1" spans="1:30">
      <c r="A1826" s="95" t="s">
        <v>3617</v>
      </c>
      <c r="B1826" s="85"/>
      <c r="C1826" s="53" t="s">
        <v>32</v>
      </c>
      <c r="D1826" s="86" t="s">
        <v>749</v>
      </c>
      <c r="E1826" s="97" t="s">
        <v>3207</v>
      </c>
      <c r="F1826" s="95" t="s">
        <v>62</v>
      </c>
      <c r="G1826" s="77"/>
      <c r="H1826" s="77">
        <f>STOCK[[#This Row],[Precio Final]]</f>
        <v>20</v>
      </c>
      <c r="I1826" s="82">
        <f>STOCK[[#This Row],[Precio Venta Ideal (x1.5)]]</f>
        <v>16.5</v>
      </c>
      <c r="J1826" s="95">
        <v>2</v>
      </c>
      <c r="K1826" s="80">
        <f>SUMIFS(VENTAS[Cantidad],VENTAS[Código del producto Vendido],STOCK[[#This Row],[Code]])</f>
        <v>0</v>
      </c>
      <c r="L1826" s="80">
        <f>STOCK[[#This Row],[Entradas]]-STOCK[[#This Row],[Salidas]]</f>
        <v>2</v>
      </c>
      <c r="M1826" s="77">
        <f>STOCK[[#This Row],[Precio Final]]*10%</f>
        <v>2</v>
      </c>
      <c r="N1826" s="54">
        <v>0</v>
      </c>
      <c r="O1826" s="77">
        <v>0</v>
      </c>
      <c r="P1826" s="77">
        <v>9</v>
      </c>
      <c r="Q1826" s="77">
        <v>0</v>
      </c>
      <c r="R1826" s="80">
        <v>0</v>
      </c>
      <c r="S1826" s="77">
        <v>0</v>
      </c>
      <c r="T1826" s="77">
        <f>STOCK[[#This Row],[Costo Unitario (USD)]]+STOCK[[#This Row],[Costo Envío (USD)]]+STOCK[[#This Row],[Comisión 10%]]</f>
        <v>11</v>
      </c>
      <c r="U1826" s="53">
        <f>STOCK[[#This Row],[Costo total]]*1.5</f>
        <v>16.5</v>
      </c>
      <c r="V1826" s="53">
        <v>20</v>
      </c>
      <c r="W1826" s="77">
        <f>STOCK[[#This Row],[Precio Final]]-STOCK[[#This Row],[Costo total]]</f>
        <v>9</v>
      </c>
      <c r="X1826" s="77">
        <f>STOCK[[#This Row],[Ganancia Unitaria]]*STOCK[[#This Row],[Salidas]]</f>
        <v>0</v>
      </c>
      <c r="Y1826" s="77" t="s">
        <v>3482</v>
      </c>
      <c r="Z1826" s="90"/>
      <c r="AA1826" s="54">
        <f>STOCK[[#This Row],[Costo total]]*STOCK[[#This Row],[Entradas]]</f>
        <v>22</v>
      </c>
      <c r="AB1826" s="54">
        <f>STOCK[[#This Row],[Stock Actual]]*STOCK[[#This Row],[Costo total]]</f>
        <v>22</v>
      </c>
      <c r="AC1826" s="77"/>
      <c r="AD1826" s="98"/>
    </row>
    <row r="1827" s="53" customFormat="1" ht="50" customHeight="1" spans="1:30">
      <c r="A1827" s="95" t="s">
        <v>3618</v>
      </c>
      <c r="B1827" s="85"/>
      <c r="C1827" s="53" t="s">
        <v>32</v>
      </c>
      <c r="D1827" s="86" t="s">
        <v>749</v>
      </c>
      <c r="E1827" s="97" t="s">
        <v>3207</v>
      </c>
      <c r="F1827" s="95" t="s">
        <v>42</v>
      </c>
      <c r="G1827" s="77"/>
      <c r="H1827" s="77">
        <f>STOCK[[#This Row],[Precio Final]]</f>
        <v>20</v>
      </c>
      <c r="I1827" s="82">
        <f>STOCK[[#This Row],[Precio Venta Ideal (x1.5)]]</f>
        <v>16.5</v>
      </c>
      <c r="J1827" s="95">
        <v>1</v>
      </c>
      <c r="K1827" s="80">
        <f>SUMIFS(VENTAS[Cantidad],VENTAS[Código del producto Vendido],STOCK[[#This Row],[Code]])</f>
        <v>0</v>
      </c>
      <c r="L1827" s="80">
        <f>STOCK[[#This Row],[Entradas]]-STOCK[[#This Row],[Salidas]]</f>
        <v>1</v>
      </c>
      <c r="M1827" s="77">
        <f>STOCK[[#This Row],[Precio Final]]*10%</f>
        <v>2</v>
      </c>
      <c r="N1827" s="54">
        <v>0</v>
      </c>
      <c r="O1827" s="77">
        <v>0</v>
      </c>
      <c r="P1827" s="77">
        <v>9</v>
      </c>
      <c r="Q1827" s="77">
        <v>0</v>
      </c>
      <c r="R1827" s="80">
        <v>0</v>
      </c>
      <c r="S1827" s="77">
        <v>0</v>
      </c>
      <c r="T1827" s="77">
        <f>STOCK[[#This Row],[Costo Unitario (USD)]]+STOCK[[#This Row],[Costo Envío (USD)]]+STOCK[[#This Row],[Comisión 10%]]</f>
        <v>11</v>
      </c>
      <c r="U1827" s="53">
        <f>STOCK[[#This Row],[Costo total]]*1.5</f>
        <v>16.5</v>
      </c>
      <c r="V1827" s="53">
        <v>20</v>
      </c>
      <c r="W1827" s="77">
        <f>STOCK[[#This Row],[Precio Final]]-STOCK[[#This Row],[Costo total]]</f>
        <v>9</v>
      </c>
      <c r="X1827" s="77">
        <f>STOCK[[#This Row],[Ganancia Unitaria]]*STOCK[[#This Row],[Salidas]]</f>
        <v>0</v>
      </c>
      <c r="Y1827" s="77" t="s">
        <v>3482</v>
      </c>
      <c r="Z1827" s="90"/>
      <c r="AA1827" s="54">
        <f>STOCK[[#This Row],[Costo total]]*STOCK[[#This Row],[Entradas]]</f>
        <v>11</v>
      </c>
      <c r="AB1827" s="54">
        <f>STOCK[[#This Row],[Stock Actual]]*STOCK[[#This Row],[Costo total]]</f>
        <v>11</v>
      </c>
      <c r="AC1827" s="77"/>
      <c r="AD1827" s="98"/>
    </row>
    <row r="1828" s="53" customFormat="1" ht="50" customHeight="1" spans="1:30">
      <c r="A1828" s="95" t="s">
        <v>3619</v>
      </c>
      <c r="B1828" s="85"/>
      <c r="C1828" s="53" t="s">
        <v>32</v>
      </c>
      <c r="D1828" s="86" t="s">
        <v>749</v>
      </c>
      <c r="E1828" s="97" t="s">
        <v>3620</v>
      </c>
      <c r="F1828" s="95" t="s">
        <v>62</v>
      </c>
      <c r="G1828" s="77"/>
      <c r="H1828" s="77">
        <f>STOCK[[#This Row],[Precio Final]]</f>
        <v>25</v>
      </c>
      <c r="I1828" s="82">
        <f>STOCK[[#This Row],[Precio Venta Ideal (x1.5)]]</f>
        <v>17.25</v>
      </c>
      <c r="J1828" s="95">
        <v>1</v>
      </c>
      <c r="K1828" s="80">
        <f>SUMIFS(VENTAS[Cantidad],VENTAS[Código del producto Vendido],STOCK[[#This Row],[Code]])</f>
        <v>0</v>
      </c>
      <c r="L1828" s="80">
        <f>STOCK[[#This Row],[Entradas]]-STOCK[[#This Row],[Salidas]]</f>
        <v>1</v>
      </c>
      <c r="M1828" s="77">
        <f>STOCK[[#This Row],[Precio Final]]*10%</f>
        <v>2.5</v>
      </c>
      <c r="N1828" s="54">
        <v>0</v>
      </c>
      <c r="O1828" s="77">
        <v>0</v>
      </c>
      <c r="P1828" s="77">
        <v>9</v>
      </c>
      <c r="Q1828" s="77">
        <v>0</v>
      </c>
      <c r="R1828" s="80">
        <v>0</v>
      </c>
      <c r="S1828" s="77">
        <v>0</v>
      </c>
      <c r="T1828" s="77">
        <f>STOCK[[#This Row],[Costo Unitario (USD)]]+STOCK[[#This Row],[Costo Envío (USD)]]+STOCK[[#This Row],[Comisión 10%]]</f>
        <v>11.5</v>
      </c>
      <c r="U1828" s="53">
        <f>STOCK[[#This Row],[Costo total]]*1.5</f>
        <v>17.25</v>
      </c>
      <c r="V1828" s="53">
        <v>25</v>
      </c>
      <c r="W1828" s="77">
        <f>STOCK[[#This Row],[Precio Final]]-STOCK[[#This Row],[Costo total]]</f>
        <v>13.5</v>
      </c>
      <c r="X1828" s="77">
        <f>STOCK[[#This Row],[Ganancia Unitaria]]*STOCK[[#This Row],[Salidas]]</f>
        <v>0</v>
      </c>
      <c r="Y1828" s="77" t="s">
        <v>3482</v>
      </c>
      <c r="Z1828" s="90"/>
      <c r="AA1828" s="54">
        <f>STOCK[[#This Row],[Costo total]]*STOCK[[#This Row],[Entradas]]</f>
        <v>11.5</v>
      </c>
      <c r="AB1828" s="54">
        <f>STOCK[[#This Row],[Stock Actual]]*STOCK[[#This Row],[Costo total]]</f>
        <v>11.5</v>
      </c>
      <c r="AC1828" s="77"/>
      <c r="AD1828" s="98"/>
    </row>
    <row r="1829" s="53" customFormat="1" ht="50" customHeight="1" spans="1:30">
      <c r="A1829" s="95" t="s">
        <v>3621</v>
      </c>
      <c r="B1829" s="85"/>
      <c r="C1829" s="53" t="s">
        <v>32</v>
      </c>
      <c r="D1829" s="86" t="s">
        <v>749</v>
      </c>
      <c r="E1829" s="97" t="s">
        <v>3622</v>
      </c>
      <c r="F1829" s="95" t="s">
        <v>716</v>
      </c>
      <c r="G1829" s="77"/>
      <c r="H1829" s="77">
        <f>STOCK[[#This Row],[Precio Final]]</f>
        <v>30</v>
      </c>
      <c r="I1829" s="82">
        <f>STOCK[[#This Row],[Precio Venta Ideal (x1.5)]]</f>
        <v>18</v>
      </c>
      <c r="J1829" s="95">
        <v>1</v>
      </c>
      <c r="K1829" s="80">
        <f>SUMIFS(VENTAS[Cantidad],VENTAS[Código del producto Vendido],STOCK[[#This Row],[Code]])</f>
        <v>0</v>
      </c>
      <c r="L1829" s="80">
        <f>STOCK[[#This Row],[Entradas]]-STOCK[[#This Row],[Salidas]]</f>
        <v>1</v>
      </c>
      <c r="M1829" s="77">
        <f>STOCK[[#This Row],[Precio Final]]*10%</f>
        <v>3</v>
      </c>
      <c r="N1829" s="54">
        <v>0</v>
      </c>
      <c r="O1829" s="77">
        <v>0</v>
      </c>
      <c r="P1829" s="77">
        <v>9</v>
      </c>
      <c r="Q1829" s="77">
        <v>0</v>
      </c>
      <c r="R1829" s="80">
        <v>0</v>
      </c>
      <c r="S1829" s="77">
        <v>0</v>
      </c>
      <c r="T1829" s="77">
        <f>STOCK[[#This Row],[Costo Unitario (USD)]]+STOCK[[#This Row],[Costo Envío (USD)]]+STOCK[[#This Row],[Comisión 10%]]</f>
        <v>12</v>
      </c>
      <c r="U1829" s="53">
        <f>STOCK[[#This Row],[Costo total]]*1.5</f>
        <v>18</v>
      </c>
      <c r="V1829" s="53">
        <v>30</v>
      </c>
      <c r="W1829" s="77">
        <f>STOCK[[#This Row],[Precio Final]]-STOCK[[#This Row],[Costo total]]</f>
        <v>18</v>
      </c>
      <c r="X1829" s="77">
        <f>STOCK[[#This Row],[Ganancia Unitaria]]*STOCK[[#This Row],[Salidas]]</f>
        <v>0</v>
      </c>
      <c r="Y1829" s="77" t="s">
        <v>3482</v>
      </c>
      <c r="Z1829" s="90"/>
      <c r="AA1829" s="54">
        <f>STOCK[[#This Row],[Costo total]]*STOCK[[#This Row],[Entradas]]</f>
        <v>12</v>
      </c>
      <c r="AB1829" s="54">
        <f>STOCK[[#This Row],[Stock Actual]]*STOCK[[#This Row],[Costo total]]</f>
        <v>12</v>
      </c>
      <c r="AC1829" s="77"/>
      <c r="AD1829" s="98"/>
    </row>
    <row r="1830" s="53" customFormat="1" ht="50" customHeight="1" spans="1:30">
      <c r="A1830" s="95" t="s">
        <v>3623</v>
      </c>
      <c r="B1830" s="85"/>
      <c r="C1830" s="53" t="s">
        <v>32</v>
      </c>
      <c r="D1830" s="86" t="s">
        <v>780</v>
      </c>
      <c r="E1830" s="97" t="s">
        <v>3624</v>
      </c>
      <c r="F1830" s="95" t="s">
        <v>49</v>
      </c>
      <c r="G1830" s="77"/>
      <c r="H1830" s="77">
        <f>STOCK[[#This Row],[Precio Final]]</f>
        <v>12</v>
      </c>
      <c r="I1830" s="82">
        <f>STOCK[[#This Row],[Precio Venta Ideal (x1.5)]]</f>
        <v>15.3</v>
      </c>
      <c r="J1830" s="95">
        <v>1</v>
      </c>
      <c r="K1830" s="80">
        <f>SUMIFS(VENTAS[Cantidad],VENTAS[Código del producto Vendido],STOCK[[#This Row],[Code]])</f>
        <v>0</v>
      </c>
      <c r="L1830" s="80">
        <f>STOCK[[#This Row],[Entradas]]-STOCK[[#This Row],[Salidas]]</f>
        <v>1</v>
      </c>
      <c r="M1830" s="77">
        <f>STOCK[[#This Row],[Precio Final]]*10%</f>
        <v>1.2</v>
      </c>
      <c r="N1830" s="54">
        <v>0</v>
      </c>
      <c r="O1830" s="77">
        <v>0</v>
      </c>
      <c r="P1830" s="77">
        <v>9</v>
      </c>
      <c r="Q1830" s="77">
        <v>0</v>
      </c>
      <c r="R1830" s="80">
        <v>0</v>
      </c>
      <c r="S1830" s="77">
        <v>0</v>
      </c>
      <c r="T1830" s="77">
        <f>STOCK[[#This Row],[Costo Unitario (USD)]]+STOCK[[#This Row],[Costo Envío (USD)]]+STOCK[[#This Row],[Comisión 10%]]</f>
        <v>10.2</v>
      </c>
      <c r="U1830" s="53">
        <f>STOCK[[#This Row],[Costo total]]*1.5</f>
        <v>15.3</v>
      </c>
      <c r="V1830" s="53">
        <v>12</v>
      </c>
      <c r="W1830" s="77">
        <f>STOCK[[#This Row],[Precio Final]]-STOCK[[#This Row],[Costo total]]</f>
        <v>1.8</v>
      </c>
      <c r="X1830" s="77">
        <f>STOCK[[#This Row],[Ganancia Unitaria]]*STOCK[[#This Row],[Salidas]]</f>
        <v>0</v>
      </c>
      <c r="Y1830" s="77" t="s">
        <v>3482</v>
      </c>
      <c r="Z1830" s="90"/>
      <c r="AA1830" s="54">
        <f>STOCK[[#This Row],[Costo total]]*STOCK[[#This Row],[Entradas]]</f>
        <v>10.2</v>
      </c>
      <c r="AB1830" s="54">
        <f>STOCK[[#This Row],[Stock Actual]]*STOCK[[#This Row],[Costo total]]</f>
        <v>10.2</v>
      </c>
      <c r="AC1830" s="77"/>
      <c r="AD1830" s="98"/>
    </row>
    <row r="1831" s="53" customFormat="1" ht="50" customHeight="1" spans="1:30">
      <c r="A1831" s="95" t="s">
        <v>3625</v>
      </c>
      <c r="B1831" s="85"/>
      <c r="C1831" s="53" t="s">
        <v>32</v>
      </c>
      <c r="D1831" s="86" t="s">
        <v>749</v>
      </c>
      <c r="E1831" s="97" t="s">
        <v>3626</v>
      </c>
      <c r="F1831" s="95" t="s">
        <v>49</v>
      </c>
      <c r="G1831" s="77"/>
      <c r="H1831" s="77">
        <f>STOCK[[#This Row],[Precio Final]]</f>
        <v>25</v>
      </c>
      <c r="I1831" s="82">
        <f>STOCK[[#This Row],[Precio Venta Ideal (x1.5)]]</f>
        <v>17.25</v>
      </c>
      <c r="J1831" s="95">
        <v>2</v>
      </c>
      <c r="K1831" s="80">
        <f>SUMIFS(VENTAS[Cantidad],VENTAS[Código del producto Vendido],STOCK[[#This Row],[Code]])</f>
        <v>0</v>
      </c>
      <c r="L1831" s="80">
        <f>STOCK[[#This Row],[Entradas]]-STOCK[[#This Row],[Salidas]]</f>
        <v>2</v>
      </c>
      <c r="M1831" s="77">
        <f>STOCK[[#This Row],[Precio Final]]*10%</f>
        <v>2.5</v>
      </c>
      <c r="N1831" s="54">
        <v>0</v>
      </c>
      <c r="O1831" s="77">
        <v>0</v>
      </c>
      <c r="P1831" s="77">
        <v>9</v>
      </c>
      <c r="Q1831" s="77">
        <v>0</v>
      </c>
      <c r="R1831" s="80">
        <v>0</v>
      </c>
      <c r="S1831" s="77">
        <v>0</v>
      </c>
      <c r="T1831" s="77">
        <f>STOCK[[#This Row],[Costo Unitario (USD)]]+STOCK[[#This Row],[Costo Envío (USD)]]+STOCK[[#This Row],[Comisión 10%]]</f>
        <v>11.5</v>
      </c>
      <c r="U1831" s="53">
        <f>STOCK[[#This Row],[Costo total]]*1.5</f>
        <v>17.25</v>
      </c>
      <c r="V1831" s="53">
        <v>25</v>
      </c>
      <c r="W1831" s="77">
        <f>STOCK[[#This Row],[Precio Final]]-STOCK[[#This Row],[Costo total]]</f>
        <v>13.5</v>
      </c>
      <c r="X1831" s="77">
        <f>STOCK[[#This Row],[Ganancia Unitaria]]*STOCK[[#This Row],[Salidas]]</f>
        <v>0</v>
      </c>
      <c r="Y1831" s="77" t="s">
        <v>3482</v>
      </c>
      <c r="Z1831" s="90"/>
      <c r="AA1831" s="54">
        <f>STOCK[[#This Row],[Costo total]]*STOCK[[#This Row],[Entradas]]</f>
        <v>23</v>
      </c>
      <c r="AB1831" s="54">
        <f>STOCK[[#This Row],[Stock Actual]]*STOCK[[#This Row],[Costo total]]</f>
        <v>23</v>
      </c>
      <c r="AC1831" s="77"/>
      <c r="AD1831" s="98"/>
    </row>
    <row r="1832" s="53" customFormat="1" ht="50" customHeight="1" spans="1:30">
      <c r="A1832" s="95" t="s">
        <v>3627</v>
      </c>
      <c r="B1832" s="85"/>
      <c r="C1832" s="53" t="s">
        <v>32</v>
      </c>
      <c r="D1832" s="86" t="s">
        <v>749</v>
      </c>
      <c r="E1832" s="97" t="s">
        <v>3626</v>
      </c>
      <c r="F1832" s="95" t="s">
        <v>42</v>
      </c>
      <c r="G1832" s="77"/>
      <c r="H1832" s="77">
        <f>STOCK[[#This Row],[Precio Final]]</f>
        <v>25</v>
      </c>
      <c r="I1832" s="82">
        <f>STOCK[[#This Row],[Precio Venta Ideal (x1.5)]]</f>
        <v>17.25</v>
      </c>
      <c r="J1832" s="95">
        <v>1</v>
      </c>
      <c r="K1832" s="80">
        <f>SUMIFS(VENTAS[Cantidad],VENTAS[Código del producto Vendido],STOCK[[#This Row],[Code]])</f>
        <v>0</v>
      </c>
      <c r="L1832" s="80">
        <f>STOCK[[#This Row],[Entradas]]-STOCK[[#This Row],[Salidas]]</f>
        <v>1</v>
      </c>
      <c r="M1832" s="77">
        <f>STOCK[[#This Row],[Precio Final]]*10%</f>
        <v>2.5</v>
      </c>
      <c r="N1832" s="54">
        <v>0</v>
      </c>
      <c r="O1832" s="77">
        <v>0</v>
      </c>
      <c r="P1832" s="77">
        <v>9</v>
      </c>
      <c r="Q1832" s="77">
        <v>0</v>
      </c>
      <c r="R1832" s="80">
        <v>0</v>
      </c>
      <c r="S1832" s="77">
        <v>0</v>
      </c>
      <c r="T1832" s="77">
        <f>STOCK[[#This Row],[Costo Unitario (USD)]]+STOCK[[#This Row],[Costo Envío (USD)]]+STOCK[[#This Row],[Comisión 10%]]</f>
        <v>11.5</v>
      </c>
      <c r="U1832" s="53">
        <f>STOCK[[#This Row],[Costo total]]*1.5</f>
        <v>17.25</v>
      </c>
      <c r="V1832" s="53">
        <v>25</v>
      </c>
      <c r="W1832" s="77">
        <f>STOCK[[#This Row],[Precio Final]]-STOCK[[#This Row],[Costo total]]</f>
        <v>13.5</v>
      </c>
      <c r="X1832" s="77">
        <f>STOCK[[#This Row],[Ganancia Unitaria]]*STOCK[[#This Row],[Salidas]]</f>
        <v>0</v>
      </c>
      <c r="Y1832" s="77" t="s">
        <v>3482</v>
      </c>
      <c r="Z1832" s="90"/>
      <c r="AA1832" s="54">
        <f>STOCK[[#This Row],[Costo total]]*STOCK[[#This Row],[Entradas]]</f>
        <v>11.5</v>
      </c>
      <c r="AB1832" s="54">
        <f>STOCK[[#This Row],[Stock Actual]]*STOCK[[#This Row],[Costo total]]</f>
        <v>11.5</v>
      </c>
      <c r="AC1832" s="77"/>
      <c r="AD1832" s="98"/>
    </row>
    <row r="1833" s="53" customFormat="1" ht="50" customHeight="1" spans="1:30">
      <c r="A1833" s="95" t="s">
        <v>3628</v>
      </c>
      <c r="B1833" s="85"/>
      <c r="C1833" s="53" t="s">
        <v>32</v>
      </c>
      <c r="D1833" s="86" t="s">
        <v>780</v>
      </c>
      <c r="E1833" s="97" t="s">
        <v>3629</v>
      </c>
      <c r="F1833" s="95" t="s">
        <v>46</v>
      </c>
      <c r="G1833" s="77"/>
      <c r="H1833" s="77">
        <f>STOCK[[#This Row],[Precio Final]]</f>
        <v>20</v>
      </c>
      <c r="I1833" s="82">
        <f>STOCK[[#This Row],[Precio Venta Ideal (x1.5)]]</f>
        <v>16.5</v>
      </c>
      <c r="J1833" s="95">
        <v>1</v>
      </c>
      <c r="K1833" s="80">
        <f>SUMIFS(VENTAS[Cantidad],VENTAS[Código del producto Vendido],STOCK[[#This Row],[Code]])</f>
        <v>0</v>
      </c>
      <c r="L1833" s="80">
        <f>STOCK[[#This Row],[Entradas]]-STOCK[[#This Row],[Salidas]]</f>
        <v>1</v>
      </c>
      <c r="M1833" s="77">
        <f>STOCK[[#This Row],[Precio Final]]*10%</f>
        <v>2</v>
      </c>
      <c r="N1833" s="54">
        <v>0</v>
      </c>
      <c r="O1833" s="77">
        <v>0</v>
      </c>
      <c r="P1833" s="77">
        <v>9</v>
      </c>
      <c r="Q1833" s="77">
        <v>0</v>
      </c>
      <c r="R1833" s="80">
        <v>0</v>
      </c>
      <c r="S1833" s="77">
        <v>0</v>
      </c>
      <c r="T1833" s="77">
        <f>STOCK[[#This Row],[Costo Unitario (USD)]]+STOCK[[#This Row],[Costo Envío (USD)]]+STOCK[[#This Row],[Comisión 10%]]</f>
        <v>11</v>
      </c>
      <c r="U1833" s="53">
        <f>STOCK[[#This Row],[Costo total]]*1.5</f>
        <v>16.5</v>
      </c>
      <c r="V1833" s="53">
        <v>20</v>
      </c>
      <c r="W1833" s="77">
        <f>STOCK[[#This Row],[Precio Final]]-STOCK[[#This Row],[Costo total]]</f>
        <v>9</v>
      </c>
      <c r="X1833" s="77">
        <f>STOCK[[#This Row],[Ganancia Unitaria]]*STOCK[[#This Row],[Salidas]]</f>
        <v>0</v>
      </c>
      <c r="Y1833" s="77" t="s">
        <v>3482</v>
      </c>
      <c r="Z1833" s="90"/>
      <c r="AA1833" s="54">
        <f>STOCK[[#This Row],[Costo total]]*STOCK[[#This Row],[Entradas]]</f>
        <v>11</v>
      </c>
      <c r="AB1833" s="54">
        <f>STOCK[[#This Row],[Stock Actual]]*STOCK[[#This Row],[Costo total]]</f>
        <v>11</v>
      </c>
      <c r="AC1833" s="77"/>
      <c r="AD1833" s="98"/>
    </row>
    <row r="1834" s="53" customFormat="1" ht="50" customHeight="1" spans="1:30">
      <c r="A1834" s="95" t="s">
        <v>3630</v>
      </c>
      <c r="B1834" s="85"/>
      <c r="C1834" s="53" t="s">
        <v>32</v>
      </c>
      <c r="D1834" s="86" t="s">
        <v>780</v>
      </c>
      <c r="E1834" s="97" t="s">
        <v>3631</v>
      </c>
      <c r="F1834" s="95" t="s">
        <v>62</v>
      </c>
      <c r="G1834" s="77"/>
      <c r="H1834" s="77">
        <f>STOCK[[#This Row],[Precio Final]]</f>
        <v>15</v>
      </c>
      <c r="I1834" s="82">
        <f>STOCK[[#This Row],[Precio Venta Ideal (x1.5)]]</f>
        <v>15.75</v>
      </c>
      <c r="J1834" s="95">
        <v>1</v>
      </c>
      <c r="K1834" s="80">
        <f>SUMIFS(VENTAS[Cantidad],VENTAS[Código del producto Vendido],STOCK[[#This Row],[Code]])</f>
        <v>0</v>
      </c>
      <c r="L1834" s="80">
        <f>STOCK[[#This Row],[Entradas]]-STOCK[[#This Row],[Salidas]]</f>
        <v>1</v>
      </c>
      <c r="M1834" s="77">
        <f>STOCK[[#This Row],[Precio Final]]*10%</f>
        <v>1.5</v>
      </c>
      <c r="N1834" s="54">
        <v>0</v>
      </c>
      <c r="O1834" s="77">
        <v>0</v>
      </c>
      <c r="P1834" s="77">
        <v>9</v>
      </c>
      <c r="Q1834" s="77">
        <v>0</v>
      </c>
      <c r="R1834" s="80">
        <v>0</v>
      </c>
      <c r="S1834" s="77">
        <v>0</v>
      </c>
      <c r="T1834" s="77">
        <f>STOCK[[#This Row],[Costo Unitario (USD)]]+STOCK[[#This Row],[Costo Envío (USD)]]+STOCK[[#This Row],[Comisión 10%]]</f>
        <v>10.5</v>
      </c>
      <c r="U1834" s="53">
        <f>STOCK[[#This Row],[Costo total]]*1.5</f>
        <v>15.75</v>
      </c>
      <c r="V1834" s="53">
        <v>15</v>
      </c>
      <c r="W1834" s="77">
        <f>STOCK[[#This Row],[Precio Final]]-STOCK[[#This Row],[Costo total]]</f>
        <v>4.5</v>
      </c>
      <c r="X1834" s="77">
        <f>STOCK[[#This Row],[Ganancia Unitaria]]*STOCK[[#This Row],[Salidas]]</f>
        <v>0</v>
      </c>
      <c r="Y1834" s="77" t="s">
        <v>3482</v>
      </c>
      <c r="Z1834" s="90"/>
      <c r="AA1834" s="54">
        <f>STOCK[[#This Row],[Costo total]]*STOCK[[#This Row],[Entradas]]</f>
        <v>10.5</v>
      </c>
      <c r="AB1834" s="54">
        <f>STOCK[[#This Row],[Stock Actual]]*STOCK[[#This Row],[Costo total]]</f>
        <v>10.5</v>
      </c>
      <c r="AC1834" s="77"/>
      <c r="AD1834" s="98"/>
    </row>
    <row r="1835" s="53" customFormat="1" ht="50" customHeight="1" spans="1:30">
      <c r="A1835" s="95" t="s">
        <v>3632</v>
      </c>
      <c r="B1835" s="85"/>
      <c r="C1835" s="53" t="s">
        <v>32</v>
      </c>
      <c r="D1835" s="86" t="s">
        <v>780</v>
      </c>
      <c r="E1835" s="97" t="s">
        <v>3631</v>
      </c>
      <c r="F1835" s="95" t="s">
        <v>49</v>
      </c>
      <c r="G1835" s="77"/>
      <c r="H1835" s="77">
        <f>STOCK[[#This Row],[Precio Final]]</f>
        <v>15</v>
      </c>
      <c r="I1835" s="82">
        <f>STOCK[[#This Row],[Precio Venta Ideal (x1.5)]]</f>
        <v>15.75</v>
      </c>
      <c r="J1835" s="95">
        <v>1</v>
      </c>
      <c r="K1835" s="80">
        <f>SUMIFS(VENTAS[Cantidad],VENTAS[Código del producto Vendido],STOCK[[#This Row],[Code]])</f>
        <v>0</v>
      </c>
      <c r="L1835" s="80">
        <f>STOCK[[#This Row],[Entradas]]-STOCK[[#This Row],[Salidas]]</f>
        <v>1</v>
      </c>
      <c r="M1835" s="77">
        <f>STOCK[[#This Row],[Precio Final]]*10%</f>
        <v>1.5</v>
      </c>
      <c r="N1835" s="54">
        <v>0</v>
      </c>
      <c r="O1835" s="77">
        <v>0</v>
      </c>
      <c r="P1835" s="77">
        <v>9</v>
      </c>
      <c r="Q1835" s="77">
        <v>0</v>
      </c>
      <c r="R1835" s="80">
        <v>0</v>
      </c>
      <c r="S1835" s="77">
        <v>0</v>
      </c>
      <c r="T1835" s="77">
        <f>STOCK[[#This Row],[Costo Unitario (USD)]]+STOCK[[#This Row],[Costo Envío (USD)]]+STOCK[[#This Row],[Comisión 10%]]</f>
        <v>10.5</v>
      </c>
      <c r="U1835" s="53">
        <f>STOCK[[#This Row],[Costo total]]*1.5</f>
        <v>15.75</v>
      </c>
      <c r="V1835" s="53">
        <v>15</v>
      </c>
      <c r="W1835" s="77">
        <f>STOCK[[#This Row],[Precio Final]]-STOCK[[#This Row],[Costo total]]</f>
        <v>4.5</v>
      </c>
      <c r="X1835" s="77">
        <f>STOCK[[#This Row],[Ganancia Unitaria]]*STOCK[[#This Row],[Salidas]]</f>
        <v>0</v>
      </c>
      <c r="Y1835" s="77" t="s">
        <v>3482</v>
      </c>
      <c r="Z1835" s="90"/>
      <c r="AA1835" s="54">
        <f>STOCK[[#This Row],[Costo total]]*STOCK[[#This Row],[Entradas]]</f>
        <v>10.5</v>
      </c>
      <c r="AB1835" s="54">
        <f>STOCK[[#This Row],[Stock Actual]]*STOCK[[#This Row],[Costo total]]</f>
        <v>10.5</v>
      </c>
      <c r="AC1835" s="77"/>
      <c r="AD1835" s="98"/>
    </row>
    <row r="1836" s="53" customFormat="1" ht="50" customHeight="1" spans="1:30">
      <c r="A1836" s="95" t="s">
        <v>3633</v>
      </c>
      <c r="B1836" s="85"/>
      <c r="C1836" s="53" t="s">
        <v>32</v>
      </c>
      <c r="D1836" s="86" t="s">
        <v>780</v>
      </c>
      <c r="E1836" s="97" t="s">
        <v>3631</v>
      </c>
      <c r="F1836" s="95" t="s">
        <v>42</v>
      </c>
      <c r="G1836" s="77"/>
      <c r="H1836" s="77">
        <f>STOCK[[#This Row],[Precio Final]]</f>
        <v>15</v>
      </c>
      <c r="I1836" s="82">
        <f>STOCK[[#This Row],[Precio Venta Ideal (x1.5)]]</f>
        <v>15.75</v>
      </c>
      <c r="J1836" s="95">
        <v>1</v>
      </c>
      <c r="K1836" s="80">
        <f>SUMIFS(VENTAS[Cantidad],VENTAS[Código del producto Vendido],STOCK[[#This Row],[Code]])</f>
        <v>0</v>
      </c>
      <c r="L1836" s="80">
        <f>STOCK[[#This Row],[Entradas]]-STOCK[[#This Row],[Salidas]]</f>
        <v>1</v>
      </c>
      <c r="M1836" s="77">
        <f>STOCK[[#This Row],[Precio Final]]*10%</f>
        <v>1.5</v>
      </c>
      <c r="N1836" s="54">
        <v>0</v>
      </c>
      <c r="O1836" s="77">
        <v>0</v>
      </c>
      <c r="P1836" s="77">
        <v>9</v>
      </c>
      <c r="Q1836" s="77">
        <v>0</v>
      </c>
      <c r="R1836" s="80">
        <v>0</v>
      </c>
      <c r="S1836" s="77">
        <v>0</v>
      </c>
      <c r="T1836" s="77">
        <f>STOCK[[#This Row],[Costo Unitario (USD)]]+STOCK[[#This Row],[Costo Envío (USD)]]+STOCK[[#This Row],[Comisión 10%]]</f>
        <v>10.5</v>
      </c>
      <c r="U1836" s="53">
        <f>STOCK[[#This Row],[Costo total]]*1.5</f>
        <v>15.75</v>
      </c>
      <c r="V1836" s="53">
        <v>15</v>
      </c>
      <c r="W1836" s="77">
        <f>STOCK[[#This Row],[Precio Final]]-STOCK[[#This Row],[Costo total]]</f>
        <v>4.5</v>
      </c>
      <c r="X1836" s="77">
        <f>STOCK[[#This Row],[Ganancia Unitaria]]*STOCK[[#This Row],[Salidas]]</f>
        <v>0</v>
      </c>
      <c r="Y1836" s="77" t="s">
        <v>3482</v>
      </c>
      <c r="Z1836" s="90"/>
      <c r="AA1836" s="54">
        <f>STOCK[[#This Row],[Costo total]]*STOCK[[#This Row],[Entradas]]</f>
        <v>10.5</v>
      </c>
      <c r="AB1836" s="54">
        <f>STOCK[[#This Row],[Stock Actual]]*STOCK[[#This Row],[Costo total]]</f>
        <v>10.5</v>
      </c>
      <c r="AC1836" s="77"/>
      <c r="AD1836" s="98"/>
    </row>
    <row r="1837" s="53" customFormat="1" ht="50" customHeight="1" spans="1:30">
      <c r="A1837" s="95" t="s">
        <v>3634</v>
      </c>
      <c r="B1837" s="85"/>
      <c r="C1837" s="53" t="s">
        <v>32</v>
      </c>
      <c r="D1837" s="86" t="s">
        <v>749</v>
      </c>
      <c r="E1837" s="97" t="s">
        <v>3635</v>
      </c>
      <c r="F1837" s="95" t="s">
        <v>62</v>
      </c>
      <c r="G1837" s="77"/>
      <c r="H1837" s="77">
        <f>STOCK[[#This Row],[Precio Final]]</f>
        <v>18</v>
      </c>
      <c r="I1837" s="82">
        <f>STOCK[[#This Row],[Precio Venta Ideal (x1.5)]]</f>
        <v>16.2</v>
      </c>
      <c r="J1837" s="95">
        <v>1</v>
      </c>
      <c r="K1837" s="80">
        <f>SUMIFS(VENTAS[Cantidad],VENTAS[Código del producto Vendido],STOCK[[#This Row],[Code]])</f>
        <v>0</v>
      </c>
      <c r="L1837" s="80">
        <f>STOCK[[#This Row],[Entradas]]-STOCK[[#This Row],[Salidas]]</f>
        <v>1</v>
      </c>
      <c r="M1837" s="77">
        <f>STOCK[[#This Row],[Precio Final]]*10%</f>
        <v>1.8</v>
      </c>
      <c r="N1837" s="54">
        <v>0</v>
      </c>
      <c r="O1837" s="77">
        <v>0</v>
      </c>
      <c r="P1837" s="77">
        <v>9</v>
      </c>
      <c r="Q1837" s="77">
        <v>0</v>
      </c>
      <c r="R1837" s="80">
        <v>0</v>
      </c>
      <c r="S1837" s="77">
        <v>0</v>
      </c>
      <c r="T1837" s="77">
        <f>STOCK[[#This Row],[Costo Unitario (USD)]]+STOCK[[#This Row],[Costo Envío (USD)]]+STOCK[[#This Row],[Comisión 10%]]</f>
        <v>10.8</v>
      </c>
      <c r="U1837" s="53">
        <f>STOCK[[#This Row],[Costo total]]*1.5</f>
        <v>16.2</v>
      </c>
      <c r="V1837" s="53">
        <v>18</v>
      </c>
      <c r="W1837" s="77">
        <f>STOCK[[#This Row],[Precio Final]]-STOCK[[#This Row],[Costo total]]</f>
        <v>7.2</v>
      </c>
      <c r="X1837" s="77">
        <f>STOCK[[#This Row],[Ganancia Unitaria]]*STOCK[[#This Row],[Salidas]]</f>
        <v>0</v>
      </c>
      <c r="Y1837" s="77" t="s">
        <v>3482</v>
      </c>
      <c r="Z1837" s="90"/>
      <c r="AA1837" s="54">
        <f>STOCK[[#This Row],[Costo total]]*STOCK[[#This Row],[Entradas]]</f>
        <v>10.8</v>
      </c>
      <c r="AB1837" s="54">
        <f>STOCK[[#This Row],[Stock Actual]]*STOCK[[#This Row],[Costo total]]</f>
        <v>10.8</v>
      </c>
      <c r="AC1837" s="77"/>
      <c r="AD1837" s="98"/>
    </row>
    <row r="1838" s="53" customFormat="1" ht="50" customHeight="1" spans="1:30">
      <c r="A1838" s="95" t="s">
        <v>3636</v>
      </c>
      <c r="B1838" s="85"/>
      <c r="C1838" s="53" t="s">
        <v>32</v>
      </c>
      <c r="D1838" s="86" t="s">
        <v>1388</v>
      </c>
      <c r="E1838" s="97" t="s">
        <v>3637</v>
      </c>
      <c r="F1838" s="95" t="s">
        <v>3562</v>
      </c>
      <c r="G1838" s="77"/>
      <c r="H1838" s="77">
        <f>STOCK[[#This Row],[Precio Final]]</f>
        <v>40</v>
      </c>
      <c r="I1838" s="82">
        <f>STOCK[[#This Row],[Precio Venta Ideal (x1.5)]]</f>
        <v>19.5</v>
      </c>
      <c r="J1838" s="95">
        <v>1</v>
      </c>
      <c r="K1838" s="80">
        <f>SUMIFS(VENTAS[Cantidad],VENTAS[Código del producto Vendido],STOCK[[#This Row],[Code]])</f>
        <v>0</v>
      </c>
      <c r="L1838" s="80">
        <f>STOCK[[#This Row],[Entradas]]-STOCK[[#This Row],[Salidas]]</f>
        <v>1</v>
      </c>
      <c r="M1838" s="77">
        <f>STOCK[[#This Row],[Precio Final]]*10%</f>
        <v>4</v>
      </c>
      <c r="N1838" s="54">
        <v>0</v>
      </c>
      <c r="O1838" s="77">
        <v>0</v>
      </c>
      <c r="P1838" s="77">
        <v>9</v>
      </c>
      <c r="Q1838" s="77">
        <v>0</v>
      </c>
      <c r="R1838" s="80">
        <v>0</v>
      </c>
      <c r="S1838" s="77">
        <v>0</v>
      </c>
      <c r="T1838" s="77">
        <f>STOCK[[#This Row],[Costo Unitario (USD)]]+STOCK[[#This Row],[Costo Envío (USD)]]+STOCK[[#This Row],[Comisión 10%]]</f>
        <v>13</v>
      </c>
      <c r="U1838" s="53">
        <f>STOCK[[#This Row],[Costo total]]*1.5</f>
        <v>19.5</v>
      </c>
      <c r="V1838" s="53">
        <v>40</v>
      </c>
      <c r="W1838" s="77">
        <f>STOCK[[#This Row],[Precio Final]]-STOCK[[#This Row],[Costo total]]</f>
        <v>27</v>
      </c>
      <c r="X1838" s="77">
        <f>STOCK[[#This Row],[Ganancia Unitaria]]*STOCK[[#This Row],[Salidas]]</f>
        <v>0</v>
      </c>
      <c r="Y1838" s="77" t="s">
        <v>3482</v>
      </c>
      <c r="Z1838" s="90"/>
      <c r="AA1838" s="54">
        <f>STOCK[[#This Row],[Costo total]]*STOCK[[#This Row],[Entradas]]</f>
        <v>13</v>
      </c>
      <c r="AB1838" s="54">
        <f>STOCK[[#This Row],[Stock Actual]]*STOCK[[#This Row],[Costo total]]</f>
        <v>13</v>
      </c>
      <c r="AC1838" s="77"/>
      <c r="AD1838" s="98"/>
    </row>
    <row r="1839" s="53" customFormat="1" ht="50" customHeight="1" spans="1:30">
      <c r="A1839" s="95" t="s">
        <v>3638</v>
      </c>
      <c r="B1839" s="85"/>
      <c r="C1839" s="53" t="s">
        <v>32</v>
      </c>
      <c r="D1839" s="86" t="s">
        <v>749</v>
      </c>
      <c r="E1839" s="97" t="s">
        <v>3639</v>
      </c>
      <c r="F1839" s="95" t="s">
        <v>1047</v>
      </c>
      <c r="G1839" s="77"/>
      <c r="H1839" s="77">
        <f>STOCK[[#This Row],[Precio Final]]</f>
        <v>20</v>
      </c>
      <c r="I1839" s="82">
        <f>STOCK[[#This Row],[Precio Venta Ideal (x1.5)]]</f>
        <v>16.5</v>
      </c>
      <c r="J1839" s="95">
        <v>1</v>
      </c>
      <c r="K1839" s="80">
        <f>SUMIFS(VENTAS[Cantidad],VENTAS[Código del producto Vendido],STOCK[[#This Row],[Code]])</f>
        <v>0</v>
      </c>
      <c r="L1839" s="80">
        <f>STOCK[[#This Row],[Entradas]]-STOCK[[#This Row],[Salidas]]</f>
        <v>1</v>
      </c>
      <c r="M1839" s="77">
        <f>STOCK[[#This Row],[Precio Final]]*10%</f>
        <v>2</v>
      </c>
      <c r="N1839" s="54">
        <v>0</v>
      </c>
      <c r="O1839" s="77">
        <v>0</v>
      </c>
      <c r="P1839" s="77">
        <v>9</v>
      </c>
      <c r="Q1839" s="77">
        <v>0</v>
      </c>
      <c r="R1839" s="80">
        <v>0</v>
      </c>
      <c r="S1839" s="77">
        <v>0</v>
      </c>
      <c r="T1839" s="77">
        <f>STOCK[[#This Row],[Costo Unitario (USD)]]+STOCK[[#This Row],[Costo Envío (USD)]]+STOCK[[#This Row],[Comisión 10%]]</f>
        <v>11</v>
      </c>
      <c r="U1839" s="53">
        <f>STOCK[[#This Row],[Costo total]]*1.5</f>
        <v>16.5</v>
      </c>
      <c r="V1839" s="53">
        <v>20</v>
      </c>
      <c r="W1839" s="77">
        <f>STOCK[[#This Row],[Precio Final]]-STOCK[[#This Row],[Costo total]]</f>
        <v>9</v>
      </c>
      <c r="X1839" s="77">
        <f>STOCK[[#This Row],[Ganancia Unitaria]]*STOCK[[#This Row],[Salidas]]</f>
        <v>0</v>
      </c>
      <c r="Y1839" s="77" t="s">
        <v>3482</v>
      </c>
      <c r="Z1839" s="90"/>
      <c r="AA1839" s="54">
        <f>STOCK[[#This Row],[Costo total]]*STOCK[[#This Row],[Entradas]]</f>
        <v>11</v>
      </c>
      <c r="AB1839" s="54">
        <f>STOCK[[#This Row],[Stock Actual]]*STOCK[[#This Row],[Costo total]]</f>
        <v>11</v>
      </c>
      <c r="AC1839" s="77"/>
      <c r="AD1839" s="98"/>
    </row>
    <row r="1840" s="53" customFormat="1" ht="50" customHeight="1" spans="1:30">
      <c r="A1840" s="95" t="s">
        <v>3640</v>
      </c>
      <c r="B1840" s="85"/>
      <c r="C1840" s="53" t="s">
        <v>32</v>
      </c>
      <c r="D1840" s="86" t="s">
        <v>749</v>
      </c>
      <c r="E1840" s="97" t="s">
        <v>3641</v>
      </c>
      <c r="F1840" s="95" t="s">
        <v>49</v>
      </c>
      <c r="G1840" s="77"/>
      <c r="H1840" s="77">
        <f>STOCK[[#This Row],[Precio Final]]</f>
        <v>20</v>
      </c>
      <c r="I1840" s="82">
        <f>STOCK[[#This Row],[Precio Venta Ideal (x1.5)]]</f>
        <v>16.5</v>
      </c>
      <c r="J1840" s="95">
        <v>1</v>
      </c>
      <c r="K1840" s="80">
        <f>SUMIFS(VENTAS[Cantidad],VENTAS[Código del producto Vendido],STOCK[[#This Row],[Code]])</f>
        <v>0</v>
      </c>
      <c r="L1840" s="80">
        <f>STOCK[[#This Row],[Entradas]]-STOCK[[#This Row],[Salidas]]</f>
        <v>1</v>
      </c>
      <c r="M1840" s="77">
        <f>STOCK[[#This Row],[Precio Final]]*10%</f>
        <v>2</v>
      </c>
      <c r="N1840" s="54">
        <v>0</v>
      </c>
      <c r="O1840" s="77">
        <v>0</v>
      </c>
      <c r="P1840" s="77">
        <v>9</v>
      </c>
      <c r="Q1840" s="77">
        <v>0</v>
      </c>
      <c r="R1840" s="80">
        <v>0</v>
      </c>
      <c r="S1840" s="77">
        <v>0</v>
      </c>
      <c r="T1840" s="77">
        <f>STOCK[[#This Row],[Costo Unitario (USD)]]+STOCK[[#This Row],[Costo Envío (USD)]]+STOCK[[#This Row],[Comisión 10%]]</f>
        <v>11</v>
      </c>
      <c r="U1840" s="53">
        <f>STOCK[[#This Row],[Costo total]]*1.5</f>
        <v>16.5</v>
      </c>
      <c r="V1840" s="53">
        <v>20</v>
      </c>
      <c r="W1840" s="77">
        <f>STOCK[[#This Row],[Precio Final]]-STOCK[[#This Row],[Costo total]]</f>
        <v>9</v>
      </c>
      <c r="X1840" s="77">
        <f>STOCK[[#This Row],[Ganancia Unitaria]]*STOCK[[#This Row],[Salidas]]</f>
        <v>0</v>
      </c>
      <c r="Y1840" s="77" t="s">
        <v>3482</v>
      </c>
      <c r="Z1840" s="90"/>
      <c r="AA1840" s="54">
        <f>STOCK[[#This Row],[Costo total]]*STOCK[[#This Row],[Entradas]]</f>
        <v>11</v>
      </c>
      <c r="AB1840" s="54">
        <f>STOCK[[#This Row],[Stock Actual]]*STOCK[[#This Row],[Costo total]]</f>
        <v>11</v>
      </c>
      <c r="AC1840" s="77"/>
      <c r="AD1840" s="98"/>
    </row>
    <row r="1841" s="53" customFormat="1" ht="50" customHeight="1" spans="1:30">
      <c r="A1841" s="95" t="s">
        <v>3642</v>
      </c>
      <c r="B1841" s="85"/>
      <c r="C1841" s="53" t="s">
        <v>32</v>
      </c>
      <c r="D1841" s="86" t="s">
        <v>749</v>
      </c>
      <c r="E1841" s="97" t="s">
        <v>3643</v>
      </c>
      <c r="F1841" s="95" t="s">
        <v>62</v>
      </c>
      <c r="G1841" s="77"/>
      <c r="H1841" s="77">
        <f>STOCK[[#This Row],[Precio Final]]</f>
        <v>15</v>
      </c>
      <c r="I1841" s="82">
        <f>STOCK[[#This Row],[Precio Venta Ideal (x1.5)]]</f>
        <v>15.75</v>
      </c>
      <c r="J1841" s="95">
        <v>5</v>
      </c>
      <c r="K1841" s="80">
        <f>SUMIFS(VENTAS[Cantidad],VENTAS[Código del producto Vendido],STOCK[[#This Row],[Code]])</f>
        <v>0</v>
      </c>
      <c r="L1841" s="80">
        <f>STOCK[[#This Row],[Entradas]]-STOCK[[#This Row],[Salidas]]</f>
        <v>5</v>
      </c>
      <c r="M1841" s="77">
        <f>STOCK[[#This Row],[Precio Final]]*10%</f>
        <v>1.5</v>
      </c>
      <c r="N1841" s="54">
        <v>0</v>
      </c>
      <c r="O1841" s="77">
        <v>0</v>
      </c>
      <c r="P1841" s="77">
        <v>9</v>
      </c>
      <c r="Q1841" s="77">
        <v>0</v>
      </c>
      <c r="R1841" s="80">
        <v>0</v>
      </c>
      <c r="S1841" s="77">
        <v>0</v>
      </c>
      <c r="T1841" s="77">
        <f>STOCK[[#This Row],[Costo Unitario (USD)]]+STOCK[[#This Row],[Costo Envío (USD)]]+STOCK[[#This Row],[Comisión 10%]]</f>
        <v>10.5</v>
      </c>
      <c r="U1841" s="53">
        <f>STOCK[[#This Row],[Costo total]]*1.5</f>
        <v>15.75</v>
      </c>
      <c r="V1841" s="53">
        <v>15</v>
      </c>
      <c r="W1841" s="77">
        <f>STOCK[[#This Row],[Precio Final]]-STOCK[[#This Row],[Costo total]]</f>
        <v>4.5</v>
      </c>
      <c r="X1841" s="77">
        <f>STOCK[[#This Row],[Ganancia Unitaria]]*STOCK[[#This Row],[Salidas]]</f>
        <v>0</v>
      </c>
      <c r="Y1841" s="77" t="s">
        <v>3482</v>
      </c>
      <c r="Z1841" s="90"/>
      <c r="AA1841" s="54">
        <f>STOCK[[#This Row],[Costo total]]*STOCK[[#This Row],[Entradas]]</f>
        <v>52.5</v>
      </c>
      <c r="AB1841" s="54">
        <f>STOCK[[#This Row],[Stock Actual]]*STOCK[[#This Row],[Costo total]]</f>
        <v>52.5</v>
      </c>
      <c r="AC1841" s="77"/>
      <c r="AD1841" s="98"/>
    </row>
    <row r="1842" s="53" customFormat="1" ht="50" customHeight="1" spans="1:30">
      <c r="A1842" s="95" t="s">
        <v>3644</v>
      </c>
      <c r="B1842" s="85"/>
      <c r="C1842" s="53" t="s">
        <v>32</v>
      </c>
      <c r="D1842" s="86" t="s">
        <v>780</v>
      </c>
      <c r="E1842" s="97" t="s">
        <v>3645</v>
      </c>
      <c r="F1842" s="95" t="s">
        <v>46</v>
      </c>
      <c r="G1842" s="77"/>
      <c r="H1842" s="77">
        <f>STOCK[[#This Row],[Precio Final]]</f>
        <v>15</v>
      </c>
      <c r="I1842" s="82">
        <f>STOCK[[#This Row],[Precio Venta Ideal (x1.5)]]</f>
        <v>15.75</v>
      </c>
      <c r="J1842" s="95">
        <v>1</v>
      </c>
      <c r="K1842" s="80">
        <f>SUMIFS(VENTAS[Cantidad],VENTAS[Código del producto Vendido],STOCK[[#This Row],[Code]])</f>
        <v>0</v>
      </c>
      <c r="L1842" s="80">
        <f>STOCK[[#This Row],[Entradas]]-STOCK[[#This Row],[Salidas]]</f>
        <v>1</v>
      </c>
      <c r="M1842" s="77">
        <f>STOCK[[#This Row],[Precio Final]]*10%</f>
        <v>1.5</v>
      </c>
      <c r="N1842" s="54">
        <v>0</v>
      </c>
      <c r="O1842" s="77">
        <v>0</v>
      </c>
      <c r="P1842" s="77">
        <v>9</v>
      </c>
      <c r="Q1842" s="77">
        <v>0</v>
      </c>
      <c r="R1842" s="80">
        <v>0</v>
      </c>
      <c r="S1842" s="77">
        <v>0</v>
      </c>
      <c r="T1842" s="77">
        <f>STOCK[[#This Row],[Costo Unitario (USD)]]+STOCK[[#This Row],[Costo Envío (USD)]]+STOCK[[#This Row],[Comisión 10%]]</f>
        <v>10.5</v>
      </c>
      <c r="U1842" s="53">
        <f>STOCK[[#This Row],[Costo total]]*1.5</f>
        <v>15.75</v>
      </c>
      <c r="V1842" s="53">
        <v>15</v>
      </c>
      <c r="W1842" s="77">
        <f>STOCK[[#This Row],[Precio Final]]-STOCK[[#This Row],[Costo total]]</f>
        <v>4.5</v>
      </c>
      <c r="X1842" s="77">
        <f>STOCK[[#This Row],[Ganancia Unitaria]]*STOCK[[#This Row],[Salidas]]</f>
        <v>0</v>
      </c>
      <c r="Y1842" s="77" t="s">
        <v>3482</v>
      </c>
      <c r="Z1842" s="90"/>
      <c r="AA1842" s="54">
        <f>STOCK[[#This Row],[Costo total]]*STOCK[[#This Row],[Entradas]]</f>
        <v>10.5</v>
      </c>
      <c r="AB1842" s="54">
        <f>STOCK[[#This Row],[Stock Actual]]*STOCK[[#This Row],[Costo total]]</f>
        <v>10.5</v>
      </c>
      <c r="AC1842" s="77"/>
      <c r="AD1842" s="98"/>
    </row>
    <row r="1843" s="53" customFormat="1" ht="50" customHeight="1" spans="1:30">
      <c r="A1843" s="95" t="s">
        <v>3646</v>
      </c>
      <c r="B1843" s="85"/>
      <c r="C1843" s="53" t="s">
        <v>32</v>
      </c>
      <c r="D1843" s="86" t="s">
        <v>780</v>
      </c>
      <c r="E1843" s="97" t="s">
        <v>3645</v>
      </c>
      <c r="F1843" s="95" t="s">
        <v>281</v>
      </c>
      <c r="G1843" s="77"/>
      <c r="H1843" s="77">
        <f>STOCK[[#This Row],[Precio Final]]</f>
        <v>15</v>
      </c>
      <c r="I1843" s="82">
        <f>STOCK[[#This Row],[Precio Venta Ideal (x1.5)]]</f>
        <v>15.75</v>
      </c>
      <c r="J1843" s="95">
        <v>1</v>
      </c>
      <c r="K1843" s="80">
        <f>SUMIFS(VENTAS[Cantidad],VENTAS[Código del producto Vendido],STOCK[[#This Row],[Code]])</f>
        <v>0</v>
      </c>
      <c r="L1843" s="80">
        <f>STOCK[[#This Row],[Entradas]]-STOCK[[#This Row],[Salidas]]</f>
        <v>1</v>
      </c>
      <c r="M1843" s="77">
        <f>STOCK[[#This Row],[Precio Final]]*10%</f>
        <v>1.5</v>
      </c>
      <c r="N1843" s="54">
        <v>0</v>
      </c>
      <c r="O1843" s="77">
        <v>0</v>
      </c>
      <c r="P1843" s="77">
        <v>9</v>
      </c>
      <c r="Q1843" s="77">
        <v>0</v>
      </c>
      <c r="R1843" s="80">
        <v>0</v>
      </c>
      <c r="S1843" s="77">
        <v>0</v>
      </c>
      <c r="T1843" s="77">
        <f>STOCK[[#This Row],[Costo Unitario (USD)]]+STOCK[[#This Row],[Costo Envío (USD)]]+STOCK[[#This Row],[Comisión 10%]]</f>
        <v>10.5</v>
      </c>
      <c r="U1843" s="53">
        <f>STOCK[[#This Row],[Costo total]]*1.5</f>
        <v>15.75</v>
      </c>
      <c r="V1843" s="53">
        <v>15</v>
      </c>
      <c r="W1843" s="77">
        <f>STOCK[[#This Row],[Precio Final]]-STOCK[[#This Row],[Costo total]]</f>
        <v>4.5</v>
      </c>
      <c r="X1843" s="77">
        <f>STOCK[[#This Row],[Ganancia Unitaria]]*STOCK[[#This Row],[Salidas]]</f>
        <v>0</v>
      </c>
      <c r="Y1843" s="77" t="s">
        <v>3482</v>
      </c>
      <c r="Z1843" s="90"/>
      <c r="AA1843" s="54">
        <f>STOCK[[#This Row],[Costo total]]*STOCK[[#This Row],[Entradas]]</f>
        <v>10.5</v>
      </c>
      <c r="AB1843" s="54">
        <f>STOCK[[#This Row],[Stock Actual]]*STOCK[[#This Row],[Costo total]]</f>
        <v>10.5</v>
      </c>
      <c r="AC1843" s="77"/>
      <c r="AD1843" s="98"/>
    </row>
    <row r="1844" s="53" customFormat="1" ht="50" customHeight="1" spans="1:30">
      <c r="A1844" s="95" t="s">
        <v>3647</v>
      </c>
      <c r="B1844" s="85"/>
      <c r="C1844" s="53" t="s">
        <v>32</v>
      </c>
      <c r="D1844" s="86" t="s">
        <v>780</v>
      </c>
      <c r="E1844" s="97" t="s">
        <v>3648</v>
      </c>
      <c r="F1844" s="95" t="s">
        <v>1408</v>
      </c>
      <c r="G1844" s="77"/>
      <c r="H1844" s="77">
        <f>STOCK[[#This Row],[Precio Final]]</f>
        <v>15</v>
      </c>
      <c r="I1844" s="82">
        <f>STOCK[[#This Row],[Precio Venta Ideal (x1.5)]]</f>
        <v>15.75</v>
      </c>
      <c r="J1844" s="95">
        <v>1</v>
      </c>
      <c r="K1844" s="80">
        <f>SUMIFS(VENTAS[Cantidad],VENTAS[Código del producto Vendido],STOCK[[#This Row],[Code]])</f>
        <v>0</v>
      </c>
      <c r="L1844" s="80">
        <f>STOCK[[#This Row],[Entradas]]-STOCK[[#This Row],[Salidas]]</f>
        <v>1</v>
      </c>
      <c r="M1844" s="77">
        <f>STOCK[[#This Row],[Precio Final]]*10%</f>
        <v>1.5</v>
      </c>
      <c r="N1844" s="54">
        <v>0</v>
      </c>
      <c r="O1844" s="77">
        <v>0</v>
      </c>
      <c r="P1844" s="77">
        <v>9</v>
      </c>
      <c r="Q1844" s="77">
        <v>0</v>
      </c>
      <c r="R1844" s="80">
        <v>0</v>
      </c>
      <c r="S1844" s="77">
        <v>0</v>
      </c>
      <c r="T1844" s="77">
        <f>STOCK[[#This Row],[Costo Unitario (USD)]]+STOCK[[#This Row],[Costo Envío (USD)]]+STOCK[[#This Row],[Comisión 10%]]</f>
        <v>10.5</v>
      </c>
      <c r="U1844" s="53">
        <f>STOCK[[#This Row],[Costo total]]*1.5</f>
        <v>15.75</v>
      </c>
      <c r="V1844" s="53">
        <v>15</v>
      </c>
      <c r="W1844" s="77">
        <f>STOCK[[#This Row],[Precio Final]]-STOCK[[#This Row],[Costo total]]</f>
        <v>4.5</v>
      </c>
      <c r="X1844" s="77">
        <f>STOCK[[#This Row],[Ganancia Unitaria]]*STOCK[[#This Row],[Salidas]]</f>
        <v>0</v>
      </c>
      <c r="Y1844" s="77" t="s">
        <v>3482</v>
      </c>
      <c r="Z1844" s="90"/>
      <c r="AA1844" s="54">
        <f>STOCK[[#This Row],[Costo total]]*STOCK[[#This Row],[Entradas]]</f>
        <v>10.5</v>
      </c>
      <c r="AB1844" s="54">
        <f>STOCK[[#This Row],[Stock Actual]]*STOCK[[#This Row],[Costo total]]</f>
        <v>10.5</v>
      </c>
      <c r="AC1844" s="77"/>
      <c r="AD1844" s="98"/>
    </row>
    <row r="1845" s="53" customFormat="1" ht="50" customHeight="1" spans="1:30">
      <c r="A1845" s="99" t="s">
        <v>3649</v>
      </c>
      <c r="B1845" s="85"/>
      <c r="C1845" s="53" t="s">
        <v>32</v>
      </c>
      <c r="D1845" s="86" t="s">
        <v>749</v>
      </c>
      <c r="E1845" s="100" t="s">
        <v>3650</v>
      </c>
      <c r="F1845" s="99" t="s">
        <v>62</v>
      </c>
      <c r="G1845" s="77"/>
      <c r="H1845" s="77">
        <f>STOCK[[#This Row],[Precio Final]]</f>
        <v>18</v>
      </c>
      <c r="I1845" s="82">
        <f>STOCK[[#This Row],[Precio Venta Ideal (x1.5)]]</f>
        <v>16.2</v>
      </c>
      <c r="J1845" s="99">
        <v>2</v>
      </c>
      <c r="K1845" s="80">
        <f>SUMIFS(VENTAS[Cantidad],VENTAS[Código del producto Vendido],STOCK[[#This Row],[Code]])</f>
        <v>0</v>
      </c>
      <c r="L1845" s="80">
        <f>STOCK[[#This Row],[Entradas]]-STOCK[[#This Row],[Salidas]]</f>
        <v>2</v>
      </c>
      <c r="M1845" s="77">
        <f>STOCK[[#This Row],[Precio Final]]*10%</f>
        <v>1.8</v>
      </c>
      <c r="N1845" s="54">
        <v>0</v>
      </c>
      <c r="O1845" s="77">
        <v>0</v>
      </c>
      <c r="P1845" s="77">
        <v>9</v>
      </c>
      <c r="Q1845" s="77">
        <v>0</v>
      </c>
      <c r="R1845" s="80">
        <v>0</v>
      </c>
      <c r="S1845" s="77">
        <v>0</v>
      </c>
      <c r="T1845" s="77">
        <f>STOCK[[#This Row],[Costo Unitario (USD)]]+STOCK[[#This Row],[Costo Envío (USD)]]+STOCK[[#This Row],[Comisión 10%]]</f>
        <v>10.8</v>
      </c>
      <c r="U1845" s="53">
        <f>STOCK[[#This Row],[Costo total]]*1.5</f>
        <v>16.2</v>
      </c>
      <c r="V1845" s="53">
        <v>18</v>
      </c>
      <c r="W1845" s="77">
        <f>STOCK[[#This Row],[Precio Final]]-STOCK[[#This Row],[Costo total]]</f>
        <v>7.2</v>
      </c>
      <c r="X1845" s="77">
        <f>STOCK[[#This Row],[Ganancia Unitaria]]*STOCK[[#This Row],[Salidas]]</f>
        <v>0</v>
      </c>
      <c r="Y1845" s="77"/>
      <c r="Z1845" s="90"/>
      <c r="AA1845" s="54"/>
      <c r="AB1845" s="54"/>
      <c r="AC1845" s="77"/>
      <c r="AD1845" s="98"/>
    </row>
    <row r="1846" s="53" customFormat="1" ht="50" customHeight="1" spans="1:30">
      <c r="A1846" s="99" t="s">
        <v>3651</v>
      </c>
      <c r="B1846" s="85"/>
      <c r="C1846" s="53" t="s">
        <v>32</v>
      </c>
      <c r="D1846" s="86" t="s">
        <v>780</v>
      </c>
      <c r="E1846" s="100" t="s">
        <v>3652</v>
      </c>
      <c r="F1846" s="99" t="s">
        <v>46</v>
      </c>
      <c r="G1846" s="77"/>
      <c r="H1846" s="77">
        <f>STOCK[[#This Row],[Precio Final]]</f>
        <v>22</v>
      </c>
      <c r="I1846" s="82">
        <f>STOCK[[#This Row],[Precio Venta Ideal (x1.5)]]</f>
        <v>16.8</v>
      </c>
      <c r="J1846" s="99">
        <v>1</v>
      </c>
      <c r="K1846" s="80">
        <f>SUMIFS(VENTAS[Cantidad],VENTAS[Código del producto Vendido],STOCK[[#This Row],[Code]])</f>
        <v>0</v>
      </c>
      <c r="L1846" s="80">
        <f>STOCK[[#This Row],[Entradas]]-STOCK[[#This Row],[Salidas]]</f>
        <v>1</v>
      </c>
      <c r="M1846" s="77">
        <f>STOCK[[#This Row],[Precio Final]]*10%</f>
        <v>2.2</v>
      </c>
      <c r="N1846" s="54">
        <v>0</v>
      </c>
      <c r="O1846" s="77">
        <v>0</v>
      </c>
      <c r="P1846" s="77">
        <v>9</v>
      </c>
      <c r="Q1846" s="77">
        <v>0</v>
      </c>
      <c r="R1846" s="80">
        <v>0</v>
      </c>
      <c r="S1846" s="77">
        <v>0</v>
      </c>
      <c r="T1846" s="77">
        <f>STOCK[[#This Row],[Costo Unitario (USD)]]+STOCK[[#This Row],[Costo Envío (USD)]]+STOCK[[#This Row],[Comisión 10%]]</f>
        <v>11.2</v>
      </c>
      <c r="U1846" s="53">
        <f>STOCK[[#This Row],[Costo total]]*1.5</f>
        <v>16.8</v>
      </c>
      <c r="V1846" s="53">
        <v>22</v>
      </c>
      <c r="W1846" s="77">
        <f>STOCK[[#This Row],[Precio Final]]-STOCK[[#This Row],[Costo total]]</f>
        <v>10.8</v>
      </c>
      <c r="X1846" s="77">
        <f>STOCK[[#This Row],[Ganancia Unitaria]]*STOCK[[#This Row],[Salidas]]</f>
        <v>0</v>
      </c>
      <c r="Y1846" s="77"/>
      <c r="Z1846" s="90"/>
      <c r="AA1846" s="54"/>
      <c r="AB1846" s="54"/>
      <c r="AC1846" s="77"/>
      <c r="AD1846" s="98"/>
    </row>
    <row r="1847" s="53" customFormat="1" ht="50" customHeight="1" spans="1:30">
      <c r="A1847" s="99" t="s">
        <v>3653</v>
      </c>
      <c r="B1847" s="85"/>
      <c r="C1847" s="53" t="s">
        <v>32</v>
      </c>
      <c r="D1847" s="86" t="s">
        <v>749</v>
      </c>
      <c r="E1847" s="100" t="s">
        <v>3654</v>
      </c>
      <c r="F1847" s="99" t="s">
        <v>46</v>
      </c>
      <c r="G1847" s="77"/>
      <c r="H1847" s="77">
        <f>STOCK[[#This Row],[Precio Final]]</f>
        <v>30</v>
      </c>
      <c r="I1847" s="82">
        <f>STOCK[[#This Row],[Precio Venta Ideal (x1.5)]]</f>
        <v>18</v>
      </c>
      <c r="J1847" s="99">
        <v>1</v>
      </c>
      <c r="K1847" s="80">
        <f>SUMIFS(VENTAS[Cantidad],VENTAS[Código del producto Vendido],STOCK[[#This Row],[Code]])</f>
        <v>0</v>
      </c>
      <c r="L1847" s="80">
        <f>STOCK[[#This Row],[Entradas]]-STOCK[[#This Row],[Salidas]]</f>
        <v>1</v>
      </c>
      <c r="M1847" s="77">
        <f>STOCK[[#This Row],[Precio Final]]*10%</f>
        <v>3</v>
      </c>
      <c r="N1847" s="54">
        <v>0</v>
      </c>
      <c r="O1847" s="77">
        <v>0</v>
      </c>
      <c r="P1847" s="77">
        <v>9</v>
      </c>
      <c r="Q1847" s="77">
        <v>0</v>
      </c>
      <c r="R1847" s="80">
        <v>0</v>
      </c>
      <c r="S1847" s="77">
        <v>0</v>
      </c>
      <c r="T1847" s="77">
        <f>STOCK[[#This Row],[Costo Unitario (USD)]]+STOCK[[#This Row],[Costo Envío (USD)]]+STOCK[[#This Row],[Comisión 10%]]</f>
        <v>12</v>
      </c>
      <c r="U1847" s="53">
        <f>STOCK[[#This Row],[Costo total]]*1.5</f>
        <v>18</v>
      </c>
      <c r="V1847" s="53">
        <v>30</v>
      </c>
      <c r="W1847" s="77">
        <f>STOCK[[#This Row],[Precio Final]]-STOCK[[#This Row],[Costo total]]</f>
        <v>18</v>
      </c>
      <c r="X1847" s="77">
        <f>STOCK[[#This Row],[Ganancia Unitaria]]*STOCK[[#This Row],[Salidas]]</f>
        <v>0</v>
      </c>
      <c r="Y1847" s="77"/>
      <c r="Z1847" s="90"/>
      <c r="AA1847" s="54"/>
      <c r="AB1847" s="54"/>
      <c r="AC1847" s="77"/>
      <c r="AD1847" s="98"/>
    </row>
    <row r="1848" s="53" customFormat="1" ht="50" customHeight="1" spans="1:30">
      <c r="A1848" s="99" t="s">
        <v>3655</v>
      </c>
      <c r="B1848" s="85"/>
      <c r="C1848" s="53" t="s">
        <v>32</v>
      </c>
      <c r="D1848" s="86" t="s">
        <v>749</v>
      </c>
      <c r="E1848" s="100" t="s">
        <v>3656</v>
      </c>
      <c r="F1848" s="99" t="s">
        <v>46</v>
      </c>
      <c r="G1848" s="77"/>
      <c r="H1848" s="77">
        <f>STOCK[[#This Row],[Precio Final]]</f>
        <v>30</v>
      </c>
      <c r="I1848" s="82">
        <f>STOCK[[#This Row],[Precio Venta Ideal (x1.5)]]</f>
        <v>18</v>
      </c>
      <c r="J1848" s="99">
        <v>1</v>
      </c>
      <c r="K1848" s="80">
        <f>SUMIFS(VENTAS[Cantidad],VENTAS[Código del producto Vendido],STOCK[[#This Row],[Code]])</f>
        <v>0</v>
      </c>
      <c r="L1848" s="80">
        <f>STOCK[[#This Row],[Entradas]]-STOCK[[#This Row],[Salidas]]</f>
        <v>1</v>
      </c>
      <c r="M1848" s="77">
        <f>STOCK[[#This Row],[Precio Final]]*10%</f>
        <v>3</v>
      </c>
      <c r="N1848" s="54">
        <v>0</v>
      </c>
      <c r="O1848" s="77">
        <v>0</v>
      </c>
      <c r="P1848" s="77">
        <v>9</v>
      </c>
      <c r="Q1848" s="77">
        <v>0</v>
      </c>
      <c r="R1848" s="80">
        <v>0</v>
      </c>
      <c r="S1848" s="77">
        <v>0</v>
      </c>
      <c r="T1848" s="77">
        <f>STOCK[[#This Row],[Costo Unitario (USD)]]+STOCK[[#This Row],[Costo Envío (USD)]]+STOCK[[#This Row],[Comisión 10%]]</f>
        <v>12</v>
      </c>
      <c r="U1848" s="53">
        <f>STOCK[[#This Row],[Costo total]]*1.5</f>
        <v>18</v>
      </c>
      <c r="V1848" s="53">
        <v>30</v>
      </c>
      <c r="W1848" s="77">
        <f>STOCK[[#This Row],[Precio Final]]-STOCK[[#This Row],[Costo total]]</f>
        <v>18</v>
      </c>
      <c r="X1848" s="77">
        <f>STOCK[[#This Row],[Ganancia Unitaria]]*STOCK[[#This Row],[Salidas]]</f>
        <v>0</v>
      </c>
      <c r="Y1848" s="77"/>
      <c r="Z1848" s="90"/>
      <c r="AA1848" s="54"/>
      <c r="AB1848" s="54"/>
      <c r="AC1848" s="77"/>
      <c r="AD1848" s="98"/>
    </row>
    <row r="1849" s="53" customFormat="1" ht="50" customHeight="1" spans="1:30">
      <c r="A1849" s="99" t="s">
        <v>3657</v>
      </c>
      <c r="B1849" s="85"/>
      <c r="C1849" s="53" t="s">
        <v>32</v>
      </c>
      <c r="D1849" s="86" t="s">
        <v>780</v>
      </c>
      <c r="E1849" s="100" t="s">
        <v>3658</v>
      </c>
      <c r="F1849" s="99" t="s">
        <v>46</v>
      </c>
      <c r="G1849" s="77"/>
      <c r="H1849" s="77">
        <f>STOCK[[#This Row],[Precio Final]]</f>
        <v>30</v>
      </c>
      <c r="I1849" s="82">
        <f>STOCK[[#This Row],[Precio Venta Ideal (x1.5)]]</f>
        <v>18</v>
      </c>
      <c r="J1849" s="99">
        <v>1</v>
      </c>
      <c r="K1849" s="80">
        <f>SUMIFS(VENTAS[Cantidad],VENTAS[Código del producto Vendido],STOCK[[#This Row],[Code]])</f>
        <v>0</v>
      </c>
      <c r="L1849" s="80">
        <f>STOCK[[#This Row],[Entradas]]-STOCK[[#This Row],[Salidas]]</f>
        <v>1</v>
      </c>
      <c r="M1849" s="77">
        <f>STOCK[[#This Row],[Precio Final]]*10%</f>
        <v>3</v>
      </c>
      <c r="N1849" s="54">
        <v>0</v>
      </c>
      <c r="O1849" s="77">
        <v>0</v>
      </c>
      <c r="P1849" s="77">
        <v>9</v>
      </c>
      <c r="Q1849" s="77">
        <v>0</v>
      </c>
      <c r="R1849" s="80">
        <v>0</v>
      </c>
      <c r="S1849" s="77">
        <v>0</v>
      </c>
      <c r="T1849" s="77">
        <f>STOCK[[#This Row],[Costo Unitario (USD)]]+STOCK[[#This Row],[Costo Envío (USD)]]+STOCK[[#This Row],[Comisión 10%]]</f>
        <v>12</v>
      </c>
      <c r="U1849" s="53">
        <f>STOCK[[#This Row],[Costo total]]*1.5</f>
        <v>18</v>
      </c>
      <c r="V1849" s="53">
        <v>30</v>
      </c>
      <c r="W1849" s="77">
        <f>STOCK[[#This Row],[Precio Final]]-STOCK[[#This Row],[Costo total]]</f>
        <v>18</v>
      </c>
      <c r="X1849" s="77">
        <f>STOCK[[#This Row],[Ganancia Unitaria]]*STOCK[[#This Row],[Salidas]]</f>
        <v>0</v>
      </c>
      <c r="Y1849" s="77"/>
      <c r="Z1849" s="90"/>
      <c r="AA1849" s="54"/>
      <c r="AB1849" s="54"/>
      <c r="AC1849" s="77"/>
      <c r="AD1849" s="98"/>
    </row>
    <row r="1850" s="53" customFormat="1" ht="50" customHeight="1" spans="1:30">
      <c r="A1850" s="99" t="s">
        <v>3659</v>
      </c>
      <c r="B1850" s="85"/>
      <c r="C1850" s="53" t="s">
        <v>32</v>
      </c>
      <c r="D1850" s="86" t="s">
        <v>749</v>
      </c>
      <c r="E1850" s="100" t="s">
        <v>3660</v>
      </c>
      <c r="F1850" s="99" t="s">
        <v>42</v>
      </c>
      <c r="G1850" s="77"/>
      <c r="H1850" s="77">
        <f>STOCK[[#This Row],[Precio Final]]</f>
        <v>30</v>
      </c>
      <c r="I1850" s="82">
        <f>STOCK[[#This Row],[Precio Venta Ideal (x1.5)]]</f>
        <v>18</v>
      </c>
      <c r="J1850" s="99">
        <v>1</v>
      </c>
      <c r="K1850" s="80">
        <f>SUMIFS(VENTAS[Cantidad],VENTAS[Código del producto Vendido],STOCK[[#This Row],[Code]])</f>
        <v>0</v>
      </c>
      <c r="L1850" s="80">
        <f>STOCK[[#This Row],[Entradas]]-STOCK[[#This Row],[Salidas]]</f>
        <v>1</v>
      </c>
      <c r="M1850" s="77">
        <f>STOCK[[#This Row],[Precio Final]]*10%</f>
        <v>3</v>
      </c>
      <c r="N1850" s="54">
        <v>0</v>
      </c>
      <c r="O1850" s="77">
        <v>0</v>
      </c>
      <c r="P1850" s="77">
        <v>9</v>
      </c>
      <c r="Q1850" s="77">
        <v>0</v>
      </c>
      <c r="R1850" s="80">
        <v>0</v>
      </c>
      <c r="S1850" s="77">
        <v>0</v>
      </c>
      <c r="T1850" s="77">
        <f>STOCK[[#This Row],[Costo Unitario (USD)]]+STOCK[[#This Row],[Costo Envío (USD)]]+STOCK[[#This Row],[Comisión 10%]]</f>
        <v>12</v>
      </c>
      <c r="U1850" s="53">
        <f>STOCK[[#This Row],[Costo total]]*1.5</f>
        <v>18</v>
      </c>
      <c r="V1850" s="53">
        <v>30</v>
      </c>
      <c r="W1850" s="77">
        <f>STOCK[[#This Row],[Precio Final]]-STOCK[[#This Row],[Costo total]]</f>
        <v>18</v>
      </c>
      <c r="X1850" s="77">
        <f>STOCK[[#This Row],[Ganancia Unitaria]]*STOCK[[#This Row],[Salidas]]</f>
        <v>0</v>
      </c>
      <c r="Y1850" s="77"/>
      <c r="Z1850" s="90"/>
      <c r="AA1850" s="54"/>
      <c r="AB1850" s="54"/>
      <c r="AC1850" s="77"/>
      <c r="AD1850" s="98"/>
    </row>
    <row r="1851" s="53" customFormat="1" ht="50" customHeight="1" spans="1:30">
      <c r="A1851" s="99" t="s">
        <v>3661</v>
      </c>
      <c r="B1851" s="85"/>
      <c r="C1851" s="53" t="s">
        <v>32</v>
      </c>
      <c r="D1851" s="86" t="s">
        <v>749</v>
      </c>
      <c r="E1851" s="100" t="s">
        <v>3662</v>
      </c>
      <c r="F1851" s="99" t="s">
        <v>46</v>
      </c>
      <c r="G1851" s="77"/>
      <c r="H1851" s="77">
        <f>STOCK[[#This Row],[Precio Final]]</f>
        <v>18</v>
      </c>
      <c r="I1851" s="82">
        <f>STOCK[[#This Row],[Precio Venta Ideal (x1.5)]]</f>
        <v>16.2</v>
      </c>
      <c r="J1851" s="99">
        <v>2</v>
      </c>
      <c r="K1851" s="80">
        <f>SUMIFS(VENTAS[Cantidad],VENTAS[Código del producto Vendido],STOCK[[#This Row],[Code]])</f>
        <v>0</v>
      </c>
      <c r="L1851" s="80">
        <f>STOCK[[#This Row],[Entradas]]-STOCK[[#This Row],[Salidas]]</f>
        <v>2</v>
      </c>
      <c r="M1851" s="77">
        <f>STOCK[[#This Row],[Precio Final]]*10%</f>
        <v>1.8</v>
      </c>
      <c r="N1851" s="54">
        <v>0</v>
      </c>
      <c r="O1851" s="77">
        <v>0</v>
      </c>
      <c r="P1851" s="77">
        <v>9</v>
      </c>
      <c r="Q1851" s="77">
        <v>0</v>
      </c>
      <c r="R1851" s="80">
        <v>0</v>
      </c>
      <c r="S1851" s="77">
        <v>0</v>
      </c>
      <c r="T1851" s="77">
        <f>STOCK[[#This Row],[Costo Unitario (USD)]]+STOCK[[#This Row],[Costo Envío (USD)]]+STOCK[[#This Row],[Comisión 10%]]</f>
        <v>10.8</v>
      </c>
      <c r="U1851" s="53">
        <f>STOCK[[#This Row],[Costo total]]*1.5</f>
        <v>16.2</v>
      </c>
      <c r="V1851" s="53">
        <v>18</v>
      </c>
      <c r="W1851" s="77">
        <f>STOCK[[#This Row],[Precio Final]]-STOCK[[#This Row],[Costo total]]</f>
        <v>7.2</v>
      </c>
      <c r="X1851" s="77">
        <f>STOCK[[#This Row],[Ganancia Unitaria]]*STOCK[[#This Row],[Salidas]]</f>
        <v>0</v>
      </c>
      <c r="Y1851" s="77"/>
      <c r="Z1851" s="90"/>
      <c r="AA1851" s="54"/>
      <c r="AB1851" s="54"/>
      <c r="AC1851" s="77"/>
      <c r="AD1851" s="98"/>
    </row>
    <row r="1852" s="53" customFormat="1" ht="50" customHeight="1" spans="1:30">
      <c r="A1852" s="99" t="s">
        <v>3663</v>
      </c>
      <c r="B1852" s="85"/>
      <c r="C1852" s="53" t="s">
        <v>32</v>
      </c>
      <c r="D1852" s="86" t="s">
        <v>749</v>
      </c>
      <c r="E1852" s="100" t="s">
        <v>3664</v>
      </c>
      <c r="F1852" s="99" t="s">
        <v>46</v>
      </c>
      <c r="G1852" s="77"/>
      <c r="H1852" s="77">
        <f>STOCK[[#This Row],[Precio Final]]</f>
        <v>18</v>
      </c>
      <c r="I1852" s="82">
        <f>STOCK[[#This Row],[Precio Venta Ideal (x1.5)]]</f>
        <v>16.2</v>
      </c>
      <c r="J1852" s="99">
        <v>3</v>
      </c>
      <c r="K1852" s="80">
        <f>SUMIFS(VENTAS[Cantidad],VENTAS[Código del producto Vendido],STOCK[[#This Row],[Code]])</f>
        <v>0</v>
      </c>
      <c r="L1852" s="80">
        <f>STOCK[[#This Row],[Entradas]]-STOCK[[#This Row],[Salidas]]</f>
        <v>3</v>
      </c>
      <c r="M1852" s="77">
        <f>STOCK[[#This Row],[Precio Final]]*10%</f>
        <v>1.8</v>
      </c>
      <c r="N1852" s="54">
        <v>0</v>
      </c>
      <c r="O1852" s="77">
        <v>0</v>
      </c>
      <c r="P1852" s="77">
        <v>9</v>
      </c>
      <c r="Q1852" s="77">
        <v>0</v>
      </c>
      <c r="R1852" s="80">
        <v>0</v>
      </c>
      <c r="S1852" s="77">
        <v>0</v>
      </c>
      <c r="T1852" s="77">
        <f>STOCK[[#This Row],[Costo Unitario (USD)]]+STOCK[[#This Row],[Costo Envío (USD)]]+STOCK[[#This Row],[Comisión 10%]]</f>
        <v>10.8</v>
      </c>
      <c r="U1852" s="53">
        <f>STOCK[[#This Row],[Costo total]]*1.5</f>
        <v>16.2</v>
      </c>
      <c r="V1852" s="53">
        <v>18</v>
      </c>
      <c r="W1852" s="77">
        <f>STOCK[[#This Row],[Precio Final]]-STOCK[[#This Row],[Costo total]]</f>
        <v>7.2</v>
      </c>
      <c r="X1852" s="77">
        <f>STOCK[[#This Row],[Ganancia Unitaria]]*STOCK[[#This Row],[Salidas]]</f>
        <v>0</v>
      </c>
      <c r="Y1852" s="77"/>
      <c r="Z1852" s="90"/>
      <c r="AA1852" s="54"/>
      <c r="AB1852" s="54"/>
      <c r="AC1852" s="77"/>
      <c r="AD1852" s="98"/>
    </row>
    <row r="1853" s="53" customFormat="1" ht="50" customHeight="1" spans="1:30">
      <c r="A1853" s="99" t="s">
        <v>3665</v>
      </c>
      <c r="B1853" s="85"/>
      <c r="C1853" s="53" t="s">
        <v>32</v>
      </c>
      <c r="D1853" s="86" t="s">
        <v>749</v>
      </c>
      <c r="E1853" s="100" t="s">
        <v>3666</v>
      </c>
      <c r="F1853" s="99" t="s">
        <v>49</v>
      </c>
      <c r="G1853" s="77"/>
      <c r="H1853" s="77">
        <f>STOCK[[#This Row],[Precio Final]]</f>
        <v>35</v>
      </c>
      <c r="I1853" s="82">
        <f>STOCK[[#This Row],[Precio Venta Ideal (x1.5)]]</f>
        <v>18.75</v>
      </c>
      <c r="J1853" s="99">
        <v>1</v>
      </c>
      <c r="K1853" s="80">
        <f>SUMIFS(VENTAS[Cantidad],VENTAS[Código del producto Vendido],STOCK[[#This Row],[Code]])</f>
        <v>0</v>
      </c>
      <c r="L1853" s="80">
        <f>STOCK[[#This Row],[Entradas]]-STOCK[[#This Row],[Salidas]]</f>
        <v>1</v>
      </c>
      <c r="M1853" s="77">
        <f>STOCK[[#This Row],[Precio Final]]*10%</f>
        <v>3.5</v>
      </c>
      <c r="N1853" s="54">
        <v>0</v>
      </c>
      <c r="O1853" s="77">
        <v>0</v>
      </c>
      <c r="P1853" s="77">
        <v>9</v>
      </c>
      <c r="Q1853" s="77">
        <v>0</v>
      </c>
      <c r="R1853" s="80">
        <v>0</v>
      </c>
      <c r="S1853" s="77">
        <v>0</v>
      </c>
      <c r="T1853" s="77">
        <f>STOCK[[#This Row],[Costo Unitario (USD)]]+STOCK[[#This Row],[Costo Envío (USD)]]+STOCK[[#This Row],[Comisión 10%]]</f>
        <v>12.5</v>
      </c>
      <c r="U1853" s="53">
        <f>STOCK[[#This Row],[Costo total]]*1.5</f>
        <v>18.75</v>
      </c>
      <c r="V1853" s="53">
        <v>35</v>
      </c>
      <c r="W1853" s="77">
        <f>STOCK[[#This Row],[Precio Final]]-STOCK[[#This Row],[Costo total]]</f>
        <v>22.5</v>
      </c>
      <c r="X1853" s="77">
        <f>STOCK[[#This Row],[Ganancia Unitaria]]*STOCK[[#This Row],[Salidas]]</f>
        <v>0</v>
      </c>
      <c r="Y1853" s="77"/>
      <c r="Z1853" s="90"/>
      <c r="AA1853" s="54"/>
      <c r="AB1853" s="54"/>
      <c r="AC1853" s="77"/>
      <c r="AD1853" s="98"/>
    </row>
    <row r="1854" s="53" customFormat="1" ht="50" customHeight="1" spans="1:30">
      <c r="A1854" s="99" t="s">
        <v>3667</v>
      </c>
      <c r="B1854" s="85"/>
      <c r="C1854" s="53" t="s">
        <v>32</v>
      </c>
      <c r="D1854" s="86" t="s">
        <v>749</v>
      </c>
      <c r="E1854" s="100" t="s">
        <v>3668</v>
      </c>
      <c r="F1854" s="99" t="s">
        <v>46</v>
      </c>
      <c r="G1854" s="77"/>
      <c r="H1854" s="77">
        <f>STOCK[[#This Row],[Precio Final]]</f>
        <v>30</v>
      </c>
      <c r="I1854" s="82">
        <f>STOCK[[#This Row],[Precio Venta Ideal (x1.5)]]</f>
        <v>18</v>
      </c>
      <c r="J1854" s="99">
        <v>1</v>
      </c>
      <c r="K1854" s="80">
        <f>SUMIFS(VENTAS[Cantidad],VENTAS[Código del producto Vendido],STOCK[[#This Row],[Code]])</f>
        <v>0</v>
      </c>
      <c r="L1854" s="80">
        <f>STOCK[[#This Row],[Entradas]]-STOCK[[#This Row],[Salidas]]</f>
        <v>1</v>
      </c>
      <c r="M1854" s="77">
        <f>STOCK[[#This Row],[Precio Final]]*10%</f>
        <v>3</v>
      </c>
      <c r="N1854" s="54">
        <v>0</v>
      </c>
      <c r="O1854" s="77">
        <v>0</v>
      </c>
      <c r="P1854" s="77">
        <v>9</v>
      </c>
      <c r="Q1854" s="77">
        <v>0</v>
      </c>
      <c r="R1854" s="80">
        <v>0</v>
      </c>
      <c r="S1854" s="77">
        <v>0</v>
      </c>
      <c r="T1854" s="77">
        <f>STOCK[[#This Row],[Costo Unitario (USD)]]+STOCK[[#This Row],[Costo Envío (USD)]]+STOCK[[#This Row],[Comisión 10%]]</f>
        <v>12</v>
      </c>
      <c r="U1854" s="53">
        <f>STOCK[[#This Row],[Costo total]]*1.5</f>
        <v>18</v>
      </c>
      <c r="V1854" s="53">
        <v>30</v>
      </c>
      <c r="W1854" s="77">
        <f>STOCK[[#This Row],[Precio Final]]-STOCK[[#This Row],[Costo total]]</f>
        <v>18</v>
      </c>
      <c r="X1854" s="77">
        <f>STOCK[[#This Row],[Ganancia Unitaria]]*STOCK[[#This Row],[Salidas]]</f>
        <v>0</v>
      </c>
      <c r="Y1854" s="77"/>
      <c r="Z1854" s="90"/>
      <c r="AA1854" s="54"/>
      <c r="AB1854" s="54"/>
      <c r="AC1854" s="77"/>
      <c r="AD1854" s="98"/>
    </row>
    <row r="1855" s="53" customFormat="1" ht="50" customHeight="1" spans="1:30">
      <c r="A1855" s="99" t="s">
        <v>3669</v>
      </c>
      <c r="B1855" s="85"/>
      <c r="C1855" s="53" t="s">
        <v>32</v>
      </c>
      <c r="D1855" s="86" t="s">
        <v>780</v>
      </c>
      <c r="E1855" s="100" t="s">
        <v>3670</v>
      </c>
      <c r="F1855" s="99" t="s">
        <v>716</v>
      </c>
      <c r="G1855" s="77"/>
      <c r="H1855" s="77">
        <f>STOCK[[#This Row],[Precio Final]]</f>
        <v>30</v>
      </c>
      <c r="I1855" s="82">
        <f>STOCK[[#This Row],[Precio Venta Ideal (x1.5)]]</f>
        <v>18</v>
      </c>
      <c r="J1855" s="99">
        <v>1</v>
      </c>
      <c r="K1855" s="80">
        <f>SUMIFS(VENTAS[Cantidad],VENTAS[Código del producto Vendido],STOCK[[#This Row],[Code]])</f>
        <v>0</v>
      </c>
      <c r="L1855" s="80">
        <f>STOCK[[#This Row],[Entradas]]-STOCK[[#This Row],[Salidas]]</f>
        <v>1</v>
      </c>
      <c r="M1855" s="77">
        <f>STOCK[[#This Row],[Precio Final]]*10%</f>
        <v>3</v>
      </c>
      <c r="N1855" s="54">
        <v>0</v>
      </c>
      <c r="O1855" s="77">
        <v>0</v>
      </c>
      <c r="P1855" s="77">
        <v>9</v>
      </c>
      <c r="Q1855" s="77">
        <v>0</v>
      </c>
      <c r="R1855" s="80">
        <v>0</v>
      </c>
      <c r="S1855" s="77">
        <v>0</v>
      </c>
      <c r="T1855" s="77">
        <f>STOCK[[#This Row],[Costo Unitario (USD)]]+STOCK[[#This Row],[Costo Envío (USD)]]+STOCK[[#This Row],[Comisión 10%]]</f>
        <v>12</v>
      </c>
      <c r="U1855" s="53">
        <f>STOCK[[#This Row],[Costo total]]*1.5</f>
        <v>18</v>
      </c>
      <c r="V1855" s="53">
        <v>30</v>
      </c>
      <c r="W1855" s="77">
        <f>STOCK[[#This Row],[Precio Final]]-STOCK[[#This Row],[Costo total]]</f>
        <v>18</v>
      </c>
      <c r="X1855" s="77">
        <f>STOCK[[#This Row],[Ganancia Unitaria]]*STOCK[[#This Row],[Salidas]]</f>
        <v>0</v>
      </c>
      <c r="Y1855" s="77"/>
      <c r="Z1855" s="90"/>
      <c r="AA1855" s="54"/>
      <c r="AB1855" s="54"/>
      <c r="AC1855" s="77"/>
      <c r="AD1855" s="98"/>
    </row>
    <row r="1856" s="53" customFormat="1" ht="50" customHeight="1" spans="1:30">
      <c r="A1856" s="99" t="s">
        <v>3671</v>
      </c>
      <c r="B1856" s="85"/>
      <c r="C1856" s="53" t="s">
        <v>32</v>
      </c>
      <c r="D1856" s="86" t="s">
        <v>749</v>
      </c>
      <c r="E1856" s="100" t="s">
        <v>3672</v>
      </c>
      <c r="F1856" s="99" t="s">
        <v>46</v>
      </c>
      <c r="G1856" s="77"/>
      <c r="H1856" s="77">
        <f>STOCK[[#This Row],[Precio Final]]</f>
        <v>18</v>
      </c>
      <c r="I1856" s="82">
        <f>STOCK[[#This Row],[Precio Venta Ideal (x1.5)]]</f>
        <v>16.2</v>
      </c>
      <c r="J1856" s="99">
        <v>1</v>
      </c>
      <c r="K1856" s="80">
        <f>SUMIFS(VENTAS[Cantidad],VENTAS[Código del producto Vendido],STOCK[[#This Row],[Code]])</f>
        <v>0</v>
      </c>
      <c r="L1856" s="80">
        <f>STOCK[[#This Row],[Entradas]]-STOCK[[#This Row],[Salidas]]</f>
        <v>1</v>
      </c>
      <c r="M1856" s="77">
        <f>STOCK[[#This Row],[Precio Final]]*10%</f>
        <v>1.8</v>
      </c>
      <c r="N1856" s="54">
        <v>0</v>
      </c>
      <c r="O1856" s="77">
        <v>0</v>
      </c>
      <c r="P1856" s="77">
        <v>9</v>
      </c>
      <c r="Q1856" s="77">
        <v>0</v>
      </c>
      <c r="R1856" s="80">
        <v>0</v>
      </c>
      <c r="S1856" s="77">
        <v>0</v>
      </c>
      <c r="T1856" s="77">
        <f>STOCK[[#This Row],[Costo Unitario (USD)]]+STOCK[[#This Row],[Costo Envío (USD)]]+STOCK[[#This Row],[Comisión 10%]]</f>
        <v>10.8</v>
      </c>
      <c r="U1856" s="53">
        <f>STOCK[[#This Row],[Costo total]]*1.5</f>
        <v>16.2</v>
      </c>
      <c r="V1856" s="53">
        <v>18</v>
      </c>
      <c r="W1856" s="77">
        <f>STOCK[[#This Row],[Precio Final]]-STOCK[[#This Row],[Costo total]]</f>
        <v>7.2</v>
      </c>
      <c r="X1856" s="77">
        <f>STOCK[[#This Row],[Ganancia Unitaria]]*STOCK[[#This Row],[Salidas]]</f>
        <v>0</v>
      </c>
      <c r="Y1856" s="77"/>
      <c r="Z1856" s="90"/>
      <c r="AA1856" s="54"/>
      <c r="AB1856" s="54"/>
      <c r="AC1856" s="77"/>
      <c r="AD1856" s="98"/>
    </row>
    <row r="1857" s="53" customFormat="1" ht="50" customHeight="1" spans="1:30">
      <c r="A1857" s="99" t="s">
        <v>3673</v>
      </c>
      <c r="B1857" s="85"/>
      <c r="C1857" s="53" t="s">
        <v>32</v>
      </c>
      <c r="D1857" s="86" t="s">
        <v>749</v>
      </c>
      <c r="E1857" s="100" t="s">
        <v>3674</v>
      </c>
      <c r="F1857" s="99" t="s">
        <v>46</v>
      </c>
      <c r="G1857" s="77"/>
      <c r="H1857" s="77">
        <f>STOCK[[#This Row],[Precio Final]]</f>
        <v>18</v>
      </c>
      <c r="I1857" s="82">
        <f>STOCK[[#This Row],[Precio Venta Ideal (x1.5)]]</f>
        <v>16.2</v>
      </c>
      <c r="J1857" s="99">
        <v>1</v>
      </c>
      <c r="K1857" s="80">
        <f>SUMIFS(VENTAS[Cantidad],VENTAS[Código del producto Vendido],STOCK[[#This Row],[Code]])</f>
        <v>0</v>
      </c>
      <c r="L1857" s="80">
        <f>STOCK[[#This Row],[Entradas]]-STOCK[[#This Row],[Salidas]]</f>
        <v>1</v>
      </c>
      <c r="M1857" s="77">
        <f>STOCK[[#This Row],[Precio Final]]*10%</f>
        <v>1.8</v>
      </c>
      <c r="N1857" s="54">
        <v>0</v>
      </c>
      <c r="O1857" s="77">
        <v>0</v>
      </c>
      <c r="P1857" s="77">
        <v>9</v>
      </c>
      <c r="Q1857" s="77">
        <v>0</v>
      </c>
      <c r="R1857" s="80">
        <v>0</v>
      </c>
      <c r="S1857" s="77">
        <v>0</v>
      </c>
      <c r="T1857" s="77">
        <f>STOCK[[#This Row],[Costo Unitario (USD)]]+STOCK[[#This Row],[Costo Envío (USD)]]+STOCK[[#This Row],[Comisión 10%]]</f>
        <v>10.8</v>
      </c>
      <c r="U1857" s="53">
        <f>STOCK[[#This Row],[Costo total]]*1.5</f>
        <v>16.2</v>
      </c>
      <c r="V1857" s="53">
        <v>18</v>
      </c>
      <c r="W1857" s="77">
        <f>STOCK[[#This Row],[Precio Final]]-STOCK[[#This Row],[Costo total]]</f>
        <v>7.2</v>
      </c>
      <c r="X1857" s="77">
        <f>STOCK[[#This Row],[Ganancia Unitaria]]*STOCK[[#This Row],[Salidas]]</f>
        <v>0</v>
      </c>
      <c r="Y1857" s="77"/>
      <c r="Z1857" s="90"/>
      <c r="AA1857" s="54"/>
      <c r="AB1857" s="54"/>
      <c r="AC1857" s="77"/>
      <c r="AD1857" s="98"/>
    </row>
    <row r="1858" s="53" customFormat="1" ht="50" customHeight="1" spans="1:30">
      <c r="A1858" s="99" t="s">
        <v>3675</v>
      </c>
      <c r="B1858" s="85"/>
      <c r="C1858" s="53" t="s">
        <v>32</v>
      </c>
      <c r="D1858" s="86" t="s">
        <v>749</v>
      </c>
      <c r="E1858" s="100" t="s">
        <v>3676</v>
      </c>
      <c r="F1858" s="99" t="s">
        <v>42</v>
      </c>
      <c r="G1858" s="77"/>
      <c r="H1858" s="77">
        <f>STOCK[[#This Row],[Precio Final]]</f>
        <v>18</v>
      </c>
      <c r="I1858" s="82">
        <f>STOCK[[#This Row],[Precio Venta Ideal (x1.5)]]</f>
        <v>16.2</v>
      </c>
      <c r="J1858" s="99">
        <v>1</v>
      </c>
      <c r="K1858" s="80">
        <f>SUMIFS(VENTAS[Cantidad],VENTAS[Código del producto Vendido],STOCK[[#This Row],[Code]])</f>
        <v>0</v>
      </c>
      <c r="L1858" s="80">
        <f>STOCK[[#This Row],[Entradas]]-STOCK[[#This Row],[Salidas]]</f>
        <v>1</v>
      </c>
      <c r="M1858" s="77">
        <f>STOCK[[#This Row],[Precio Final]]*10%</f>
        <v>1.8</v>
      </c>
      <c r="N1858" s="54">
        <v>0</v>
      </c>
      <c r="O1858" s="77">
        <v>0</v>
      </c>
      <c r="P1858" s="77">
        <v>9</v>
      </c>
      <c r="Q1858" s="77">
        <v>0</v>
      </c>
      <c r="R1858" s="80">
        <v>0</v>
      </c>
      <c r="S1858" s="77">
        <v>0</v>
      </c>
      <c r="T1858" s="77">
        <f>STOCK[[#This Row],[Costo Unitario (USD)]]+STOCK[[#This Row],[Costo Envío (USD)]]+STOCK[[#This Row],[Comisión 10%]]</f>
        <v>10.8</v>
      </c>
      <c r="U1858" s="53">
        <f>STOCK[[#This Row],[Costo total]]*1.5</f>
        <v>16.2</v>
      </c>
      <c r="V1858" s="53">
        <v>18</v>
      </c>
      <c r="W1858" s="77">
        <f>STOCK[[#This Row],[Precio Final]]-STOCK[[#This Row],[Costo total]]</f>
        <v>7.2</v>
      </c>
      <c r="X1858" s="77">
        <f>STOCK[[#This Row],[Ganancia Unitaria]]*STOCK[[#This Row],[Salidas]]</f>
        <v>0</v>
      </c>
      <c r="Y1858" s="77"/>
      <c r="Z1858" s="90"/>
      <c r="AA1858" s="54"/>
      <c r="AB1858" s="54"/>
      <c r="AC1858" s="77"/>
      <c r="AD1858" s="98"/>
    </row>
    <row r="1859" s="53" customFormat="1" ht="50" customHeight="1" spans="1:30">
      <c r="A1859" s="99" t="s">
        <v>3677</v>
      </c>
      <c r="B1859" s="85"/>
      <c r="C1859" s="53" t="s">
        <v>32</v>
      </c>
      <c r="D1859" s="86" t="s">
        <v>749</v>
      </c>
      <c r="E1859" s="100" t="s">
        <v>3676</v>
      </c>
      <c r="F1859" s="99" t="s">
        <v>46</v>
      </c>
      <c r="G1859" s="77"/>
      <c r="H1859" s="77">
        <f>STOCK[[#This Row],[Precio Final]]</f>
        <v>18</v>
      </c>
      <c r="I1859" s="82">
        <f>STOCK[[#This Row],[Precio Venta Ideal (x1.5)]]</f>
        <v>16.2</v>
      </c>
      <c r="J1859" s="99">
        <v>1</v>
      </c>
      <c r="K1859" s="80">
        <f>SUMIFS(VENTAS[Cantidad],VENTAS[Código del producto Vendido],STOCK[[#This Row],[Code]])</f>
        <v>0</v>
      </c>
      <c r="L1859" s="80">
        <f>STOCK[[#This Row],[Entradas]]-STOCK[[#This Row],[Salidas]]</f>
        <v>1</v>
      </c>
      <c r="M1859" s="77">
        <f>STOCK[[#This Row],[Precio Final]]*10%</f>
        <v>1.8</v>
      </c>
      <c r="N1859" s="54">
        <v>0</v>
      </c>
      <c r="O1859" s="77">
        <v>0</v>
      </c>
      <c r="P1859" s="77">
        <v>9</v>
      </c>
      <c r="Q1859" s="77">
        <v>0</v>
      </c>
      <c r="R1859" s="80">
        <v>0</v>
      </c>
      <c r="S1859" s="77">
        <v>0</v>
      </c>
      <c r="T1859" s="77">
        <f>STOCK[[#This Row],[Costo Unitario (USD)]]+STOCK[[#This Row],[Costo Envío (USD)]]+STOCK[[#This Row],[Comisión 10%]]</f>
        <v>10.8</v>
      </c>
      <c r="U1859" s="53">
        <f>STOCK[[#This Row],[Costo total]]*1.5</f>
        <v>16.2</v>
      </c>
      <c r="V1859" s="53">
        <v>18</v>
      </c>
      <c r="W1859" s="77">
        <f>STOCK[[#This Row],[Precio Final]]-STOCK[[#This Row],[Costo total]]</f>
        <v>7.2</v>
      </c>
      <c r="X1859" s="77">
        <f>STOCK[[#This Row],[Ganancia Unitaria]]*STOCK[[#This Row],[Salidas]]</f>
        <v>0</v>
      </c>
      <c r="Y1859" s="77"/>
      <c r="Z1859" s="90"/>
      <c r="AA1859" s="54"/>
      <c r="AB1859" s="54"/>
      <c r="AC1859" s="77"/>
      <c r="AD1859" s="98"/>
    </row>
    <row r="1860" s="53" customFormat="1" ht="50" customHeight="1" spans="1:30">
      <c r="A1860" s="99" t="s">
        <v>3678</v>
      </c>
      <c r="B1860" s="85"/>
      <c r="C1860" s="53" t="s">
        <v>32</v>
      </c>
      <c r="D1860" s="86" t="s">
        <v>749</v>
      </c>
      <c r="E1860" s="100" t="s">
        <v>3679</v>
      </c>
      <c r="F1860" s="99" t="s">
        <v>49</v>
      </c>
      <c r="G1860" s="77"/>
      <c r="H1860" s="77">
        <f>STOCK[[#This Row],[Precio Final]]</f>
        <v>28</v>
      </c>
      <c r="I1860" s="82">
        <f>STOCK[[#This Row],[Precio Venta Ideal (x1.5)]]</f>
        <v>17.7</v>
      </c>
      <c r="J1860" s="99">
        <v>1</v>
      </c>
      <c r="K1860" s="80">
        <f>SUMIFS(VENTAS[Cantidad],VENTAS[Código del producto Vendido],STOCK[[#This Row],[Code]])</f>
        <v>0</v>
      </c>
      <c r="L1860" s="80">
        <f>STOCK[[#This Row],[Entradas]]-STOCK[[#This Row],[Salidas]]</f>
        <v>1</v>
      </c>
      <c r="M1860" s="77">
        <f>STOCK[[#This Row],[Precio Final]]*10%</f>
        <v>2.8</v>
      </c>
      <c r="N1860" s="54">
        <v>0</v>
      </c>
      <c r="O1860" s="77">
        <v>0</v>
      </c>
      <c r="P1860" s="77">
        <v>9</v>
      </c>
      <c r="Q1860" s="77">
        <v>0</v>
      </c>
      <c r="R1860" s="80">
        <v>0</v>
      </c>
      <c r="S1860" s="77">
        <v>0</v>
      </c>
      <c r="T1860" s="77">
        <f>STOCK[[#This Row],[Costo Unitario (USD)]]+STOCK[[#This Row],[Costo Envío (USD)]]+STOCK[[#This Row],[Comisión 10%]]</f>
        <v>11.8</v>
      </c>
      <c r="U1860" s="53">
        <f>STOCK[[#This Row],[Costo total]]*1.5</f>
        <v>17.7</v>
      </c>
      <c r="V1860" s="53">
        <v>28</v>
      </c>
      <c r="W1860" s="77">
        <f>STOCK[[#This Row],[Precio Final]]-STOCK[[#This Row],[Costo total]]</f>
        <v>16.2</v>
      </c>
      <c r="X1860" s="77">
        <f>STOCK[[#This Row],[Ganancia Unitaria]]*STOCK[[#This Row],[Salidas]]</f>
        <v>0</v>
      </c>
      <c r="Y1860" s="77"/>
      <c r="Z1860" s="90"/>
      <c r="AA1860" s="54"/>
      <c r="AB1860" s="54"/>
      <c r="AC1860" s="77"/>
      <c r="AD1860" s="98"/>
    </row>
    <row r="1861" s="53" customFormat="1" ht="50" customHeight="1" spans="1:30">
      <c r="A1861" s="99" t="s">
        <v>3680</v>
      </c>
      <c r="B1861" s="85"/>
      <c r="C1861" s="53" t="s">
        <v>32</v>
      </c>
      <c r="D1861" s="86" t="s">
        <v>749</v>
      </c>
      <c r="E1861" s="100" t="s">
        <v>3681</v>
      </c>
      <c r="F1861" s="99" t="s">
        <v>49</v>
      </c>
      <c r="G1861" s="77"/>
      <c r="H1861" s="77">
        <f>STOCK[[#This Row],[Precio Final]]</f>
        <v>28</v>
      </c>
      <c r="I1861" s="82">
        <f>STOCK[[#This Row],[Precio Venta Ideal (x1.5)]]</f>
        <v>17.7</v>
      </c>
      <c r="J1861" s="99">
        <v>2</v>
      </c>
      <c r="K1861" s="80">
        <f>SUMIFS(VENTAS[Cantidad],VENTAS[Código del producto Vendido],STOCK[[#This Row],[Code]])</f>
        <v>0</v>
      </c>
      <c r="L1861" s="80">
        <f>STOCK[[#This Row],[Entradas]]-STOCK[[#This Row],[Salidas]]</f>
        <v>2</v>
      </c>
      <c r="M1861" s="77">
        <f>STOCK[[#This Row],[Precio Final]]*10%</f>
        <v>2.8</v>
      </c>
      <c r="N1861" s="54">
        <v>0</v>
      </c>
      <c r="O1861" s="77">
        <v>0</v>
      </c>
      <c r="P1861" s="77">
        <v>9</v>
      </c>
      <c r="Q1861" s="77">
        <v>0</v>
      </c>
      <c r="R1861" s="80">
        <v>0</v>
      </c>
      <c r="S1861" s="77">
        <v>0</v>
      </c>
      <c r="T1861" s="77">
        <f>STOCK[[#This Row],[Costo Unitario (USD)]]+STOCK[[#This Row],[Costo Envío (USD)]]+STOCK[[#This Row],[Comisión 10%]]</f>
        <v>11.8</v>
      </c>
      <c r="U1861" s="53">
        <f>STOCK[[#This Row],[Costo total]]*1.5</f>
        <v>17.7</v>
      </c>
      <c r="V1861" s="53">
        <v>28</v>
      </c>
      <c r="W1861" s="77">
        <f>STOCK[[#This Row],[Precio Final]]-STOCK[[#This Row],[Costo total]]</f>
        <v>16.2</v>
      </c>
      <c r="X1861" s="77">
        <f>STOCK[[#This Row],[Ganancia Unitaria]]*STOCK[[#This Row],[Salidas]]</f>
        <v>0</v>
      </c>
      <c r="Y1861" s="77"/>
      <c r="Z1861" s="90"/>
      <c r="AA1861" s="54"/>
      <c r="AB1861" s="54"/>
      <c r="AC1861" s="77"/>
      <c r="AD1861" s="98"/>
    </row>
    <row r="1862" s="53" customFormat="1" ht="50" customHeight="1" spans="1:30">
      <c r="A1862" s="99" t="s">
        <v>3682</v>
      </c>
      <c r="B1862" s="85"/>
      <c r="C1862" s="53" t="s">
        <v>32</v>
      </c>
      <c r="D1862" s="86" t="s">
        <v>749</v>
      </c>
      <c r="E1862" s="100" t="s">
        <v>3683</v>
      </c>
      <c r="F1862" s="99" t="s">
        <v>3684</v>
      </c>
      <c r="G1862" s="77"/>
      <c r="H1862" s="77">
        <f>STOCK[[#This Row],[Precio Final]]</f>
        <v>18</v>
      </c>
      <c r="I1862" s="82">
        <f>STOCK[[#This Row],[Precio Venta Ideal (x1.5)]]</f>
        <v>16.2</v>
      </c>
      <c r="J1862" s="99">
        <v>1</v>
      </c>
      <c r="K1862" s="80">
        <f>SUMIFS(VENTAS[Cantidad],VENTAS[Código del producto Vendido],STOCK[[#This Row],[Code]])</f>
        <v>0</v>
      </c>
      <c r="L1862" s="80">
        <f>STOCK[[#This Row],[Entradas]]-STOCK[[#This Row],[Salidas]]</f>
        <v>1</v>
      </c>
      <c r="M1862" s="77">
        <f>STOCK[[#This Row],[Precio Final]]*10%</f>
        <v>1.8</v>
      </c>
      <c r="N1862" s="54">
        <v>0</v>
      </c>
      <c r="O1862" s="77">
        <v>0</v>
      </c>
      <c r="P1862" s="77">
        <v>9</v>
      </c>
      <c r="Q1862" s="77">
        <v>0</v>
      </c>
      <c r="R1862" s="80">
        <v>0</v>
      </c>
      <c r="S1862" s="77">
        <v>0</v>
      </c>
      <c r="T1862" s="77">
        <f>STOCK[[#This Row],[Costo Unitario (USD)]]+STOCK[[#This Row],[Costo Envío (USD)]]+STOCK[[#This Row],[Comisión 10%]]</f>
        <v>10.8</v>
      </c>
      <c r="U1862" s="53">
        <f>STOCK[[#This Row],[Costo total]]*1.5</f>
        <v>16.2</v>
      </c>
      <c r="V1862" s="53">
        <v>18</v>
      </c>
      <c r="W1862" s="77">
        <f>STOCK[[#This Row],[Precio Final]]-STOCK[[#This Row],[Costo total]]</f>
        <v>7.2</v>
      </c>
      <c r="X1862" s="77">
        <f>STOCK[[#This Row],[Ganancia Unitaria]]*STOCK[[#This Row],[Salidas]]</f>
        <v>0</v>
      </c>
      <c r="Y1862" s="77"/>
      <c r="Z1862" s="90"/>
      <c r="AA1862" s="54"/>
      <c r="AB1862" s="54"/>
      <c r="AC1862" s="77"/>
      <c r="AD1862" s="98"/>
    </row>
    <row r="1863" s="53" customFormat="1" ht="50" customHeight="1" spans="1:30">
      <c r="A1863" s="99" t="s">
        <v>3685</v>
      </c>
      <c r="B1863" s="85"/>
      <c r="C1863" s="53" t="s">
        <v>32</v>
      </c>
      <c r="D1863" s="86" t="s">
        <v>749</v>
      </c>
      <c r="E1863" s="100" t="s">
        <v>3683</v>
      </c>
      <c r="F1863" s="99" t="s">
        <v>49</v>
      </c>
      <c r="G1863" s="77"/>
      <c r="H1863" s="77">
        <f>STOCK[[#This Row],[Precio Final]]</f>
        <v>18</v>
      </c>
      <c r="I1863" s="82">
        <f>STOCK[[#This Row],[Precio Venta Ideal (x1.5)]]</f>
        <v>16.2</v>
      </c>
      <c r="J1863" s="99">
        <v>1</v>
      </c>
      <c r="K1863" s="80">
        <f>SUMIFS(VENTAS[Cantidad],VENTAS[Código del producto Vendido],STOCK[[#This Row],[Code]])</f>
        <v>0</v>
      </c>
      <c r="L1863" s="80">
        <f>STOCK[[#This Row],[Entradas]]-STOCK[[#This Row],[Salidas]]</f>
        <v>1</v>
      </c>
      <c r="M1863" s="77">
        <f>STOCK[[#This Row],[Precio Final]]*10%</f>
        <v>1.8</v>
      </c>
      <c r="N1863" s="54">
        <v>0</v>
      </c>
      <c r="O1863" s="77">
        <v>0</v>
      </c>
      <c r="P1863" s="77">
        <v>9</v>
      </c>
      <c r="Q1863" s="77">
        <v>0</v>
      </c>
      <c r="R1863" s="80">
        <v>0</v>
      </c>
      <c r="S1863" s="77">
        <v>0</v>
      </c>
      <c r="T1863" s="77">
        <f>STOCK[[#This Row],[Costo Unitario (USD)]]+STOCK[[#This Row],[Costo Envío (USD)]]+STOCK[[#This Row],[Comisión 10%]]</f>
        <v>10.8</v>
      </c>
      <c r="U1863" s="53">
        <f>STOCK[[#This Row],[Costo total]]*1.5</f>
        <v>16.2</v>
      </c>
      <c r="V1863" s="53">
        <v>18</v>
      </c>
      <c r="W1863" s="77">
        <f>STOCK[[#This Row],[Precio Final]]-STOCK[[#This Row],[Costo total]]</f>
        <v>7.2</v>
      </c>
      <c r="X1863" s="77">
        <f>STOCK[[#This Row],[Ganancia Unitaria]]*STOCK[[#This Row],[Salidas]]</f>
        <v>0</v>
      </c>
      <c r="Y1863" s="77"/>
      <c r="Z1863" s="90"/>
      <c r="AA1863" s="54"/>
      <c r="AB1863" s="54"/>
      <c r="AC1863" s="77"/>
      <c r="AD1863" s="98"/>
    </row>
    <row r="1864" s="53" customFormat="1" ht="50" customHeight="1" spans="1:30">
      <c r="A1864" s="99" t="s">
        <v>3686</v>
      </c>
      <c r="B1864" s="85"/>
      <c r="C1864" s="53" t="s">
        <v>32</v>
      </c>
      <c r="D1864" s="86" t="s">
        <v>749</v>
      </c>
      <c r="E1864" s="100" t="s">
        <v>3687</v>
      </c>
      <c r="F1864" s="99" t="s">
        <v>3688</v>
      </c>
      <c r="G1864" s="77"/>
      <c r="H1864" s="77">
        <f>STOCK[[#This Row],[Precio Final]]</f>
        <v>35</v>
      </c>
      <c r="I1864" s="82">
        <f>STOCK[[#This Row],[Precio Venta Ideal (x1.5)]]</f>
        <v>18.75</v>
      </c>
      <c r="J1864" s="99">
        <v>2</v>
      </c>
      <c r="K1864" s="80">
        <f>SUMIFS(VENTAS[Cantidad],VENTAS[Código del producto Vendido],STOCK[[#This Row],[Code]])</f>
        <v>0</v>
      </c>
      <c r="L1864" s="80">
        <f>STOCK[[#This Row],[Entradas]]-STOCK[[#This Row],[Salidas]]</f>
        <v>2</v>
      </c>
      <c r="M1864" s="77">
        <f>STOCK[[#This Row],[Precio Final]]*10%</f>
        <v>3.5</v>
      </c>
      <c r="N1864" s="54">
        <v>0</v>
      </c>
      <c r="O1864" s="77">
        <v>0</v>
      </c>
      <c r="P1864" s="77">
        <v>9</v>
      </c>
      <c r="Q1864" s="77">
        <v>0</v>
      </c>
      <c r="R1864" s="80">
        <v>0</v>
      </c>
      <c r="S1864" s="77">
        <v>0</v>
      </c>
      <c r="T1864" s="77">
        <f>STOCK[[#This Row],[Costo Unitario (USD)]]+STOCK[[#This Row],[Costo Envío (USD)]]+STOCK[[#This Row],[Comisión 10%]]</f>
        <v>12.5</v>
      </c>
      <c r="U1864" s="53">
        <f>STOCK[[#This Row],[Costo total]]*1.5</f>
        <v>18.75</v>
      </c>
      <c r="V1864" s="53">
        <v>35</v>
      </c>
      <c r="W1864" s="77">
        <f>STOCK[[#This Row],[Precio Final]]-STOCK[[#This Row],[Costo total]]</f>
        <v>22.5</v>
      </c>
      <c r="X1864" s="77">
        <f>STOCK[[#This Row],[Ganancia Unitaria]]*STOCK[[#This Row],[Salidas]]</f>
        <v>0</v>
      </c>
      <c r="Y1864" s="77"/>
      <c r="Z1864" s="90"/>
      <c r="AA1864" s="54"/>
      <c r="AB1864" s="54"/>
      <c r="AC1864" s="77"/>
      <c r="AD1864" s="98"/>
    </row>
    <row r="1865" s="53" customFormat="1" ht="50" customHeight="1" spans="1:30">
      <c r="A1865" s="99" t="s">
        <v>3689</v>
      </c>
      <c r="B1865" s="85"/>
      <c r="C1865" s="53" t="s">
        <v>32</v>
      </c>
      <c r="D1865" s="86" t="s">
        <v>749</v>
      </c>
      <c r="E1865" s="100" t="s">
        <v>3690</v>
      </c>
      <c r="F1865" s="99" t="s">
        <v>3688</v>
      </c>
      <c r="G1865" s="77"/>
      <c r="H1865" s="77">
        <f>STOCK[[#This Row],[Precio Final]]</f>
        <v>35</v>
      </c>
      <c r="I1865" s="82">
        <f>STOCK[[#This Row],[Precio Venta Ideal (x1.5)]]</f>
        <v>18.75</v>
      </c>
      <c r="J1865" s="99">
        <v>1</v>
      </c>
      <c r="K1865" s="80">
        <f>SUMIFS(VENTAS[Cantidad],VENTAS[Código del producto Vendido],STOCK[[#This Row],[Code]])</f>
        <v>0</v>
      </c>
      <c r="L1865" s="80">
        <f>STOCK[[#This Row],[Entradas]]-STOCK[[#This Row],[Salidas]]</f>
        <v>1</v>
      </c>
      <c r="M1865" s="77">
        <f>STOCK[[#This Row],[Precio Final]]*10%</f>
        <v>3.5</v>
      </c>
      <c r="N1865" s="54">
        <v>0</v>
      </c>
      <c r="O1865" s="77">
        <v>0</v>
      </c>
      <c r="P1865" s="77">
        <v>9</v>
      </c>
      <c r="Q1865" s="77">
        <v>0</v>
      </c>
      <c r="R1865" s="80">
        <v>0</v>
      </c>
      <c r="S1865" s="77">
        <v>0</v>
      </c>
      <c r="T1865" s="77">
        <f>STOCK[[#This Row],[Costo Unitario (USD)]]+STOCK[[#This Row],[Costo Envío (USD)]]+STOCK[[#This Row],[Comisión 10%]]</f>
        <v>12.5</v>
      </c>
      <c r="U1865" s="53">
        <f>STOCK[[#This Row],[Costo total]]*1.5</f>
        <v>18.75</v>
      </c>
      <c r="V1865" s="53">
        <v>35</v>
      </c>
      <c r="W1865" s="77">
        <f>STOCK[[#This Row],[Precio Final]]-STOCK[[#This Row],[Costo total]]</f>
        <v>22.5</v>
      </c>
      <c r="X1865" s="77">
        <f>STOCK[[#This Row],[Ganancia Unitaria]]*STOCK[[#This Row],[Salidas]]</f>
        <v>0</v>
      </c>
      <c r="Y1865" s="77"/>
      <c r="Z1865" s="90"/>
      <c r="AA1865" s="54"/>
      <c r="AB1865" s="54"/>
      <c r="AC1865" s="77"/>
      <c r="AD1865" s="98"/>
    </row>
    <row r="1866" s="53" customFormat="1" ht="50" customHeight="1" spans="1:30">
      <c r="A1866" s="99" t="s">
        <v>3691</v>
      </c>
      <c r="B1866" s="85"/>
      <c r="C1866" s="53" t="s">
        <v>32</v>
      </c>
      <c r="D1866" s="86" t="s">
        <v>749</v>
      </c>
      <c r="E1866" s="100" t="s">
        <v>3692</v>
      </c>
      <c r="F1866" s="99" t="s">
        <v>3693</v>
      </c>
      <c r="G1866" s="77"/>
      <c r="H1866" s="77">
        <f>STOCK[[#This Row],[Precio Final]]</f>
        <v>35</v>
      </c>
      <c r="I1866" s="82">
        <f>STOCK[[#This Row],[Precio Venta Ideal (x1.5)]]</f>
        <v>18.75</v>
      </c>
      <c r="J1866" s="99">
        <v>1</v>
      </c>
      <c r="K1866" s="80">
        <f>SUMIFS(VENTAS[Cantidad],VENTAS[Código del producto Vendido],STOCK[[#This Row],[Code]])</f>
        <v>0</v>
      </c>
      <c r="L1866" s="80">
        <f>STOCK[[#This Row],[Entradas]]-STOCK[[#This Row],[Salidas]]</f>
        <v>1</v>
      </c>
      <c r="M1866" s="77">
        <f>STOCK[[#This Row],[Precio Final]]*10%</f>
        <v>3.5</v>
      </c>
      <c r="N1866" s="54">
        <v>0</v>
      </c>
      <c r="O1866" s="77">
        <v>0</v>
      </c>
      <c r="P1866" s="77">
        <v>9</v>
      </c>
      <c r="Q1866" s="77">
        <v>0</v>
      </c>
      <c r="R1866" s="80">
        <v>0</v>
      </c>
      <c r="S1866" s="77">
        <v>0</v>
      </c>
      <c r="T1866" s="77">
        <f>STOCK[[#This Row],[Costo Unitario (USD)]]+STOCK[[#This Row],[Costo Envío (USD)]]+STOCK[[#This Row],[Comisión 10%]]</f>
        <v>12.5</v>
      </c>
      <c r="U1866" s="53">
        <f>STOCK[[#This Row],[Costo total]]*1.5</f>
        <v>18.75</v>
      </c>
      <c r="V1866" s="53">
        <v>35</v>
      </c>
      <c r="W1866" s="77">
        <f>STOCK[[#This Row],[Precio Final]]-STOCK[[#This Row],[Costo total]]</f>
        <v>22.5</v>
      </c>
      <c r="X1866" s="77">
        <f>STOCK[[#This Row],[Ganancia Unitaria]]*STOCK[[#This Row],[Salidas]]</f>
        <v>0</v>
      </c>
      <c r="Y1866" s="77"/>
      <c r="Z1866" s="90"/>
      <c r="AA1866" s="54"/>
      <c r="AB1866" s="54"/>
      <c r="AC1866" s="77"/>
      <c r="AD1866" s="98"/>
    </row>
    <row r="1867" s="53" customFormat="1" ht="50" customHeight="1" spans="1:30">
      <c r="A1867" s="99" t="s">
        <v>3694</v>
      </c>
      <c r="B1867" s="85"/>
      <c r="C1867" s="53" t="s">
        <v>32</v>
      </c>
      <c r="D1867" s="86" t="s">
        <v>749</v>
      </c>
      <c r="E1867" s="100" t="s">
        <v>3692</v>
      </c>
      <c r="F1867" s="99" t="s">
        <v>3688</v>
      </c>
      <c r="G1867" s="77"/>
      <c r="H1867" s="77">
        <f>STOCK[[#This Row],[Precio Final]]</f>
        <v>35</v>
      </c>
      <c r="I1867" s="82">
        <f>STOCK[[#This Row],[Precio Venta Ideal (x1.5)]]</f>
        <v>18.75</v>
      </c>
      <c r="J1867" s="99">
        <v>1</v>
      </c>
      <c r="K1867" s="80">
        <f>SUMIFS(VENTAS[Cantidad],VENTAS[Código del producto Vendido],STOCK[[#This Row],[Code]])</f>
        <v>0</v>
      </c>
      <c r="L1867" s="80">
        <f>STOCK[[#This Row],[Entradas]]-STOCK[[#This Row],[Salidas]]</f>
        <v>1</v>
      </c>
      <c r="M1867" s="77">
        <f>STOCK[[#This Row],[Precio Final]]*10%</f>
        <v>3.5</v>
      </c>
      <c r="N1867" s="54">
        <v>0</v>
      </c>
      <c r="O1867" s="77">
        <v>0</v>
      </c>
      <c r="P1867" s="77">
        <v>9</v>
      </c>
      <c r="Q1867" s="77">
        <v>0</v>
      </c>
      <c r="R1867" s="80">
        <v>0</v>
      </c>
      <c r="S1867" s="77">
        <v>0</v>
      </c>
      <c r="T1867" s="77">
        <f>STOCK[[#This Row],[Costo Unitario (USD)]]+STOCK[[#This Row],[Costo Envío (USD)]]+STOCK[[#This Row],[Comisión 10%]]</f>
        <v>12.5</v>
      </c>
      <c r="U1867" s="53">
        <f>STOCK[[#This Row],[Costo total]]*1.5</f>
        <v>18.75</v>
      </c>
      <c r="V1867" s="53">
        <v>35</v>
      </c>
      <c r="W1867" s="77">
        <f>STOCK[[#This Row],[Precio Final]]-STOCK[[#This Row],[Costo total]]</f>
        <v>22.5</v>
      </c>
      <c r="X1867" s="77">
        <f>STOCK[[#This Row],[Ganancia Unitaria]]*STOCK[[#This Row],[Salidas]]</f>
        <v>0</v>
      </c>
      <c r="Y1867" s="77"/>
      <c r="Z1867" s="90"/>
      <c r="AA1867" s="54"/>
      <c r="AB1867" s="54"/>
      <c r="AC1867" s="77"/>
      <c r="AD1867" s="98"/>
    </row>
    <row r="1868" s="53" customFormat="1" ht="50" customHeight="1" spans="1:30">
      <c r="A1868" s="99" t="s">
        <v>3695</v>
      </c>
      <c r="B1868" s="85"/>
      <c r="C1868" s="53" t="s">
        <v>32</v>
      </c>
      <c r="D1868" s="86" t="s">
        <v>174</v>
      </c>
      <c r="E1868" s="100" t="s">
        <v>3696</v>
      </c>
      <c r="F1868" s="99" t="s">
        <v>46</v>
      </c>
      <c r="G1868" s="77"/>
      <c r="H1868" s="77">
        <f>STOCK[[#This Row],[Precio Final]]</f>
        <v>12</v>
      </c>
      <c r="I1868" s="82" t="e">
        <f>STOCK[[#This Row],[Precio Venta Ideal (x1.5)]]</f>
        <v>#VALUE!</v>
      </c>
      <c r="J1868" s="99">
        <v>1</v>
      </c>
      <c r="K1868" s="80">
        <f>SUMIFS(VENTAS[Cantidad],VENTAS[Código del producto Vendido],STOCK[[#This Row],[Code]])</f>
        <v>0</v>
      </c>
      <c r="L1868" s="80">
        <f>STOCK[[#This Row],[Entradas]]-STOCK[[#This Row],[Salidas]]</f>
        <v>1</v>
      </c>
      <c r="M1868" s="77">
        <f>STOCK[[#This Row],[Precio Final]]*10%</f>
        <v>1.2</v>
      </c>
      <c r="N1868" s="54">
        <v>0</v>
      </c>
      <c r="O1868" s="77">
        <v>0</v>
      </c>
      <c r="P1868" s="77">
        <v>9</v>
      </c>
      <c r="Q1868" s="77">
        <v>0</v>
      </c>
      <c r="R1868" s="80">
        <v>0</v>
      </c>
      <c r="S1868" s="101" t="s">
        <v>3697</v>
      </c>
      <c r="T1868" s="77" t="e">
        <f>STOCK[[#This Row],[Costo Unitario (USD)]]+STOCK[[#This Row],[Costo Envío (USD)]]+STOCK[[#This Row],[Comisión 10%]]</f>
        <v>#VALUE!</v>
      </c>
      <c r="U1868" s="53" t="e">
        <f>STOCK[[#This Row],[Costo total]]*1.5</f>
        <v>#VALUE!</v>
      </c>
      <c r="V1868" s="53">
        <v>12</v>
      </c>
      <c r="W1868" s="77" t="e">
        <f>STOCK[[#This Row],[Precio Final]]-STOCK[[#This Row],[Costo total]]</f>
        <v>#VALUE!</v>
      </c>
      <c r="X1868" s="77" t="e">
        <f>STOCK[[#This Row],[Ganancia Unitaria]]*STOCK[[#This Row],[Salidas]]</f>
        <v>#VALUE!</v>
      </c>
      <c r="Y1868" s="77"/>
      <c r="Z1868" s="90"/>
      <c r="AA1868" s="54"/>
      <c r="AB1868" s="54"/>
      <c r="AC1868" s="77"/>
      <c r="AD1868" s="98"/>
    </row>
    <row r="1869" s="53" customFormat="1" ht="50" customHeight="1" spans="1:30">
      <c r="A1869" s="99" t="s">
        <v>3698</v>
      </c>
      <c r="B1869" s="85"/>
      <c r="C1869" s="53" t="s">
        <v>32</v>
      </c>
      <c r="D1869" s="86" t="s">
        <v>749</v>
      </c>
      <c r="E1869" s="100" t="s">
        <v>3699</v>
      </c>
      <c r="F1869" s="99" t="s">
        <v>281</v>
      </c>
      <c r="G1869" s="77"/>
      <c r="H1869" s="77">
        <f>STOCK[[#This Row],[Precio Final]]</f>
        <v>18</v>
      </c>
      <c r="I1869" s="82">
        <f>STOCK[[#This Row],[Precio Venta Ideal (x1.5)]]</f>
        <v>16.2</v>
      </c>
      <c r="J1869" s="99">
        <v>1</v>
      </c>
      <c r="K1869" s="80">
        <f>SUMIFS(VENTAS[Cantidad],VENTAS[Código del producto Vendido],STOCK[[#This Row],[Code]])</f>
        <v>0</v>
      </c>
      <c r="L1869" s="80">
        <f>STOCK[[#This Row],[Entradas]]-STOCK[[#This Row],[Salidas]]</f>
        <v>1</v>
      </c>
      <c r="M1869" s="77">
        <f>STOCK[[#This Row],[Precio Final]]*10%</f>
        <v>1.8</v>
      </c>
      <c r="N1869" s="54">
        <v>0</v>
      </c>
      <c r="O1869" s="77">
        <v>0</v>
      </c>
      <c r="P1869" s="77">
        <v>9</v>
      </c>
      <c r="Q1869" s="77">
        <v>0</v>
      </c>
      <c r="R1869" s="80">
        <v>0</v>
      </c>
      <c r="S1869" s="77">
        <v>0</v>
      </c>
      <c r="T1869" s="77">
        <f>STOCK[[#This Row],[Costo Unitario (USD)]]+STOCK[[#This Row],[Costo Envío (USD)]]+STOCK[[#This Row],[Comisión 10%]]</f>
        <v>10.8</v>
      </c>
      <c r="U1869" s="53">
        <f>STOCK[[#This Row],[Costo total]]*1.5</f>
        <v>16.2</v>
      </c>
      <c r="V1869" s="53">
        <v>18</v>
      </c>
      <c r="W1869" s="77">
        <f>STOCK[[#This Row],[Precio Final]]-STOCK[[#This Row],[Costo total]]</f>
        <v>7.2</v>
      </c>
      <c r="X1869" s="77">
        <f>STOCK[[#This Row],[Ganancia Unitaria]]*STOCK[[#This Row],[Salidas]]</f>
        <v>0</v>
      </c>
      <c r="Y1869" s="77"/>
      <c r="Z1869" s="90"/>
      <c r="AA1869" s="54"/>
      <c r="AB1869" s="54"/>
      <c r="AC1869" s="77"/>
      <c r="AD1869" s="98"/>
    </row>
    <row r="1870" s="53" customFormat="1" ht="50" customHeight="1" spans="1:30">
      <c r="A1870" s="99" t="s">
        <v>3700</v>
      </c>
      <c r="B1870" s="85"/>
      <c r="C1870" s="53" t="s">
        <v>32</v>
      </c>
      <c r="D1870" s="86" t="s">
        <v>749</v>
      </c>
      <c r="E1870" s="100" t="s">
        <v>3701</v>
      </c>
      <c r="F1870" s="99" t="s">
        <v>46</v>
      </c>
      <c r="G1870" s="77"/>
      <c r="H1870" s="77">
        <f>STOCK[[#This Row],[Precio Final]]</f>
        <v>15</v>
      </c>
      <c r="I1870" s="82">
        <f>STOCK[[#This Row],[Precio Venta Ideal (x1.5)]]</f>
        <v>15.75</v>
      </c>
      <c r="J1870" s="99">
        <v>1</v>
      </c>
      <c r="K1870" s="80">
        <f>SUMIFS(VENTAS[Cantidad],VENTAS[Código del producto Vendido],STOCK[[#This Row],[Code]])</f>
        <v>0</v>
      </c>
      <c r="L1870" s="80">
        <f>STOCK[[#This Row],[Entradas]]-STOCK[[#This Row],[Salidas]]</f>
        <v>1</v>
      </c>
      <c r="M1870" s="77">
        <f>STOCK[[#This Row],[Precio Final]]*10%</f>
        <v>1.5</v>
      </c>
      <c r="N1870" s="54">
        <v>0</v>
      </c>
      <c r="O1870" s="77">
        <v>0</v>
      </c>
      <c r="P1870" s="77">
        <v>9</v>
      </c>
      <c r="Q1870" s="77">
        <v>0</v>
      </c>
      <c r="R1870" s="80">
        <v>0</v>
      </c>
      <c r="S1870" s="77">
        <v>0</v>
      </c>
      <c r="T1870" s="77">
        <f>STOCK[[#This Row],[Costo Unitario (USD)]]+STOCK[[#This Row],[Costo Envío (USD)]]+STOCK[[#This Row],[Comisión 10%]]</f>
        <v>10.5</v>
      </c>
      <c r="U1870" s="53">
        <f>STOCK[[#This Row],[Costo total]]*1.5</f>
        <v>15.75</v>
      </c>
      <c r="V1870" s="53">
        <v>15</v>
      </c>
      <c r="W1870" s="77">
        <f>STOCK[[#This Row],[Precio Final]]-STOCK[[#This Row],[Costo total]]</f>
        <v>4.5</v>
      </c>
      <c r="X1870" s="77">
        <f>STOCK[[#This Row],[Ganancia Unitaria]]*STOCK[[#This Row],[Salidas]]</f>
        <v>0</v>
      </c>
      <c r="Y1870" s="77"/>
      <c r="Z1870" s="90"/>
      <c r="AA1870" s="54"/>
      <c r="AB1870" s="54"/>
      <c r="AC1870" s="77"/>
      <c r="AD1870" s="98"/>
    </row>
    <row r="1871" s="53" customFormat="1" ht="50" customHeight="1" spans="1:30">
      <c r="A1871" s="99" t="s">
        <v>3702</v>
      </c>
      <c r="B1871" s="85"/>
      <c r="C1871" s="53" t="s">
        <v>32</v>
      </c>
      <c r="D1871" s="86" t="s">
        <v>780</v>
      </c>
      <c r="E1871" s="100" t="s">
        <v>3703</v>
      </c>
      <c r="F1871" s="99" t="s">
        <v>40</v>
      </c>
      <c r="G1871" s="77"/>
      <c r="H1871" s="77">
        <f>STOCK[[#This Row],[Precio Final]]</f>
        <v>30</v>
      </c>
      <c r="I1871" s="82">
        <f>STOCK[[#This Row],[Precio Venta Ideal (x1.5)]]</f>
        <v>18</v>
      </c>
      <c r="J1871" s="99">
        <v>1</v>
      </c>
      <c r="K1871" s="80">
        <f>SUMIFS(VENTAS[Cantidad],VENTAS[Código del producto Vendido],STOCK[[#This Row],[Code]])</f>
        <v>0</v>
      </c>
      <c r="L1871" s="80">
        <f>STOCK[[#This Row],[Entradas]]-STOCK[[#This Row],[Salidas]]</f>
        <v>1</v>
      </c>
      <c r="M1871" s="77">
        <f>STOCK[[#This Row],[Precio Final]]*10%</f>
        <v>3</v>
      </c>
      <c r="N1871" s="54">
        <v>0</v>
      </c>
      <c r="O1871" s="77">
        <v>0</v>
      </c>
      <c r="P1871" s="77">
        <v>9</v>
      </c>
      <c r="Q1871" s="77">
        <v>0</v>
      </c>
      <c r="R1871" s="80">
        <v>0</v>
      </c>
      <c r="S1871" s="77">
        <v>0</v>
      </c>
      <c r="T1871" s="77">
        <f>STOCK[[#This Row],[Costo Unitario (USD)]]+STOCK[[#This Row],[Costo Envío (USD)]]+STOCK[[#This Row],[Comisión 10%]]</f>
        <v>12</v>
      </c>
      <c r="U1871" s="53">
        <f>STOCK[[#This Row],[Costo total]]*1.5</f>
        <v>18</v>
      </c>
      <c r="V1871" s="53">
        <v>30</v>
      </c>
      <c r="W1871" s="77">
        <f>STOCK[[#This Row],[Precio Final]]-STOCK[[#This Row],[Costo total]]</f>
        <v>18</v>
      </c>
      <c r="X1871" s="77">
        <f>STOCK[[#This Row],[Ganancia Unitaria]]*STOCK[[#This Row],[Salidas]]</f>
        <v>0</v>
      </c>
      <c r="Y1871" s="77"/>
      <c r="Z1871" s="90"/>
      <c r="AA1871" s="54"/>
      <c r="AB1871" s="54"/>
      <c r="AC1871" s="77"/>
      <c r="AD1871" s="98"/>
    </row>
    <row r="1872" s="53" customFormat="1" ht="50" customHeight="1" spans="1:30">
      <c r="A1872" s="99" t="s">
        <v>3704</v>
      </c>
      <c r="B1872" s="85"/>
      <c r="C1872" s="53" t="s">
        <v>32</v>
      </c>
      <c r="D1872" s="86" t="s">
        <v>780</v>
      </c>
      <c r="E1872" s="100" t="s">
        <v>3705</v>
      </c>
      <c r="F1872" s="99" t="s">
        <v>49</v>
      </c>
      <c r="G1872" s="77"/>
      <c r="H1872" s="77">
        <f>STOCK[[#This Row],[Precio Final]]</f>
        <v>25</v>
      </c>
      <c r="I1872" s="82">
        <f>STOCK[[#This Row],[Precio Venta Ideal (x1.5)]]</f>
        <v>17.25</v>
      </c>
      <c r="J1872" s="99">
        <v>1</v>
      </c>
      <c r="K1872" s="80">
        <f>SUMIFS(VENTAS[Cantidad],VENTAS[Código del producto Vendido],STOCK[[#This Row],[Code]])</f>
        <v>0</v>
      </c>
      <c r="L1872" s="80">
        <f>STOCK[[#This Row],[Entradas]]-STOCK[[#This Row],[Salidas]]</f>
        <v>1</v>
      </c>
      <c r="M1872" s="77">
        <f>STOCK[[#This Row],[Precio Final]]*10%</f>
        <v>2.5</v>
      </c>
      <c r="N1872" s="54">
        <v>0</v>
      </c>
      <c r="O1872" s="77">
        <v>0</v>
      </c>
      <c r="P1872" s="77">
        <v>9</v>
      </c>
      <c r="Q1872" s="77">
        <v>0</v>
      </c>
      <c r="R1872" s="80">
        <v>0</v>
      </c>
      <c r="S1872" s="77">
        <v>0</v>
      </c>
      <c r="T1872" s="77">
        <f>STOCK[[#This Row],[Costo Unitario (USD)]]+STOCK[[#This Row],[Costo Envío (USD)]]+STOCK[[#This Row],[Comisión 10%]]</f>
        <v>11.5</v>
      </c>
      <c r="U1872" s="53">
        <f>STOCK[[#This Row],[Costo total]]*1.5</f>
        <v>17.25</v>
      </c>
      <c r="V1872" s="53">
        <v>25</v>
      </c>
      <c r="W1872" s="77">
        <f>STOCK[[#This Row],[Precio Final]]-STOCK[[#This Row],[Costo total]]</f>
        <v>13.5</v>
      </c>
      <c r="X1872" s="77">
        <f>STOCK[[#This Row],[Ganancia Unitaria]]*STOCK[[#This Row],[Salidas]]</f>
        <v>0</v>
      </c>
      <c r="Y1872" s="77"/>
      <c r="Z1872" s="90"/>
      <c r="AA1872" s="54"/>
      <c r="AB1872" s="54"/>
      <c r="AC1872" s="77"/>
      <c r="AD1872" s="98"/>
    </row>
    <row r="1873" s="53" customFormat="1" ht="50" customHeight="1" spans="1:30">
      <c r="A1873" s="99" t="s">
        <v>3706</v>
      </c>
      <c r="B1873" s="85"/>
      <c r="C1873" s="53" t="s">
        <v>32</v>
      </c>
      <c r="D1873" s="86" t="s">
        <v>749</v>
      </c>
      <c r="E1873" s="100" t="s">
        <v>3707</v>
      </c>
      <c r="F1873" s="99" t="s">
        <v>46</v>
      </c>
      <c r="G1873" s="77"/>
      <c r="H1873" s="77">
        <f>STOCK[[#This Row],[Precio Final]]</f>
        <v>18</v>
      </c>
      <c r="I1873" s="82">
        <f>STOCK[[#This Row],[Precio Venta Ideal (x1.5)]]</f>
        <v>16.2</v>
      </c>
      <c r="J1873" s="99">
        <v>1</v>
      </c>
      <c r="K1873" s="80">
        <f>SUMIFS(VENTAS[Cantidad],VENTAS[Código del producto Vendido],STOCK[[#This Row],[Code]])</f>
        <v>0</v>
      </c>
      <c r="L1873" s="80">
        <f>STOCK[[#This Row],[Entradas]]-STOCK[[#This Row],[Salidas]]</f>
        <v>1</v>
      </c>
      <c r="M1873" s="77">
        <f>STOCK[[#This Row],[Precio Final]]*10%</f>
        <v>1.8</v>
      </c>
      <c r="N1873" s="54">
        <v>0</v>
      </c>
      <c r="O1873" s="77">
        <v>0</v>
      </c>
      <c r="P1873" s="77">
        <v>9</v>
      </c>
      <c r="Q1873" s="77">
        <v>0</v>
      </c>
      <c r="R1873" s="80">
        <v>0</v>
      </c>
      <c r="S1873" s="77">
        <v>0</v>
      </c>
      <c r="T1873" s="77">
        <f>STOCK[[#This Row],[Costo Unitario (USD)]]+STOCK[[#This Row],[Costo Envío (USD)]]+STOCK[[#This Row],[Comisión 10%]]</f>
        <v>10.8</v>
      </c>
      <c r="U1873" s="53">
        <f>STOCK[[#This Row],[Costo total]]*1.5</f>
        <v>16.2</v>
      </c>
      <c r="V1873" s="53">
        <v>18</v>
      </c>
      <c r="W1873" s="77">
        <f>STOCK[[#This Row],[Precio Final]]-STOCK[[#This Row],[Costo total]]</f>
        <v>7.2</v>
      </c>
      <c r="X1873" s="77">
        <f>STOCK[[#This Row],[Ganancia Unitaria]]*STOCK[[#This Row],[Salidas]]</f>
        <v>0</v>
      </c>
      <c r="Y1873" s="77"/>
      <c r="Z1873" s="90"/>
      <c r="AA1873" s="54"/>
      <c r="AB1873" s="54"/>
      <c r="AC1873" s="77"/>
      <c r="AD1873" s="98"/>
    </row>
    <row r="1874" s="53" customFormat="1" ht="50" customHeight="1" spans="1:30">
      <c r="A1874" s="99" t="s">
        <v>3708</v>
      </c>
      <c r="B1874" s="85"/>
      <c r="C1874" s="53" t="s">
        <v>32</v>
      </c>
      <c r="D1874" s="86" t="s">
        <v>749</v>
      </c>
      <c r="E1874" s="100" t="s">
        <v>3709</v>
      </c>
      <c r="F1874" s="99" t="s">
        <v>46</v>
      </c>
      <c r="G1874" s="77"/>
      <c r="H1874" s="77">
        <f>STOCK[[#This Row],[Precio Final]]</f>
        <v>18</v>
      </c>
      <c r="I1874" s="82">
        <f>STOCK[[#This Row],[Precio Venta Ideal (x1.5)]]</f>
        <v>16.2</v>
      </c>
      <c r="J1874" s="99">
        <v>2</v>
      </c>
      <c r="K1874" s="80">
        <f>SUMIFS(VENTAS[Cantidad],VENTAS[Código del producto Vendido],STOCK[[#This Row],[Code]])</f>
        <v>0</v>
      </c>
      <c r="L1874" s="80">
        <f>STOCK[[#This Row],[Entradas]]-STOCK[[#This Row],[Salidas]]</f>
        <v>2</v>
      </c>
      <c r="M1874" s="77">
        <f>STOCK[[#This Row],[Precio Final]]*10%</f>
        <v>1.8</v>
      </c>
      <c r="N1874" s="54">
        <v>0</v>
      </c>
      <c r="O1874" s="77">
        <v>0</v>
      </c>
      <c r="P1874" s="77">
        <v>9</v>
      </c>
      <c r="Q1874" s="77">
        <v>0</v>
      </c>
      <c r="R1874" s="80">
        <v>0</v>
      </c>
      <c r="S1874" s="77">
        <v>0</v>
      </c>
      <c r="T1874" s="77">
        <f>STOCK[[#This Row],[Costo Unitario (USD)]]+STOCK[[#This Row],[Costo Envío (USD)]]+STOCK[[#This Row],[Comisión 10%]]</f>
        <v>10.8</v>
      </c>
      <c r="U1874" s="53">
        <f>STOCK[[#This Row],[Costo total]]*1.5</f>
        <v>16.2</v>
      </c>
      <c r="V1874" s="53">
        <v>18</v>
      </c>
      <c r="W1874" s="77">
        <f>STOCK[[#This Row],[Precio Final]]-STOCK[[#This Row],[Costo total]]</f>
        <v>7.2</v>
      </c>
      <c r="X1874" s="77">
        <f>STOCK[[#This Row],[Ganancia Unitaria]]*STOCK[[#This Row],[Salidas]]</f>
        <v>0</v>
      </c>
      <c r="Y1874" s="77"/>
      <c r="Z1874" s="90"/>
      <c r="AA1874" s="54"/>
      <c r="AB1874" s="54"/>
      <c r="AC1874" s="77"/>
      <c r="AD1874" s="98"/>
    </row>
    <row r="1875" s="53" customFormat="1" ht="50" customHeight="1" spans="1:30">
      <c r="A1875" s="99" t="s">
        <v>3710</v>
      </c>
      <c r="B1875" s="85"/>
      <c r="C1875" s="53" t="s">
        <v>32</v>
      </c>
      <c r="D1875" s="86"/>
      <c r="E1875" s="100" t="s">
        <v>3711</v>
      </c>
      <c r="F1875" s="99" t="s">
        <v>716</v>
      </c>
      <c r="G1875" s="77"/>
      <c r="H1875" s="77">
        <f>STOCK[[#This Row],[Precio Final]]</f>
        <v>35</v>
      </c>
      <c r="I1875" s="82">
        <f>STOCK[[#This Row],[Precio Venta Ideal (x1.5)]]</f>
        <v>18.75</v>
      </c>
      <c r="J1875" s="99">
        <v>1</v>
      </c>
      <c r="K1875" s="80">
        <f>SUMIFS(VENTAS[Cantidad],VENTAS[Código del producto Vendido],STOCK[[#This Row],[Code]])</f>
        <v>0</v>
      </c>
      <c r="L1875" s="80">
        <f>STOCK[[#This Row],[Entradas]]-STOCK[[#This Row],[Salidas]]</f>
        <v>1</v>
      </c>
      <c r="M1875" s="77">
        <f>STOCK[[#This Row],[Precio Final]]*10%</f>
        <v>3.5</v>
      </c>
      <c r="N1875" s="54">
        <v>0</v>
      </c>
      <c r="O1875" s="77">
        <v>0</v>
      </c>
      <c r="P1875" s="77">
        <v>9</v>
      </c>
      <c r="Q1875" s="77">
        <v>0</v>
      </c>
      <c r="R1875" s="80">
        <v>0</v>
      </c>
      <c r="S1875" s="77">
        <v>0</v>
      </c>
      <c r="T1875" s="77">
        <f>STOCK[[#This Row],[Costo Unitario (USD)]]+STOCK[[#This Row],[Costo Envío (USD)]]+STOCK[[#This Row],[Comisión 10%]]</f>
        <v>12.5</v>
      </c>
      <c r="U1875" s="53">
        <f>STOCK[[#This Row],[Costo total]]*1.5</f>
        <v>18.75</v>
      </c>
      <c r="V1875" s="53">
        <v>35</v>
      </c>
      <c r="W1875" s="77">
        <f>STOCK[[#This Row],[Precio Final]]-STOCK[[#This Row],[Costo total]]</f>
        <v>22.5</v>
      </c>
      <c r="X1875" s="77">
        <f>STOCK[[#This Row],[Ganancia Unitaria]]*STOCK[[#This Row],[Salidas]]</f>
        <v>0</v>
      </c>
      <c r="Y1875" s="77"/>
      <c r="Z1875" s="90"/>
      <c r="AA1875" s="54"/>
      <c r="AB1875" s="54"/>
      <c r="AC1875" s="77"/>
      <c r="AD1875" s="98"/>
    </row>
    <row r="1876" s="53" customFormat="1" ht="50" customHeight="1" spans="1:30">
      <c r="A1876" s="99" t="s">
        <v>3712</v>
      </c>
      <c r="B1876" s="85"/>
      <c r="C1876" s="53" t="s">
        <v>32</v>
      </c>
      <c r="D1876" s="86" t="s">
        <v>749</v>
      </c>
      <c r="E1876" s="100" t="s">
        <v>3713</v>
      </c>
      <c r="F1876" s="99" t="s">
        <v>46</v>
      </c>
      <c r="G1876" s="77"/>
      <c r="H1876" s="77">
        <f>STOCK[[#This Row],[Precio Final]]</f>
        <v>18</v>
      </c>
      <c r="I1876" s="82">
        <f>STOCK[[#This Row],[Precio Venta Ideal (x1.5)]]</f>
        <v>16.2</v>
      </c>
      <c r="J1876" s="99">
        <v>1</v>
      </c>
      <c r="K1876" s="80">
        <f>SUMIFS(VENTAS[Cantidad],VENTAS[Código del producto Vendido],STOCK[[#This Row],[Code]])</f>
        <v>0</v>
      </c>
      <c r="L1876" s="80">
        <f>STOCK[[#This Row],[Entradas]]-STOCK[[#This Row],[Salidas]]</f>
        <v>1</v>
      </c>
      <c r="M1876" s="77">
        <f>STOCK[[#This Row],[Precio Final]]*10%</f>
        <v>1.8</v>
      </c>
      <c r="N1876" s="54">
        <v>0</v>
      </c>
      <c r="O1876" s="77">
        <v>0</v>
      </c>
      <c r="P1876" s="77">
        <v>9</v>
      </c>
      <c r="Q1876" s="77">
        <v>0</v>
      </c>
      <c r="R1876" s="80">
        <v>0</v>
      </c>
      <c r="S1876" s="77">
        <v>0</v>
      </c>
      <c r="T1876" s="77">
        <f>STOCK[[#This Row],[Costo Unitario (USD)]]+STOCK[[#This Row],[Costo Envío (USD)]]+STOCK[[#This Row],[Comisión 10%]]</f>
        <v>10.8</v>
      </c>
      <c r="U1876" s="53">
        <f>STOCK[[#This Row],[Costo total]]*1.5</f>
        <v>16.2</v>
      </c>
      <c r="V1876" s="53">
        <v>18</v>
      </c>
      <c r="W1876" s="77">
        <f>STOCK[[#This Row],[Precio Final]]-STOCK[[#This Row],[Costo total]]</f>
        <v>7.2</v>
      </c>
      <c r="X1876" s="77">
        <f>STOCK[[#This Row],[Ganancia Unitaria]]*STOCK[[#This Row],[Salidas]]</f>
        <v>0</v>
      </c>
      <c r="Y1876" s="77"/>
      <c r="Z1876" s="90"/>
      <c r="AA1876" s="54"/>
      <c r="AB1876" s="54"/>
      <c r="AC1876" s="77"/>
      <c r="AD1876" s="98"/>
    </row>
    <row r="1877" s="53" customFormat="1" ht="50" customHeight="1" spans="1:30">
      <c r="A1877" s="99" t="s">
        <v>3697</v>
      </c>
      <c r="B1877" s="85"/>
      <c r="C1877" s="53" t="s">
        <v>32</v>
      </c>
      <c r="D1877" s="86" t="s">
        <v>749</v>
      </c>
      <c r="E1877" s="100" t="s">
        <v>3714</v>
      </c>
      <c r="F1877" s="99" t="s">
        <v>42</v>
      </c>
      <c r="G1877" s="77"/>
      <c r="H1877" s="77">
        <f>STOCK[[#This Row],[Precio Final]]</f>
        <v>18</v>
      </c>
      <c r="I1877" s="82">
        <f>STOCK[[#This Row],[Precio Venta Ideal (x1.5)]]</f>
        <v>16.2</v>
      </c>
      <c r="J1877" s="99">
        <v>2</v>
      </c>
      <c r="K1877" s="80">
        <f>SUMIFS(VENTAS[Cantidad],VENTAS[Código del producto Vendido],STOCK[[#This Row],[Code]])</f>
        <v>0</v>
      </c>
      <c r="L1877" s="80">
        <f>STOCK[[#This Row],[Entradas]]-STOCK[[#This Row],[Salidas]]</f>
        <v>2</v>
      </c>
      <c r="M1877" s="77">
        <f>STOCK[[#This Row],[Precio Final]]*10%</f>
        <v>1.8</v>
      </c>
      <c r="N1877" s="54">
        <v>0</v>
      </c>
      <c r="O1877" s="77">
        <v>0</v>
      </c>
      <c r="P1877" s="77">
        <v>9</v>
      </c>
      <c r="Q1877" s="77">
        <v>0</v>
      </c>
      <c r="R1877" s="80">
        <v>0</v>
      </c>
      <c r="S1877" s="77">
        <v>0</v>
      </c>
      <c r="T1877" s="77">
        <f>STOCK[[#This Row],[Costo Unitario (USD)]]+STOCK[[#This Row],[Costo Envío (USD)]]+STOCK[[#This Row],[Comisión 10%]]</f>
        <v>10.8</v>
      </c>
      <c r="U1877" s="53">
        <f>STOCK[[#This Row],[Costo total]]*1.5</f>
        <v>16.2</v>
      </c>
      <c r="V1877" s="53">
        <v>18</v>
      </c>
      <c r="W1877" s="77">
        <f>STOCK[[#This Row],[Precio Final]]-STOCK[[#This Row],[Costo total]]</f>
        <v>7.2</v>
      </c>
      <c r="X1877" s="77">
        <f>STOCK[[#This Row],[Ganancia Unitaria]]*STOCK[[#This Row],[Salidas]]</f>
        <v>0</v>
      </c>
      <c r="Y1877" s="77"/>
      <c r="Z1877" s="90"/>
      <c r="AA1877" s="54"/>
      <c r="AB1877" s="54"/>
      <c r="AC1877" s="77"/>
      <c r="AD1877" s="98"/>
    </row>
    <row r="1878" s="53" customFormat="1" ht="50" customHeight="1" spans="1:30">
      <c r="A1878" s="99" t="s">
        <v>3715</v>
      </c>
      <c r="B1878" s="85"/>
      <c r="C1878" s="53" t="s">
        <v>32</v>
      </c>
      <c r="D1878" s="86" t="s">
        <v>749</v>
      </c>
      <c r="E1878" s="100" t="s">
        <v>3716</v>
      </c>
      <c r="F1878" s="99" t="s">
        <v>42</v>
      </c>
      <c r="G1878" s="77"/>
      <c r="H1878" s="77">
        <f>STOCK[[#This Row],[Precio Final]]</f>
        <v>18</v>
      </c>
      <c r="I1878" s="82">
        <f>STOCK[[#This Row],[Precio Venta Ideal (x1.5)]]</f>
        <v>16.2</v>
      </c>
      <c r="J1878" s="99">
        <v>1</v>
      </c>
      <c r="K1878" s="80">
        <f>SUMIFS(VENTAS[Cantidad],VENTAS[Código del producto Vendido],STOCK[[#This Row],[Code]])</f>
        <v>0</v>
      </c>
      <c r="L1878" s="80">
        <f>STOCK[[#This Row],[Entradas]]-STOCK[[#This Row],[Salidas]]</f>
        <v>1</v>
      </c>
      <c r="M1878" s="77">
        <f>STOCK[[#This Row],[Precio Final]]*10%</f>
        <v>1.8</v>
      </c>
      <c r="N1878" s="54">
        <v>0</v>
      </c>
      <c r="O1878" s="77">
        <v>0</v>
      </c>
      <c r="P1878" s="77">
        <v>9</v>
      </c>
      <c r="Q1878" s="77">
        <v>0</v>
      </c>
      <c r="R1878" s="80">
        <v>0</v>
      </c>
      <c r="S1878" s="77">
        <v>0</v>
      </c>
      <c r="T1878" s="77">
        <f>STOCK[[#This Row],[Costo Unitario (USD)]]+STOCK[[#This Row],[Costo Envío (USD)]]+STOCK[[#This Row],[Comisión 10%]]</f>
        <v>10.8</v>
      </c>
      <c r="U1878" s="53">
        <f>STOCK[[#This Row],[Costo total]]*1.5</f>
        <v>16.2</v>
      </c>
      <c r="V1878" s="53">
        <v>18</v>
      </c>
      <c r="W1878" s="77">
        <f>STOCK[[#This Row],[Precio Final]]-STOCK[[#This Row],[Costo total]]</f>
        <v>7.2</v>
      </c>
      <c r="X1878" s="77">
        <f>STOCK[[#This Row],[Ganancia Unitaria]]*STOCK[[#This Row],[Salidas]]</f>
        <v>0</v>
      </c>
      <c r="Y1878" s="77"/>
      <c r="Z1878" s="90"/>
      <c r="AA1878" s="54"/>
      <c r="AB1878" s="54"/>
      <c r="AC1878" s="77"/>
      <c r="AD1878" s="98"/>
    </row>
    <row r="1879" s="53" customFormat="1" ht="50" customHeight="1" spans="1:30">
      <c r="A1879" s="99" t="s">
        <v>3717</v>
      </c>
      <c r="B1879" s="85"/>
      <c r="C1879" s="53" t="s">
        <v>32</v>
      </c>
      <c r="D1879" s="86" t="s">
        <v>780</v>
      </c>
      <c r="E1879" s="100" t="s">
        <v>3718</v>
      </c>
      <c r="F1879" s="99" t="s">
        <v>46</v>
      </c>
      <c r="G1879" s="77"/>
      <c r="H1879" s="77">
        <f>STOCK[[#This Row],[Precio Final]]</f>
        <v>25</v>
      </c>
      <c r="I1879" s="82">
        <f>STOCK[[#This Row],[Precio Venta Ideal (x1.5)]]</f>
        <v>17.25</v>
      </c>
      <c r="J1879" s="99">
        <v>1</v>
      </c>
      <c r="K1879" s="80">
        <f>SUMIFS(VENTAS[Cantidad],VENTAS[Código del producto Vendido],STOCK[[#This Row],[Code]])</f>
        <v>0</v>
      </c>
      <c r="L1879" s="80">
        <f>STOCK[[#This Row],[Entradas]]-STOCK[[#This Row],[Salidas]]</f>
        <v>1</v>
      </c>
      <c r="M1879" s="77">
        <f>STOCK[[#This Row],[Precio Final]]*10%</f>
        <v>2.5</v>
      </c>
      <c r="N1879" s="54">
        <v>0</v>
      </c>
      <c r="O1879" s="77">
        <v>0</v>
      </c>
      <c r="P1879" s="77">
        <v>9</v>
      </c>
      <c r="Q1879" s="77">
        <v>0</v>
      </c>
      <c r="R1879" s="80">
        <v>0</v>
      </c>
      <c r="S1879" s="77">
        <v>0</v>
      </c>
      <c r="T1879" s="77">
        <f>STOCK[[#This Row],[Costo Unitario (USD)]]+STOCK[[#This Row],[Costo Envío (USD)]]+STOCK[[#This Row],[Comisión 10%]]</f>
        <v>11.5</v>
      </c>
      <c r="U1879" s="53">
        <f>STOCK[[#This Row],[Costo total]]*1.5</f>
        <v>17.25</v>
      </c>
      <c r="V1879" s="53">
        <v>25</v>
      </c>
      <c r="W1879" s="77">
        <f>STOCK[[#This Row],[Precio Final]]-STOCK[[#This Row],[Costo total]]</f>
        <v>13.5</v>
      </c>
      <c r="X1879" s="77">
        <f>STOCK[[#This Row],[Ganancia Unitaria]]*STOCK[[#This Row],[Salidas]]</f>
        <v>0</v>
      </c>
      <c r="Y1879" s="77"/>
      <c r="Z1879" s="90"/>
      <c r="AA1879" s="54"/>
      <c r="AB1879" s="54"/>
      <c r="AC1879" s="77"/>
      <c r="AD1879" s="98"/>
    </row>
    <row r="1880" s="53" customFormat="1" ht="50" customHeight="1" spans="1:30">
      <c r="A1880" s="99" t="s">
        <v>3719</v>
      </c>
      <c r="B1880" s="85"/>
      <c r="C1880" s="53" t="s">
        <v>32</v>
      </c>
      <c r="D1880" s="86" t="s">
        <v>780</v>
      </c>
      <c r="E1880" s="100" t="s">
        <v>3720</v>
      </c>
      <c r="F1880" s="99" t="s">
        <v>42</v>
      </c>
      <c r="G1880" s="77"/>
      <c r="H1880" s="77">
        <f>STOCK[[#This Row],[Precio Final]]</f>
        <v>25</v>
      </c>
      <c r="I1880" s="82">
        <f>STOCK[[#This Row],[Precio Venta Ideal (x1.5)]]</f>
        <v>17.25</v>
      </c>
      <c r="J1880" s="99">
        <v>1</v>
      </c>
      <c r="K1880" s="80">
        <f>SUMIFS(VENTAS[Cantidad],VENTAS[Código del producto Vendido],STOCK[[#This Row],[Code]])</f>
        <v>0</v>
      </c>
      <c r="L1880" s="80">
        <f>STOCK[[#This Row],[Entradas]]-STOCK[[#This Row],[Salidas]]</f>
        <v>1</v>
      </c>
      <c r="M1880" s="77">
        <f>STOCK[[#This Row],[Precio Final]]*10%</f>
        <v>2.5</v>
      </c>
      <c r="N1880" s="54">
        <v>0</v>
      </c>
      <c r="O1880" s="77">
        <v>0</v>
      </c>
      <c r="P1880" s="77">
        <v>9</v>
      </c>
      <c r="Q1880" s="77">
        <v>0</v>
      </c>
      <c r="R1880" s="80">
        <v>0</v>
      </c>
      <c r="S1880" s="77">
        <v>0</v>
      </c>
      <c r="T1880" s="77">
        <f>STOCK[[#This Row],[Costo Unitario (USD)]]+STOCK[[#This Row],[Costo Envío (USD)]]+STOCK[[#This Row],[Comisión 10%]]</f>
        <v>11.5</v>
      </c>
      <c r="U1880" s="53">
        <f>STOCK[[#This Row],[Costo total]]*1.5</f>
        <v>17.25</v>
      </c>
      <c r="V1880" s="53">
        <v>25</v>
      </c>
      <c r="W1880" s="77">
        <f>STOCK[[#This Row],[Precio Final]]-STOCK[[#This Row],[Costo total]]</f>
        <v>13.5</v>
      </c>
      <c r="X1880" s="77">
        <f>STOCK[[#This Row],[Ganancia Unitaria]]*STOCK[[#This Row],[Salidas]]</f>
        <v>0</v>
      </c>
      <c r="Y1880" s="77"/>
      <c r="Z1880" s="90"/>
      <c r="AA1880" s="54"/>
      <c r="AB1880" s="54"/>
      <c r="AC1880" s="77"/>
      <c r="AD1880" s="98"/>
    </row>
    <row r="1881" s="53" customFormat="1" ht="50" customHeight="1" spans="1:30">
      <c r="A1881" s="99" t="s">
        <v>3721</v>
      </c>
      <c r="B1881" s="85"/>
      <c r="C1881" s="53" t="s">
        <v>32</v>
      </c>
      <c r="D1881" s="86" t="s">
        <v>749</v>
      </c>
      <c r="E1881" s="100" t="s">
        <v>3722</v>
      </c>
      <c r="F1881" s="99" t="s">
        <v>42</v>
      </c>
      <c r="G1881" s="77"/>
      <c r="H1881" s="77">
        <f>STOCK[[#This Row],[Precio Final]]</f>
        <v>18</v>
      </c>
      <c r="I1881" s="82">
        <f>STOCK[[#This Row],[Precio Venta Ideal (x1.5)]]</f>
        <v>16.2</v>
      </c>
      <c r="J1881" s="99">
        <v>1</v>
      </c>
      <c r="K1881" s="80">
        <f>SUMIFS(VENTAS[Cantidad],VENTAS[Código del producto Vendido],STOCK[[#This Row],[Code]])</f>
        <v>0</v>
      </c>
      <c r="L1881" s="80">
        <f>STOCK[[#This Row],[Entradas]]-STOCK[[#This Row],[Salidas]]</f>
        <v>1</v>
      </c>
      <c r="M1881" s="77">
        <f>STOCK[[#This Row],[Precio Final]]*10%</f>
        <v>1.8</v>
      </c>
      <c r="N1881" s="54">
        <v>0</v>
      </c>
      <c r="O1881" s="77">
        <v>0</v>
      </c>
      <c r="P1881" s="77">
        <v>9</v>
      </c>
      <c r="Q1881" s="77">
        <v>0</v>
      </c>
      <c r="R1881" s="80">
        <v>0</v>
      </c>
      <c r="S1881" s="77">
        <v>0</v>
      </c>
      <c r="T1881" s="77">
        <f>STOCK[[#This Row],[Costo Unitario (USD)]]+STOCK[[#This Row],[Costo Envío (USD)]]+STOCK[[#This Row],[Comisión 10%]]</f>
        <v>10.8</v>
      </c>
      <c r="U1881" s="53">
        <f>STOCK[[#This Row],[Costo total]]*1.5</f>
        <v>16.2</v>
      </c>
      <c r="V1881" s="53">
        <v>18</v>
      </c>
      <c r="W1881" s="77">
        <f>STOCK[[#This Row],[Precio Final]]-STOCK[[#This Row],[Costo total]]</f>
        <v>7.2</v>
      </c>
      <c r="X1881" s="77">
        <f>STOCK[[#This Row],[Ganancia Unitaria]]*STOCK[[#This Row],[Salidas]]</f>
        <v>0</v>
      </c>
      <c r="Y1881" s="77"/>
      <c r="Z1881" s="90"/>
      <c r="AA1881" s="54"/>
      <c r="AB1881" s="54"/>
      <c r="AC1881" s="77"/>
      <c r="AD1881" s="98"/>
    </row>
    <row r="1882" s="53" customFormat="1" ht="50" customHeight="1" spans="1:30">
      <c r="A1882" s="99" t="s">
        <v>3723</v>
      </c>
      <c r="B1882" s="85"/>
      <c r="C1882" s="53" t="s">
        <v>32</v>
      </c>
      <c r="D1882" s="86" t="s">
        <v>749</v>
      </c>
      <c r="E1882" s="100" t="s">
        <v>3724</v>
      </c>
      <c r="F1882" s="99" t="s">
        <v>49</v>
      </c>
      <c r="G1882" s="77"/>
      <c r="H1882" s="77">
        <f>STOCK[[#This Row],[Precio Final]]</f>
        <v>18</v>
      </c>
      <c r="I1882" s="82">
        <f>STOCK[[#This Row],[Precio Venta Ideal (x1.5)]]</f>
        <v>16.2</v>
      </c>
      <c r="J1882" s="99">
        <v>1</v>
      </c>
      <c r="K1882" s="80">
        <f>SUMIFS(VENTAS[Cantidad],VENTAS[Código del producto Vendido],STOCK[[#This Row],[Code]])</f>
        <v>0</v>
      </c>
      <c r="L1882" s="80">
        <f>STOCK[[#This Row],[Entradas]]-STOCK[[#This Row],[Salidas]]</f>
        <v>1</v>
      </c>
      <c r="M1882" s="77">
        <f>STOCK[[#This Row],[Precio Final]]*10%</f>
        <v>1.8</v>
      </c>
      <c r="N1882" s="54">
        <v>0</v>
      </c>
      <c r="O1882" s="77">
        <v>0</v>
      </c>
      <c r="P1882" s="77">
        <v>9</v>
      </c>
      <c r="Q1882" s="77">
        <v>0</v>
      </c>
      <c r="R1882" s="80">
        <v>0</v>
      </c>
      <c r="S1882" s="77">
        <v>0</v>
      </c>
      <c r="T1882" s="77">
        <f>STOCK[[#This Row],[Costo Unitario (USD)]]+STOCK[[#This Row],[Costo Envío (USD)]]+STOCK[[#This Row],[Comisión 10%]]</f>
        <v>10.8</v>
      </c>
      <c r="U1882" s="53">
        <f>STOCK[[#This Row],[Costo total]]*1.5</f>
        <v>16.2</v>
      </c>
      <c r="V1882" s="53">
        <v>18</v>
      </c>
      <c r="W1882" s="77">
        <f>STOCK[[#This Row],[Precio Final]]-STOCK[[#This Row],[Costo total]]</f>
        <v>7.2</v>
      </c>
      <c r="X1882" s="77">
        <f>STOCK[[#This Row],[Ganancia Unitaria]]*STOCK[[#This Row],[Salidas]]</f>
        <v>0</v>
      </c>
      <c r="Y1882" s="77"/>
      <c r="Z1882" s="90"/>
      <c r="AA1882" s="54"/>
      <c r="AB1882" s="54"/>
      <c r="AC1882" s="77"/>
      <c r="AD1882" s="98"/>
    </row>
    <row r="1883" s="53" customFormat="1" ht="50" customHeight="1" spans="1:30">
      <c r="A1883" s="99" t="s">
        <v>3725</v>
      </c>
      <c r="B1883" s="85"/>
      <c r="C1883" s="53" t="s">
        <v>32</v>
      </c>
      <c r="D1883" s="86" t="s">
        <v>749</v>
      </c>
      <c r="E1883" s="100" t="s">
        <v>3726</v>
      </c>
      <c r="F1883" s="99" t="s">
        <v>42</v>
      </c>
      <c r="G1883" s="77"/>
      <c r="H1883" s="77">
        <f>STOCK[[#This Row],[Precio Final]]</f>
        <v>18</v>
      </c>
      <c r="I1883" s="82">
        <f>STOCK[[#This Row],[Precio Venta Ideal (x1.5)]]</f>
        <v>16.2</v>
      </c>
      <c r="J1883" s="99">
        <v>1</v>
      </c>
      <c r="K1883" s="80">
        <f>SUMIFS(VENTAS[Cantidad],VENTAS[Código del producto Vendido],STOCK[[#This Row],[Code]])</f>
        <v>0</v>
      </c>
      <c r="L1883" s="80">
        <f>STOCK[[#This Row],[Entradas]]-STOCK[[#This Row],[Salidas]]</f>
        <v>1</v>
      </c>
      <c r="M1883" s="77">
        <f>STOCK[[#This Row],[Precio Final]]*10%</f>
        <v>1.8</v>
      </c>
      <c r="N1883" s="54">
        <v>0</v>
      </c>
      <c r="O1883" s="77">
        <v>0</v>
      </c>
      <c r="P1883" s="77">
        <v>9</v>
      </c>
      <c r="Q1883" s="77">
        <v>0</v>
      </c>
      <c r="R1883" s="80">
        <v>0</v>
      </c>
      <c r="S1883" s="77">
        <v>0</v>
      </c>
      <c r="T1883" s="77">
        <f>STOCK[[#This Row],[Costo Unitario (USD)]]+STOCK[[#This Row],[Costo Envío (USD)]]+STOCK[[#This Row],[Comisión 10%]]</f>
        <v>10.8</v>
      </c>
      <c r="U1883" s="53">
        <f>STOCK[[#This Row],[Costo total]]*1.5</f>
        <v>16.2</v>
      </c>
      <c r="V1883" s="53">
        <v>18</v>
      </c>
      <c r="W1883" s="77">
        <f>STOCK[[#This Row],[Precio Final]]-STOCK[[#This Row],[Costo total]]</f>
        <v>7.2</v>
      </c>
      <c r="X1883" s="77">
        <f>STOCK[[#This Row],[Ganancia Unitaria]]*STOCK[[#This Row],[Salidas]]</f>
        <v>0</v>
      </c>
      <c r="Y1883" s="77"/>
      <c r="Z1883" s="90"/>
      <c r="AA1883" s="54"/>
      <c r="AB1883" s="54"/>
      <c r="AC1883" s="77"/>
      <c r="AD1883" s="98"/>
    </row>
    <row r="1884" s="53" customFormat="1" ht="50" customHeight="1" spans="1:30">
      <c r="A1884" s="99" t="s">
        <v>3727</v>
      </c>
      <c r="B1884" s="85"/>
      <c r="C1884" s="53" t="s">
        <v>32</v>
      </c>
      <c r="D1884" s="86" t="s">
        <v>749</v>
      </c>
      <c r="E1884" s="100" t="s">
        <v>3728</v>
      </c>
      <c r="F1884" s="99" t="s">
        <v>281</v>
      </c>
      <c r="G1884" s="77"/>
      <c r="H1884" s="77">
        <f>STOCK[[#This Row],[Precio Final]]</f>
        <v>35</v>
      </c>
      <c r="I1884" s="82">
        <f>STOCK[[#This Row],[Precio Venta Ideal (x1.5)]]</f>
        <v>18.75</v>
      </c>
      <c r="J1884" s="99">
        <v>1</v>
      </c>
      <c r="K1884" s="80">
        <f>SUMIFS(VENTAS[Cantidad],VENTAS[Código del producto Vendido],STOCK[[#This Row],[Code]])</f>
        <v>0</v>
      </c>
      <c r="L1884" s="80">
        <f>STOCK[[#This Row],[Entradas]]-STOCK[[#This Row],[Salidas]]</f>
        <v>1</v>
      </c>
      <c r="M1884" s="77">
        <f>STOCK[[#This Row],[Precio Final]]*10%</f>
        <v>3.5</v>
      </c>
      <c r="N1884" s="54">
        <v>0</v>
      </c>
      <c r="O1884" s="77">
        <v>0</v>
      </c>
      <c r="P1884" s="77">
        <v>9</v>
      </c>
      <c r="Q1884" s="77">
        <v>0</v>
      </c>
      <c r="R1884" s="80">
        <v>0</v>
      </c>
      <c r="S1884" s="77">
        <v>0</v>
      </c>
      <c r="T1884" s="77">
        <f>STOCK[[#This Row],[Costo Unitario (USD)]]+STOCK[[#This Row],[Costo Envío (USD)]]+STOCK[[#This Row],[Comisión 10%]]</f>
        <v>12.5</v>
      </c>
      <c r="U1884" s="53">
        <f>STOCK[[#This Row],[Costo total]]*1.5</f>
        <v>18.75</v>
      </c>
      <c r="V1884" s="53">
        <v>35</v>
      </c>
      <c r="W1884" s="77">
        <f>STOCK[[#This Row],[Precio Final]]-STOCK[[#This Row],[Costo total]]</f>
        <v>22.5</v>
      </c>
      <c r="X1884" s="77">
        <f>STOCK[[#This Row],[Ganancia Unitaria]]*STOCK[[#This Row],[Salidas]]</f>
        <v>0</v>
      </c>
      <c r="Y1884" s="77"/>
      <c r="Z1884" s="90"/>
      <c r="AA1884" s="54"/>
      <c r="AB1884" s="54"/>
      <c r="AC1884" s="77"/>
      <c r="AD1884" s="98"/>
    </row>
    <row r="1885" s="53" customFormat="1" ht="50" customHeight="1" spans="1:30">
      <c r="A1885" s="99" t="s">
        <v>3729</v>
      </c>
      <c r="B1885" s="85"/>
      <c r="C1885" s="53" t="s">
        <v>32</v>
      </c>
      <c r="D1885" s="86" t="s">
        <v>749</v>
      </c>
      <c r="E1885" s="100" t="s">
        <v>3730</v>
      </c>
      <c r="F1885" s="99" t="s">
        <v>281</v>
      </c>
      <c r="G1885" s="77"/>
      <c r="H1885" s="77">
        <f>STOCK[[#This Row],[Precio Final]]</f>
        <v>35</v>
      </c>
      <c r="I1885" s="82">
        <f>STOCK[[#This Row],[Precio Venta Ideal (x1.5)]]</f>
        <v>18.75</v>
      </c>
      <c r="J1885" s="99">
        <v>1</v>
      </c>
      <c r="K1885" s="80">
        <f>SUMIFS(VENTAS[Cantidad],VENTAS[Código del producto Vendido],STOCK[[#This Row],[Code]])</f>
        <v>0</v>
      </c>
      <c r="L1885" s="80">
        <f>STOCK[[#This Row],[Entradas]]-STOCK[[#This Row],[Salidas]]</f>
        <v>1</v>
      </c>
      <c r="M1885" s="77">
        <f>STOCK[[#This Row],[Precio Final]]*10%</f>
        <v>3.5</v>
      </c>
      <c r="N1885" s="54">
        <v>0</v>
      </c>
      <c r="O1885" s="77">
        <v>0</v>
      </c>
      <c r="P1885" s="77">
        <v>9</v>
      </c>
      <c r="Q1885" s="77">
        <v>0</v>
      </c>
      <c r="R1885" s="80">
        <v>0</v>
      </c>
      <c r="S1885" s="77">
        <v>0</v>
      </c>
      <c r="T1885" s="77">
        <f>STOCK[[#This Row],[Costo Unitario (USD)]]+STOCK[[#This Row],[Costo Envío (USD)]]+STOCK[[#This Row],[Comisión 10%]]</f>
        <v>12.5</v>
      </c>
      <c r="U1885" s="53">
        <f>STOCK[[#This Row],[Costo total]]*1.5</f>
        <v>18.75</v>
      </c>
      <c r="V1885" s="53">
        <v>35</v>
      </c>
      <c r="W1885" s="77">
        <f>STOCK[[#This Row],[Precio Final]]-STOCK[[#This Row],[Costo total]]</f>
        <v>22.5</v>
      </c>
      <c r="X1885" s="77">
        <f>STOCK[[#This Row],[Ganancia Unitaria]]*STOCK[[#This Row],[Salidas]]</f>
        <v>0</v>
      </c>
      <c r="Y1885" s="77"/>
      <c r="Z1885" s="90"/>
      <c r="AA1885" s="54"/>
      <c r="AB1885" s="54"/>
      <c r="AC1885" s="77"/>
      <c r="AD1885" s="98"/>
    </row>
    <row r="1886" s="53" customFormat="1" ht="50" customHeight="1" spans="1:30">
      <c r="A1886" s="99" t="s">
        <v>3731</v>
      </c>
      <c r="B1886" s="85"/>
      <c r="C1886" s="53" t="s">
        <v>32</v>
      </c>
      <c r="D1886" s="86" t="s">
        <v>749</v>
      </c>
      <c r="E1886" s="100" t="s">
        <v>3732</v>
      </c>
      <c r="F1886" s="99" t="s">
        <v>46</v>
      </c>
      <c r="G1886" s="77"/>
      <c r="H1886" s="77">
        <f>STOCK[[#This Row],[Precio Final]]</f>
        <v>25</v>
      </c>
      <c r="I1886" s="82">
        <f>STOCK[[#This Row],[Precio Venta Ideal (x1.5)]]</f>
        <v>17.25</v>
      </c>
      <c r="J1886" s="99">
        <v>1</v>
      </c>
      <c r="K1886" s="80">
        <f>SUMIFS(VENTAS[Cantidad],VENTAS[Código del producto Vendido],STOCK[[#This Row],[Code]])</f>
        <v>0</v>
      </c>
      <c r="L1886" s="80">
        <f>STOCK[[#This Row],[Entradas]]-STOCK[[#This Row],[Salidas]]</f>
        <v>1</v>
      </c>
      <c r="M1886" s="77">
        <f>STOCK[[#This Row],[Precio Final]]*10%</f>
        <v>2.5</v>
      </c>
      <c r="N1886" s="54">
        <v>0</v>
      </c>
      <c r="O1886" s="77">
        <v>0</v>
      </c>
      <c r="P1886" s="77">
        <v>9</v>
      </c>
      <c r="Q1886" s="77">
        <v>0</v>
      </c>
      <c r="R1886" s="80">
        <v>0</v>
      </c>
      <c r="S1886" s="77">
        <v>0</v>
      </c>
      <c r="T1886" s="77">
        <f>STOCK[[#This Row],[Costo Unitario (USD)]]+STOCK[[#This Row],[Costo Envío (USD)]]+STOCK[[#This Row],[Comisión 10%]]</f>
        <v>11.5</v>
      </c>
      <c r="U1886" s="53">
        <f>STOCK[[#This Row],[Costo total]]*1.5</f>
        <v>17.25</v>
      </c>
      <c r="V1886" s="53">
        <v>25</v>
      </c>
      <c r="W1886" s="77">
        <f>STOCK[[#This Row],[Precio Final]]-STOCK[[#This Row],[Costo total]]</f>
        <v>13.5</v>
      </c>
      <c r="X1886" s="77">
        <f>STOCK[[#This Row],[Ganancia Unitaria]]*STOCK[[#This Row],[Salidas]]</f>
        <v>0</v>
      </c>
      <c r="Y1886" s="77"/>
      <c r="Z1886" s="90"/>
      <c r="AA1886" s="54"/>
      <c r="AB1886" s="54"/>
      <c r="AC1886" s="77"/>
      <c r="AD1886" s="98"/>
    </row>
    <row r="1887" s="53" customFormat="1" ht="50" customHeight="1" spans="1:30">
      <c r="A1887" s="99" t="s">
        <v>3733</v>
      </c>
      <c r="B1887" s="85"/>
      <c r="C1887" s="53" t="s">
        <v>32</v>
      </c>
      <c r="D1887" s="86" t="s">
        <v>749</v>
      </c>
      <c r="E1887" s="100" t="s">
        <v>3734</v>
      </c>
      <c r="F1887" s="99" t="s">
        <v>62</v>
      </c>
      <c r="G1887" s="77"/>
      <c r="H1887" s="77">
        <f>STOCK[[#This Row],[Precio Final]]</f>
        <v>28</v>
      </c>
      <c r="I1887" s="82">
        <f>STOCK[[#This Row],[Precio Venta Ideal (x1.5)]]</f>
        <v>17.7</v>
      </c>
      <c r="J1887" s="99">
        <v>1</v>
      </c>
      <c r="K1887" s="80">
        <f>SUMIFS(VENTAS[Cantidad],VENTAS[Código del producto Vendido],STOCK[[#This Row],[Code]])</f>
        <v>0</v>
      </c>
      <c r="L1887" s="80">
        <f>STOCK[[#This Row],[Entradas]]-STOCK[[#This Row],[Salidas]]</f>
        <v>1</v>
      </c>
      <c r="M1887" s="77">
        <f>STOCK[[#This Row],[Precio Final]]*10%</f>
        <v>2.8</v>
      </c>
      <c r="N1887" s="54">
        <v>0</v>
      </c>
      <c r="O1887" s="77">
        <v>0</v>
      </c>
      <c r="P1887" s="77">
        <v>9</v>
      </c>
      <c r="Q1887" s="77">
        <v>0</v>
      </c>
      <c r="R1887" s="80">
        <v>0</v>
      </c>
      <c r="S1887" s="77">
        <v>0</v>
      </c>
      <c r="T1887" s="77">
        <f>STOCK[[#This Row],[Costo Unitario (USD)]]+STOCK[[#This Row],[Costo Envío (USD)]]+STOCK[[#This Row],[Comisión 10%]]</f>
        <v>11.8</v>
      </c>
      <c r="U1887" s="53">
        <f>STOCK[[#This Row],[Costo total]]*1.5</f>
        <v>17.7</v>
      </c>
      <c r="V1887" s="53">
        <v>28</v>
      </c>
      <c r="W1887" s="77">
        <f>STOCK[[#This Row],[Precio Final]]-STOCK[[#This Row],[Costo total]]</f>
        <v>16.2</v>
      </c>
      <c r="X1887" s="77">
        <f>STOCK[[#This Row],[Ganancia Unitaria]]*STOCK[[#This Row],[Salidas]]</f>
        <v>0</v>
      </c>
      <c r="Y1887" s="77"/>
      <c r="Z1887" s="90"/>
      <c r="AA1887" s="54"/>
      <c r="AB1887" s="54"/>
      <c r="AC1887" s="77"/>
      <c r="AD1887" s="98"/>
    </row>
    <row r="1888" s="53" customFormat="1" ht="50" customHeight="1" spans="1:30">
      <c r="A1888" s="99" t="s">
        <v>3735</v>
      </c>
      <c r="B1888" s="85"/>
      <c r="C1888" s="53" t="s">
        <v>32</v>
      </c>
      <c r="D1888" s="86" t="s">
        <v>749</v>
      </c>
      <c r="E1888" s="100" t="s">
        <v>3736</v>
      </c>
      <c r="F1888" s="99" t="s">
        <v>62</v>
      </c>
      <c r="G1888" s="77"/>
      <c r="H1888" s="77">
        <f>STOCK[[#This Row],[Precio Final]]</f>
        <v>35</v>
      </c>
      <c r="I1888" s="82">
        <f>STOCK[[#This Row],[Precio Venta Ideal (x1.5)]]</f>
        <v>18.75</v>
      </c>
      <c r="J1888" s="99">
        <v>1</v>
      </c>
      <c r="K1888" s="80">
        <f>SUMIFS(VENTAS[Cantidad],VENTAS[Código del producto Vendido],STOCK[[#This Row],[Code]])</f>
        <v>0</v>
      </c>
      <c r="L1888" s="80">
        <f>STOCK[[#This Row],[Entradas]]-STOCK[[#This Row],[Salidas]]</f>
        <v>1</v>
      </c>
      <c r="M1888" s="77">
        <f>STOCK[[#This Row],[Precio Final]]*10%</f>
        <v>3.5</v>
      </c>
      <c r="N1888" s="54">
        <v>0</v>
      </c>
      <c r="O1888" s="77">
        <v>0</v>
      </c>
      <c r="P1888" s="77">
        <v>9</v>
      </c>
      <c r="Q1888" s="77">
        <v>0</v>
      </c>
      <c r="R1888" s="80">
        <v>0</v>
      </c>
      <c r="S1888" s="77">
        <v>0</v>
      </c>
      <c r="T1888" s="77">
        <f>STOCK[[#This Row],[Costo Unitario (USD)]]+STOCK[[#This Row],[Costo Envío (USD)]]+STOCK[[#This Row],[Comisión 10%]]</f>
        <v>12.5</v>
      </c>
      <c r="U1888" s="53">
        <f>STOCK[[#This Row],[Costo total]]*1.5</f>
        <v>18.75</v>
      </c>
      <c r="V1888" s="53">
        <v>35</v>
      </c>
      <c r="W1888" s="77">
        <f>STOCK[[#This Row],[Precio Final]]-STOCK[[#This Row],[Costo total]]</f>
        <v>22.5</v>
      </c>
      <c r="X1888" s="77">
        <f>STOCK[[#This Row],[Ganancia Unitaria]]*STOCK[[#This Row],[Salidas]]</f>
        <v>0</v>
      </c>
      <c r="Y1888" s="77"/>
      <c r="Z1888" s="90"/>
      <c r="AA1888" s="54"/>
      <c r="AB1888" s="54"/>
      <c r="AC1888" s="77"/>
      <c r="AD1888" s="98"/>
    </row>
    <row r="1889" s="53" customFormat="1" ht="50" customHeight="1" spans="1:30">
      <c r="A1889" s="99" t="s">
        <v>3737</v>
      </c>
      <c r="B1889" s="85"/>
      <c r="C1889" s="53" t="s">
        <v>32</v>
      </c>
      <c r="D1889" s="86" t="s">
        <v>749</v>
      </c>
      <c r="E1889" s="100" t="s">
        <v>3738</v>
      </c>
      <c r="F1889" s="99" t="s">
        <v>716</v>
      </c>
      <c r="G1889" s="77"/>
      <c r="H1889" s="77">
        <f>STOCK[[#This Row],[Precio Final]]</f>
        <v>35</v>
      </c>
      <c r="I1889" s="82">
        <f>STOCK[[#This Row],[Precio Venta Ideal (x1.5)]]</f>
        <v>18.75</v>
      </c>
      <c r="J1889" s="99">
        <v>2</v>
      </c>
      <c r="K1889" s="80">
        <f>SUMIFS(VENTAS[Cantidad],VENTAS[Código del producto Vendido],STOCK[[#This Row],[Code]])</f>
        <v>0</v>
      </c>
      <c r="L1889" s="80">
        <f>STOCK[[#This Row],[Entradas]]-STOCK[[#This Row],[Salidas]]</f>
        <v>2</v>
      </c>
      <c r="M1889" s="77">
        <f>STOCK[[#This Row],[Precio Final]]*10%</f>
        <v>3.5</v>
      </c>
      <c r="N1889" s="54">
        <v>0</v>
      </c>
      <c r="O1889" s="77">
        <v>0</v>
      </c>
      <c r="P1889" s="77">
        <v>9</v>
      </c>
      <c r="Q1889" s="77">
        <v>0</v>
      </c>
      <c r="R1889" s="80">
        <v>0</v>
      </c>
      <c r="S1889" s="77">
        <v>0</v>
      </c>
      <c r="T1889" s="77">
        <f>STOCK[[#This Row],[Costo Unitario (USD)]]+STOCK[[#This Row],[Costo Envío (USD)]]+STOCK[[#This Row],[Comisión 10%]]</f>
        <v>12.5</v>
      </c>
      <c r="U1889" s="53">
        <f>STOCK[[#This Row],[Costo total]]*1.5</f>
        <v>18.75</v>
      </c>
      <c r="V1889" s="53">
        <v>35</v>
      </c>
      <c r="W1889" s="77">
        <f>STOCK[[#This Row],[Precio Final]]-STOCK[[#This Row],[Costo total]]</f>
        <v>22.5</v>
      </c>
      <c r="X1889" s="77">
        <f>STOCK[[#This Row],[Ganancia Unitaria]]*STOCK[[#This Row],[Salidas]]</f>
        <v>0</v>
      </c>
      <c r="Y1889" s="77"/>
      <c r="Z1889" s="90"/>
      <c r="AA1889" s="54"/>
      <c r="AB1889" s="54"/>
      <c r="AC1889" s="77"/>
      <c r="AD1889" s="98"/>
    </row>
    <row r="1890" s="53" customFormat="1" ht="50" customHeight="1" spans="1:30">
      <c r="A1890" s="99" t="s">
        <v>3739</v>
      </c>
      <c r="B1890" s="85"/>
      <c r="C1890" s="53" t="s">
        <v>32</v>
      </c>
      <c r="D1890" s="86" t="s">
        <v>1388</v>
      </c>
      <c r="E1890" s="100" t="s">
        <v>3740</v>
      </c>
      <c r="F1890" s="99" t="s">
        <v>3741</v>
      </c>
      <c r="G1890" s="77"/>
      <c r="H1890" s="77">
        <f>STOCK[[#This Row],[Precio Final]]</f>
        <v>30</v>
      </c>
      <c r="I1890" s="82">
        <f>STOCK[[#This Row],[Precio Venta Ideal (x1.5)]]</f>
        <v>18</v>
      </c>
      <c r="J1890" s="99">
        <v>1</v>
      </c>
      <c r="K1890" s="80">
        <f>SUMIFS(VENTAS[Cantidad],VENTAS[Código del producto Vendido],STOCK[[#This Row],[Code]])</f>
        <v>0</v>
      </c>
      <c r="L1890" s="80">
        <f>STOCK[[#This Row],[Entradas]]-STOCK[[#This Row],[Salidas]]</f>
        <v>1</v>
      </c>
      <c r="M1890" s="77">
        <f>STOCK[[#This Row],[Precio Final]]*10%</f>
        <v>3</v>
      </c>
      <c r="N1890" s="54">
        <v>0</v>
      </c>
      <c r="O1890" s="77">
        <v>0</v>
      </c>
      <c r="P1890" s="77">
        <v>9</v>
      </c>
      <c r="Q1890" s="77">
        <v>0</v>
      </c>
      <c r="R1890" s="80">
        <v>0</v>
      </c>
      <c r="S1890" s="77">
        <v>0</v>
      </c>
      <c r="T1890" s="77">
        <f>STOCK[[#This Row],[Costo Unitario (USD)]]+STOCK[[#This Row],[Costo Envío (USD)]]+STOCK[[#This Row],[Comisión 10%]]</f>
        <v>12</v>
      </c>
      <c r="U1890" s="53">
        <f>STOCK[[#This Row],[Costo total]]*1.5</f>
        <v>18</v>
      </c>
      <c r="V1890" s="53">
        <v>30</v>
      </c>
      <c r="W1890" s="77">
        <f>STOCK[[#This Row],[Precio Final]]-STOCK[[#This Row],[Costo total]]</f>
        <v>18</v>
      </c>
      <c r="X1890" s="77">
        <f>STOCK[[#This Row],[Ganancia Unitaria]]*STOCK[[#This Row],[Salidas]]</f>
        <v>0</v>
      </c>
      <c r="Y1890" s="77"/>
      <c r="Z1890" s="90"/>
      <c r="AA1890" s="54"/>
      <c r="AB1890" s="54"/>
      <c r="AC1890" s="77"/>
      <c r="AD1890" s="98"/>
    </row>
    <row r="1891" s="53" customFormat="1" ht="50" customHeight="1" spans="1:30">
      <c r="A1891" s="99" t="s">
        <v>3742</v>
      </c>
      <c r="B1891" s="85"/>
      <c r="C1891" s="53" t="s">
        <v>32</v>
      </c>
      <c r="D1891" s="86" t="s">
        <v>749</v>
      </c>
      <c r="E1891" s="100" t="s">
        <v>3743</v>
      </c>
      <c r="F1891" s="99" t="s">
        <v>49</v>
      </c>
      <c r="G1891" s="77"/>
      <c r="H1891" s="77">
        <f>STOCK[[#This Row],[Precio Final]]</f>
        <v>35</v>
      </c>
      <c r="I1891" s="82">
        <f>STOCK[[#This Row],[Precio Venta Ideal (x1.5)]]</f>
        <v>18.75</v>
      </c>
      <c r="J1891" s="99">
        <v>1</v>
      </c>
      <c r="K1891" s="80">
        <f>SUMIFS(VENTAS[Cantidad],VENTAS[Código del producto Vendido],STOCK[[#This Row],[Code]])</f>
        <v>0</v>
      </c>
      <c r="L1891" s="80">
        <f>STOCK[[#This Row],[Entradas]]-STOCK[[#This Row],[Salidas]]</f>
        <v>1</v>
      </c>
      <c r="M1891" s="77">
        <f>STOCK[[#This Row],[Precio Final]]*10%</f>
        <v>3.5</v>
      </c>
      <c r="N1891" s="54">
        <v>0</v>
      </c>
      <c r="O1891" s="77">
        <v>0</v>
      </c>
      <c r="P1891" s="77">
        <v>9</v>
      </c>
      <c r="Q1891" s="77">
        <v>0</v>
      </c>
      <c r="R1891" s="80">
        <v>0</v>
      </c>
      <c r="S1891" s="77">
        <v>0</v>
      </c>
      <c r="T1891" s="77">
        <f>STOCK[[#This Row],[Costo Unitario (USD)]]+STOCK[[#This Row],[Costo Envío (USD)]]+STOCK[[#This Row],[Comisión 10%]]</f>
        <v>12.5</v>
      </c>
      <c r="U1891" s="53">
        <f>STOCK[[#This Row],[Costo total]]*1.5</f>
        <v>18.75</v>
      </c>
      <c r="V1891" s="53">
        <v>35</v>
      </c>
      <c r="W1891" s="77">
        <f>STOCK[[#This Row],[Precio Final]]-STOCK[[#This Row],[Costo total]]</f>
        <v>22.5</v>
      </c>
      <c r="X1891" s="77">
        <f>STOCK[[#This Row],[Ganancia Unitaria]]*STOCK[[#This Row],[Salidas]]</f>
        <v>0</v>
      </c>
      <c r="Y1891" s="77"/>
      <c r="Z1891" s="90"/>
      <c r="AA1891" s="54"/>
      <c r="AB1891" s="54"/>
      <c r="AC1891" s="77"/>
      <c r="AD1891" s="98"/>
    </row>
    <row r="1892" s="53" customFormat="1" ht="50" customHeight="1" spans="1:30">
      <c r="A1892" s="99" t="s">
        <v>3744</v>
      </c>
      <c r="B1892" s="85"/>
      <c r="C1892" s="53" t="s">
        <v>32</v>
      </c>
      <c r="D1892" s="86" t="s">
        <v>749</v>
      </c>
      <c r="E1892" s="100" t="s">
        <v>3745</v>
      </c>
      <c r="F1892" s="99" t="s">
        <v>49</v>
      </c>
      <c r="G1892" s="77"/>
      <c r="H1892" s="77">
        <f>STOCK[[#This Row],[Precio Final]]</f>
        <v>18</v>
      </c>
      <c r="I1892" s="82">
        <f>STOCK[[#This Row],[Precio Venta Ideal (x1.5)]]</f>
        <v>16.2</v>
      </c>
      <c r="J1892" s="99">
        <v>1</v>
      </c>
      <c r="K1892" s="80">
        <f>SUMIFS(VENTAS[Cantidad],VENTAS[Código del producto Vendido],STOCK[[#This Row],[Code]])</f>
        <v>0</v>
      </c>
      <c r="L1892" s="80">
        <f>STOCK[[#This Row],[Entradas]]-STOCK[[#This Row],[Salidas]]</f>
        <v>1</v>
      </c>
      <c r="M1892" s="77">
        <f>STOCK[[#This Row],[Precio Final]]*10%</f>
        <v>1.8</v>
      </c>
      <c r="N1892" s="54">
        <v>0</v>
      </c>
      <c r="O1892" s="77">
        <v>0</v>
      </c>
      <c r="P1892" s="77">
        <v>9</v>
      </c>
      <c r="Q1892" s="77">
        <v>0</v>
      </c>
      <c r="R1892" s="80">
        <v>0</v>
      </c>
      <c r="S1892" s="77">
        <v>0</v>
      </c>
      <c r="T1892" s="77">
        <f>STOCK[[#This Row],[Costo Unitario (USD)]]+STOCK[[#This Row],[Costo Envío (USD)]]+STOCK[[#This Row],[Comisión 10%]]</f>
        <v>10.8</v>
      </c>
      <c r="U1892" s="53">
        <f>STOCK[[#This Row],[Costo total]]*1.5</f>
        <v>16.2</v>
      </c>
      <c r="V1892" s="53">
        <v>18</v>
      </c>
      <c r="W1892" s="77">
        <f>STOCK[[#This Row],[Precio Final]]-STOCK[[#This Row],[Costo total]]</f>
        <v>7.2</v>
      </c>
      <c r="X1892" s="77">
        <f>STOCK[[#This Row],[Ganancia Unitaria]]*STOCK[[#This Row],[Salidas]]</f>
        <v>0</v>
      </c>
      <c r="Y1892" s="77"/>
      <c r="Z1892" s="90"/>
      <c r="AA1892" s="54"/>
      <c r="AB1892" s="54"/>
      <c r="AC1892" s="77"/>
      <c r="AD1892" s="98"/>
    </row>
    <row r="1893" s="53" customFormat="1" ht="50" customHeight="1" spans="1:30">
      <c r="A1893" s="99" t="s">
        <v>3746</v>
      </c>
      <c r="B1893" s="85"/>
      <c r="C1893" s="53" t="s">
        <v>32</v>
      </c>
      <c r="D1893" s="86" t="s">
        <v>749</v>
      </c>
      <c r="E1893" s="100" t="s">
        <v>3747</v>
      </c>
      <c r="F1893" s="99" t="s">
        <v>62</v>
      </c>
      <c r="G1893" s="77"/>
      <c r="H1893" s="77">
        <f>STOCK[[#This Row],[Precio Final]]</f>
        <v>30</v>
      </c>
      <c r="I1893" s="82">
        <f>STOCK[[#This Row],[Precio Venta Ideal (x1.5)]]</f>
        <v>18</v>
      </c>
      <c r="J1893" s="99">
        <v>1</v>
      </c>
      <c r="K1893" s="80">
        <f>SUMIFS(VENTAS[Cantidad],VENTAS[Código del producto Vendido],STOCK[[#This Row],[Code]])</f>
        <v>0</v>
      </c>
      <c r="L1893" s="80">
        <f>STOCK[[#This Row],[Entradas]]-STOCK[[#This Row],[Salidas]]</f>
        <v>1</v>
      </c>
      <c r="M1893" s="77">
        <f>STOCK[[#This Row],[Precio Final]]*10%</f>
        <v>3</v>
      </c>
      <c r="N1893" s="54">
        <v>0</v>
      </c>
      <c r="O1893" s="77">
        <v>0</v>
      </c>
      <c r="P1893" s="77">
        <v>9</v>
      </c>
      <c r="Q1893" s="77">
        <v>0</v>
      </c>
      <c r="R1893" s="80">
        <v>0</v>
      </c>
      <c r="S1893" s="77">
        <v>0</v>
      </c>
      <c r="T1893" s="77">
        <f>STOCK[[#This Row],[Costo Unitario (USD)]]+STOCK[[#This Row],[Costo Envío (USD)]]+STOCK[[#This Row],[Comisión 10%]]</f>
        <v>12</v>
      </c>
      <c r="U1893" s="53">
        <f>STOCK[[#This Row],[Costo total]]*1.5</f>
        <v>18</v>
      </c>
      <c r="V1893" s="53">
        <v>30</v>
      </c>
      <c r="W1893" s="77">
        <f>STOCK[[#This Row],[Precio Final]]-STOCK[[#This Row],[Costo total]]</f>
        <v>18</v>
      </c>
      <c r="X1893" s="77">
        <f>STOCK[[#This Row],[Ganancia Unitaria]]*STOCK[[#This Row],[Salidas]]</f>
        <v>0</v>
      </c>
      <c r="Y1893" s="77"/>
      <c r="Z1893" s="90"/>
      <c r="AA1893" s="54"/>
      <c r="AB1893" s="54"/>
      <c r="AC1893" s="77"/>
      <c r="AD1893" s="98"/>
    </row>
    <row r="1894" s="53" customFormat="1" ht="50" customHeight="1" spans="1:30">
      <c r="A1894" s="99" t="s">
        <v>3748</v>
      </c>
      <c r="B1894" s="85"/>
      <c r="C1894" s="53" t="s">
        <v>32</v>
      </c>
      <c r="D1894" s="86" t="s">
        <v>749</v>
      </c>
      <c r="E1894" s="100" t="s">
        <v>3749</v>
      </c>
      <c r="F1894" s="99" t="s">
        <v>62</v>
      </c>
      <c r="G1894" s="77"/>
      <c r="H1894" s="77">
        <f>STOCK[[#This Row],[Precio Final]]</f>
        <v>35</v>
      </c>
      <c r="I1894" s="82">
        <f>STOCK[[#This Row],[Precio Venta Ideal (x1.5)]]</f>
        <v>18.75</v>
      </c>
      <c r="J1894" s="99">
        <v>1</v>
      </c>
      <c r="K1894" s="80">
        <f>SUMIFS(VENTAS[Cantidad],VENTAS[Código del producto Vendido],STOCK[[#This Row],[Code]])</f>
        <v>0</v>
      </c>
      <c r="L1894" s="80">
        <f>STOCK[[#This Row],[Entradas]]-STOCK[[#This Row],[Salidas]]</f>
        <v>1</v>
      </c>
      <c r="M1894" s="77">
        <f>STOCK[[#This Row],[Precio Final]]*10%</f>
        <v>3.5</v>
      </c>
      <c r="N1894" s="54">
        <v>0</v>
      </c>
      <c r="O1894" s="77">
        <v>0</v>
      </c>
      <c r="P1894" s="77">
        <v>9</v>
      </c>
      <c r="Q1894" s="77">
        <v>0</v>
      </c>
      <c r="R1894" s="80">
        <v>0</v>
      </c>
      <c r="S1894" s="77">
        <v>0</v>
      </c>
      <c r="T1894" s="77">
        <f>STOCK[[#This Row],[Costo Unitario (USD)]]+STOCK[[#This Row],[Costo Envío (USD)]]+STOCK[[#This Row],[Comisión 10%]]</f>
        <v>12.5</v>
      </c>
      <c r="U1894" s="53">
        <f>STOCK[[#This Row],[Costo total]]*1.5</f>
        <v>18.75</v>
      </c>
      <c r="V1894" s="53">
        <v>35</v>
      </c>
      <c r="W1894" s="77">
        <f>STOCK[[#This Row],[Precio Final]]-STOCK[[#This Row],[Costo total]]</f>
        <v>22.5</v>
      </c>
      <c r="X1894" s="77">
        <f>STOCK[[#This Row],[Ganancia Unitaria]]*STOCK[[#This Row],[Salidas]]</f>
        <v>0</v>
      </c>
      <c r="Y1894" s="77"/>
      <c r="Z1894" s="90"/>
      <c r="AA1894" s="54"/>
      <c r="AB1894" s="54"/>
      <c r="AC1894" s="77"/>
      <c r="AD1894" s="98"/>
    </row>
    <row r="1895" s="53" customFormat="1" ht="50" customHeight="1" spans="1:30">
      <c r="A1895" s="99" t="s">
        <v>3750</v>
      </c>
      <c r="B1895" s="85"/>
      <c r="C1895" s="53" t="s">
        <v>32</v>
      </c>
      <c r="D1895" s="86" t="s">
        <v>1388</v>
      </c>
      <c r="E1895" s="100" t="s">
        <v>3751</v>
      </c>
      <c r="F1895" s="99" t="s">
        <v>3752</v>
      </c>
      <c r="G1895" s="77"/>
      <c r="H1895" s="77">
        <f>STOCK[[#This Row],[Precio Final]]</f>
        <v>30</v>
      </c>
      <c r="I1895" s="82">
        <f>STOCK[[#This Row],[Precio Venta Ideal (x1.5)]]</f>
        <v>18</v>
      </c>
      <c r="J1895" s="99">
        <v>1</v>
      </c>
      <c r="K1895" s="80">
        <f>SUMIFS(VENTAS[Cantidad],VENTAS[Código del producto Vendido],STOCK[[#This Row],[Code]])</f>
        <v>0</v>
      </c>
      <c r="L1895" s="80">
        <f>STOCK[[#This Row],[Entradas]]-STOCK[[#This Row],[Salidas]]</f>
        <v>1</v>
      </c>
      <c r="M1895" s="77">
        <f>STOCK[[#This Row],[Precio Final]]*10%</f>
        <v>3</v>
      </c>
      <c r="N1895" s="54">
        <v>0</v>
      </c>
      <c r="O1895" s="77">
        <v>0</v>
      </c>
      <c r="P1895" s="77">
        <v>9</v>
      </c>
      <c r="Q1895" s="77">
        <v>0</v>
      </c>
      <c r="R1895" s="80">
        <v>0</v>
      </c>
      <c r="S1895" s="77">
        <v>0</v>
      </c>
      <c r="T1895" s="77">
        <f>STOCK[[#This Row],[Costo Unitario (USD)]]+STOCK[[#This Row],[Costo Envío (USD)]]+STOCK[[#This Row],[Comisión 10%]]</f>
        <v>12</v>
      </c>
      <c r="U1895" s="53">
        <f>STOCK[[#This Row],[Costo total]]*1.5</f>
        <v>18</v>
      </c>
      <c r="V1895" s="53">
        <v>30</v>
      </c>
      <c r="W1895" s="77">
        <f>STOCK[[#This Row],[Precio Final]]-STOCK[[#This Row],[Costo total]]</f>
        <v>18</v>
      </c>
      <c r="X1895" s="77">
        <f>STOCK[[#This Row],[Ganancia Unitaria]]*STOCK[[#This Row],[Salidas]]</f>
        <v>0</v>
      </c>
      <c r="Y1895" s="77"/>
      <c r="Z1895" s="90"/>
      <c r="AA1895" s="54"/>
      <c r="AB1895" s="54"/>
      <c r="AC1895" s="77"/>
      <c r="AD1895" s="98"/>
    </row>
    <row r="1896" s="53" customFormat="1" ht="50" customHeight="1" spans="1:30">
      <c r="A1896" s="99" t="s">
        <v>3753</v>
      </c>
      <c r="B1896" s="85"/>
      <c r="C1896" s="53" t="s">
        <v>32</v>
      </c>
      <c r="D1896" s="86" t="s">
        <v>749</v>
      </c>
      <c r="E1896" s="100" t="s">
        <v>3754</v>
      </c>
      <c r="F1896" s="99" t="s">
        <v>46</v>
      </c>
      <c r="G1896" s="77"/>
      <c r="H1896" s="77">
        <f>STOCK[[#This Row],[Precio Final]]</f>
        <v>18</v>
      </c>
      <c r="I1896" s="82">
        <f>STOCK[[#This Row],[Precio Venta Ideal (x1.5)]]</f>
        <v>16.2</v>
      </c>
      <c r="J1896" s="99">
        <v>1</v>
      </c>
      <c r="K1896" s="80">
        <f>SUMIFS(VENTAS[Cantidad],VENTAS[Código del producto Vendido],STOCK[[#This Row],[Code]])</f>
        <v>0</v>
      </c>
      <c r="L1896" s="80">
        <f>STOCK[[#This Row],[Entradas]]-STOCK[[#This Row],[Salidas]]</f>
        <v>1</v>
      </c>
      <c r="M1896" s="77">
        <f>STOCK[[#This Row],[Precio Final]]*10%</f>
        <v>1.8</v>
      </c>
      <c r="N1896" s="54">
        <v>0</v>
      </c>
      <c r="O1896" s="77">
        <v>0</v>
      </c>
      <c r="P1896" s="77">
        <v>9</v>
      </c>
      <c r="Q1896" s="77">
        <v>0</v>
      </c>
      <c r="R1896" s="80">
        <v>0</v>
      </c>
      <c r="S1896" s="77">
        <v>0</v>
      </c>
      <c r="T1896" s="77">
        <f>STOCK[[#This Row],[Costo Unitario (USD)]]+STOCK[[#This Row],[Costo Envío (USD)]]+STOCK[[#This Row],[Comisión 10%]]</f>
        <v>10.8</v>
      </c>
      <c r="U1896" s="53">
        <f>STOCK[[#This Row],[Costo total]]*1.5</f>
        <v>16.2</v>
      </c>
      <c r="V1896" s="53">
        <v>18</v>
      </c>
      <c r="W1896" s="77">
        <f>STOCK[[#This Row],[Precio Final]]-STOCK[[#This Row],[Costo total]]</f>
        <v>7.2</v>
      </c>
      <c r="X1896" s="77">
        <f>STOCK[[#This Row],[Ganancia Unitaria]]*STOCK[[#This Row],[Salidas]]</f>
        <v>0</v>
      </c>
      <c r="Y1896" s="77"/>
      <c r="Z1896" s="90"/>
      <c r="AA1896" s="54"/>
      <c r="AB1896" s="54"/>
      <c r="AC1896" s="77"/>
      <c r="AD1896" s="98"/>
    </row>
    <row r="1897" s="53" customFormat="1" ht="50" customHeight="1" spans="1:30">
      <c r="A1897" s="99" t="s">
        <v>3755</v>
      </c>
      <c r="B1897" s="85"/>
      <c r="C1897" s="53" t="s">
        <v>32</v>
      </c>
      <c r="D1897" s="86" t="s">
        <v>749</v>
      </c>
      <c r="E1897" s="100" t="s">
        <v>3756</v>
      </c>
      <c r="F1897" s="99" t="s">
        <v>49</v>
      </c>
      <c r="G1897" s="77"/>
      <c r="H1897" s="77">
        <f>STOCK[[#This Row],[Precio Final]]</f>
        <v>18</v>
      </c>
      <c r="I1897" s="82">
        <f>STOCK[[#This Row],[Precio Venta Ideal (x1.5)]]</f>
        <v>16.2</v>
      </c>
      <c r="J1897" s="99">
        <v>1</v>
      </c>
      <c r="K1897" s="80">
        <f>SUMIFS(VENTAS[Cantidad],VENTAS[Código del producto Vendido],STOCK[[#This Row],[Code]])</f>
        <v>0</v>
      </c>
      <c r="L1897" s="80">
        <f>STOCK[[#This Row],[Entradas]]-STOCK[[#This Row],[Salidas]]</f>
        <v>1</v>
      </c>
      <c r="M1897" s="77">
        <f>STOCK[[#This Row],[Precio Final]]*10%</f>
        <v>1.8</v>
      </c>
      <c r="N1897" s="54">
        <v>0</v>
      </c>
      <c r="O1897" s="77">
        <v>0</v>
      </c>
      <c r="P1897" s="77">
        <v>9</v>
      </c>
      <c r="Q1897" s="77">
        <v>0</v>
      </c>
      <c r="R1897" s="80">
        <v>0</v>
      </c>
      <c r="S1897" s="77">
        <v>0</v>
      </c>
      <c r="T1897" s="77">
        <f>STOCK[[#This Row],[Costo Unitario (USD)]]+STOCK[[#This Row],[Costo Envío (USD)]]+STOCK[[#This Row],[Comisión 10%]]</f>
        <v>10.8</v>
      </c>
      <c r="U1897" s="53">
        <f>STOCK[[#This Row],[Costo total]]*1.5</f>
        <v>16.2</v>
      </c>
      <c r="V1897" s="53">
        <v>18</v>
      </c>
      <c r="W1897" s="77">
        <f>STOCK[[#This Row],[Precio Final]]-STOCK[[#This Row],[Costo total]]</f>
        <v>7.2</v>
      </c>
      <c r="X1897" s="77">
        <f>STOCK[[#This Row],[Ganancia Unitaria]]*STOCK[[#This Row],[Salidas]]</f>
        <v>0</v>
      </c>
      <c r="Y1897" s="77"/>
      <c r="Z1897" s="90"/>
      <c r="AA1897" s="54"/>
      <c r="AB1897" s="54"/>
      <c r="AC1897" s="77"/>
      <c r="AD1897" s="98"/>
    </row>
    <row r="1898" s="53" customFormat="1" ht="50" customHeight="1" spans="1:30">
      <c r="A1898" s="99" t="s">
        <v>3757</v>
      </c>
      <c r="B1898" s="85"/>
      <c r="C1898" s="53" t="s">
        <v>32</v>
      </c>
      <c r="D1898" s="86" t="s">
        <v>780</v>
      </c>
      <c r="E1898" s="100" t="s">
        <v>3758</v>
      </c>
      <c r="F1898" s="99" t="s">
        <v>42</v>
      </c>
      <c r="G1898" s="77"/>
      <c r="H1898" s="77">
        <f>STOCK[[#This Row],[Precio Final]]</f>
        <v>15</v>
      </c>
      <c r="I1898" s="82">
        <f>STOCK[[#This Row],[Precio Venta Ideal (x1.5)]]</f>
        <v>15.75</v>
      </c>
      <c r="J1898" s="99">
        <v>1</v>
      </c>
      <c r="K1898" s="80">
        <f>SUMIFS(VENTAS[Cantidad],VENTAS[Código del producto Vendido],STOCK[[#This Row],[Code]])</f>
        <v>0</v>
      </c>
      <c r="L1898" s="80">
        <f>STOCK[[#This Row],[Entradas]]-STOCK[[#This Row],[Salidas]]</f>
        <v>1</v>
      </c>
      <c r="M1898" s="77">
        <f>STOCK[[#This Row],[Precio Final]]*10%</f>
        <v>1.5</v>
      </c>
      <c r="N1898" s="54">
        <v>0</v>
      </c>
      <c r="O1898" s="77">
        <v>0</v>
      </c>
      <c r="P1898" s="77">
        <v>9</v>
      </c>
      <c r="Q1898" s="77">
        <v>0</v>
      </c>
      <c r="R1898" s="80">
        <v>0</v>
      </c>
      <c r="S1898" s="77">
        <v>0</v>
      </c>
      <c r="T1898" s="77">
        <f>STOCK[[#This Row],[Costo Unitario (USD)]]+STOCK[[#This Row],[Costo Envío (USD)]]+STOCK[[#This Row],[Comisión 10%]]</f>
        <v>10.5</v>
      </c>
      <c r="U1898" s="53">
        <f>STOCK[[#This Row],[Costo total]]*1.5</f>
        <v>15.75</v>
      </c>
      <c r="V1898" s="53">
        <v>15</v>
      </c>
      <c r="W1898" s="77">
        <f>STOCK[[#This Row],[Precio Final]]-STOCK[[#This Row],[Costo total]]</f>
        <v>4.5</v>
      </c>
      <c r="X1898" s="77">
        <f>STOCK[[#This Row],[Ganancia Unitaria]]*STOCK[[#This Row],[Salidas]]</f>
        <v>0</v>
      </c>
      <c r="Y1898" s="77"/>
      <c r="Z1898" s="90"/>
      <c r="AA1898" s="54"/>
      <c r="AB1898" s="54"/>
      <c r="AC1898" s="77"/>
      <c r="AD1898" s="98"/>
    </row>
    <row r="1899" s="53" customFormat="1" ht="50" customHeight="1" spans="1:30">
      <c r="A1899" s="99" t="s">
        <v>3759</v>
      </c>
      <c r="B1899" s="85"/>
      <c r="C1899" s="53" t="s">
        <v>32</v>
      </c>
      <c r="D1899" s="86" t="s">
        <v>749</v>
      </c>
      <c r="E1899" s="100" t="s">
        <v>3760</v>
      </c>
      <c r="F1899" s="99" t="s">
        <v>3684</v>
      </c>
      <c r="G1899" s="77"/>
      <c r="H1899" s="77">
        <f>STOCK[[#This Row],[Precio Final]]</f>
        <v>35</v>
      </c>
      <c r="I1899" s="82">
        <f>STOCK[[#This Row],[Precio Venta Ideal (x1.5)]]</f>
        <v>18.75</v>
      </c>
      <c r="J1899" s="99">
        <v>1</v>
      </c>
      <c r="K1899" s="80">
        <f>SUMIFS(VENTAS[Cantidad],VENTAS[Código del producto Vendido],STOCK[[#This Row],[Code]])</f>
        <v>0</v>
      </c>
      <c r="L1899" s="80">
        <f>STOCK[[#This Row],[Entradas]]-STOCK[[#This Row],[Salidas]]</f>
        <v>1</v>
      </c>
      <c r="M1899" s="77">
        <f>STOCK[[#This Row],[Precio Final]]*10%</f>
        <v>3.5</v>
      </c>
      <c r="N1899" s="54">
        <v>0</v>
      </c>
      <c r="O1899" s="77">
        <v>0</v>
      </c>
      <c r="P1899" s="77">
        <v>9</v>
      </c>
      <c r="Q1899" s="77">
        <v>0</v>
      </c>
      <c r="R1899" s="80">
        <v>0</v>
      </c>
      <c r="S1899" s="77">
        <v>0</v>
      </c>
      <c r="T1899" s="77">
        <f>STOCK[[#This Row],[Costo Unitario (USD)]]+STOCK[[#This Row],[Costo Envío (USD)]]+STOCK[[#This Row],[Comisión 10%]]</f>
        <v>12.5</v>
      </c>
      <c r="U1899" s="53">
        <f>STOCK[[#This Row],[Costo total]]*1.5</f>
        <v>18.75</v>
      </c>
      <c r="V1899" s="53">
        <v>35</v>
      </c>
      <c r="W1899" s="77">
        <f>STOCK[[#This Row],[Precio Final]]-STOCK[[#This Row],[Costo total]]</f>
        <v>22.5</v>
      </c>
      <c r="X1899" s="77">
        <f>STOCK[[#This Row],[Ganancia Unitaria]]*STOCK[[#This Row],[Salidas]]</f>
        <v>0</v>
      </c>
      <c r="Y1899" s="77"/>
      <c r="Z1899" s="90"/>
      <c r="AA1899" s="54"/>
      <c r="AB1899" s="54"/>
      <c r="AC1899" s="77"/>
      <c r="AD1899" s="98"/>
    </row>
    <row r="1900" s="53" customFormat="1" ht="50" customHeight="1" spans="1:30">
      <c r="A1900" s="99" t="s">
        <v>3761</v>
      </c>
      <c r="B1900" s="85"/>
      <c r="C1900" s="53" t="s">
        <v>32</v>
      </c>
      <c r="D1900" s="86" t="s">
        <v>749</v>
      </c>
      <c r="E1900" s="100" t="s">
        <v>3762</v>
      </c>
      <c r="F1900" s="99" t="s">
        <v>3763</v>
      </c>
      <c r="G1900" s="77"/>
      <c r="H1900" s="77">
        <f>STOCK[[#This Row],[Precio Final]]</f>
        <v>28</v>
      </c>
      <c r="I1900" s="82">
        <f>STOCK[[#This Row],[Precio Venta Ideal (x1.5)]]</f>
        <v>17.7</v>
      </c>
      <c r="J1900" s="99">
        <v>1</v>
      </c>
      <c r="K1900" s="80">
        <f>SUMIFS(VENTAS[Cantidad],VENTAS[Código del producto Vendido],STOCK[[#This Row],[Code]])</f>
        <v>0</v>
      </c>
      <c r="L1900" s="80">
        <f>STOCK[[#This Row],[Entradas]]-STOCK[[#This Row],[Salidas]]</f>
        <v>1</v>
      </c>
      <c r="M1900" s="77">
        <f>STOCK[[#This Row],[Precio Final]]*10%</f>
        <v>2.8</v>
      </c>
      <c r="N1900" s="54">
        <v>0</v>
      </c>
      <c r="O1900" s="77">
        <v>0</v>
      </c>
      <c r="P1900" s="77">
        <v>9</v>
      </c>
      <c r="Q1900" s="77">
        <v>0</v>
      </c>
      <c r="R1900" s="80">
        <v>0</v>
      </c>
      <c r="S1900" s="77">
        <v>0</v>
      </c>
      <c r="T1900" s="77">
        <f>STOCK[[#This Row],[Costo Unitario (USD)]]+STOCK[[#This Row],[Costo Envío (USD)]]+STOCK[[#This Row],[Comisión 10%]]</f>
        <v>11.8</v>
      </c>
      <c r="U1900" s="53">
        <f>STOCK[[#This Row],[Costo total]]*1.5</f>
        <v>17.7</v>
      </c>
      <c r="V1900" s="53">
        <v>28</v>
      </c>
      <c r="W1900" s="77">
        <f>STOCK[[#This Row],[Precio Final]]-STOCK[[#This Row],[Costo total]]</f>
        <v>16.2</v>
      </c>
      <c r="X1900" s="77">
        <f>STOCK[[#This Row],[Ganancia Unitaria]]*STOCK[[#This Row],[Salidas]]</f>
        <v>0</v>
      </c>
      <c r="Y1900" s="77"/>
      <c r="Z1900" s="90"/>
      <c r="AA1900" s="54"/>
      <c r="AB1900" s="54"/>
      <c r="AC1900" s="77"/>
      <c r="AD1900" s="98"/>
    </row>
    <row r="1901" s="53" customFormat="1" ht="50" customHeight="1" spans="1:30">
      <c r="A1901" s="99" t="s">
        <v>3764</v>
      </c>
      <c r="B1901" s="85"/>
      <c r="C1901" s="53" t="s">
        <v>32</v>
      </c>
      <c r="D1901" s="86" t="s">
        <v>780</v>
      </c>
      <c r="E1901" s="100" t="s">
        <v>3765</v>
      </c>
      <c r="F1901" s="99" t="s">
        <v>62</v>
      </c>
      <c r="G1901" s="77"/>
      <c r="H1901" s="77">
        <f>STOCK[[#This Row],[Precio Final]]</f>
        <v>20</v>
      </c>
      <c r="I1901" s="82">
        <f>STOCK[[#This Row],[Precio Venta Ideal (x1.5)]]</f>
        <v>16.5</v>
      </c>
      <c r="J1901" s="99">
        <v>1</v>
      </c>
      <c r="K1901" s="80">
        <f>SUMIFS(VENTAS[Cantidad],VENTAS[Código del producto Vendido],STOCK[[#This Row],[Code]])</f>
        <v>0</v>
      </c>
      <c r="L1901" s="80">
        <f>STOCK[[#This Row],[Entradas]]-STOCK[[#This Row],[Salidas]]</f>
        <v>1</v>
      </c>
      <c r="M1901" s="77">
        <f>STOCK[[#This Row],[Precio Final]]*10%</f>
        <v>2</v>
      </c>
      <c r="N1901" s="54">
        <v>0</v>
      </c>
      <c r="O1901" s="77">
        <v>0</v>
      </c>
      <c r="P1901" s="77">
        <v>9</v>
      </c>
      <c r="Q1901" s="77">
        <v>0</v>
      </c>
      <c r="R1901" s="80">
        <v>0</v>
      </c>
      <c r="S1901" s="77">
        <v>0</v>
      </c>
      <c r="T1901" s="77">
        <f>STOCK[[#This Row],[Costo Unitario (USD)]]+STOCK[[#This Row],[Costo Envío (USD)]]+STOCK[[#This Row],[Comisión 10%]]</f>
        <v>11</v>
      </c>
      <c r="U1901" s="53">
        <f>STOCK[[#This Row],[Costo total]]*1.5</f>
        <v>16.5</v>
      </c>
      <c r="V1901" s="53">
        <v>20</v>
      </c>
      <c r="W1901" s="77">
        <f>STOCK[[#This Row],[Precio Final]]-STOCK[[#This Row],[Costo total]]</f>
        <v>9</v>
      </c>
      <c r="X1901" s="77">
        <f>STOCK[[#This Row],[Ganancia Unitaria]]*STOCK[[#This Row],[Salidas]]</f>
        <v>0</v>
      </c>
      <c r="Y1901" s="77"/>
      <c r="Z1901" s="90"/>
      <c r="AA1901" s="54"/>
      <c r="AB1901" s="54"/>
      <c r="AC1901" s="77"/>
      <c r="AD1901" s="98"/>
    </row>
    <row r="1902" s="53" customFormat="1" ht="50" customHeight="1" spans="1:30">
      <c r="A1902" s="99" t="s">
        <v>3766</v>
      </c>
      <c r="B1902" s="85"/>
      <c r="C1902" s="53" t="s">
        <v>32</v>
      </c>
      <c r="D1902" s="86" t="s">
        <v>749</v>
      </c>
      <c r="E1902" s="100" t="s">
        <v>3767</v>
      </c>
      <c r="F1902" s="99" t="s">
        <v>49</v>
      </c>
      <c r="G1902" s="77"/>
      <c r="H1902" s="77">
        <f>STOCK[[#This Row],[Precio Final]]</f>
        <v>18</v>
      </c>
      <c r="I1902" s="82">
        <f>STOCK[[#This Row],[Precio Venta Ideal (x1.5)]]</f>
        <v>16.2</v>
      </c>
      <c r="J1902" s="99">
        <v>1</v>
      </c>
      <c r="K1902" s="80">
        <f>SUMIFS(VENTAS[Cantidad],VENTAS[Código del producto Vendido],STOCK[[#This Row],[Code]])</f>
        <v>0</v>
      </c>
      <c r="L1902" s="80">
        <f>STOCK[[#This Row],[Entradas]]-STOCK[[#This Row],[Salidas]]</f>
        <v>1</v>
      </c>
      <c r="M1902" s="77">
        <f>STOCK[[#This Row],[Precio Final]]*10%</f>
        <v>1.8</v>
      </c>
      <c r="N1902" s="54">
        <v>0</v>
      </c>
      <c r="O1902" s="77">
        <v>0</v>
      </c>
      <c r="P1902" s="77">
        <v>9</v>
      </c>
      <c r="Q1902" s="77">
        <v>0</v>
      </c>
      <c r="R1902" s="80">
        <v>0</v>
      </c>
      <c r="S1902" s="77">
        <v>0</v>
      </c>
      <c r="T1902" s="77">
        <f>STOCK[[#This Row],[Costo Unitario (USD)]]+STOCK[[#This Row],[Costo Envío (USD)]]+STOCK[[#This Row],[Comisión 10%]]</f>
        <v>10.8</v>
      </c>
      <c r="U1902" s="53">
        <f>STOCK[[#This Row],[Costo total]]*1.5</f>
        <v>16.2</v>
      </c>
      <c r="V1902" s="53">
        <v>18</v>
      </c>
      <c r="W1902" s="77">
        <f>STOCK[[#This Row],[Precio Final]]-STOCK[[#This Row],[Costo total]]</f>
        <v>7.2</v>
      </c>
      <c r="X1902" s="77">
        <f>STOCK[[#This Row],[Ganancia Unitaria]]*STOCK[[#This Row],[Salidas]]</f>
        <v>0</v>
      </c>
      <c r="Y1902" s="77"/>
      <c r="Z1902" s="90"/>
      <c r="AA1902" s="54"/>
      <c r="AB1902" s="54"/>
      <c r="AC1902" s="77"/>
      <c r="AD1902" s="98"/>
    </row>
    <row r="1903" s="53" customFormat="1" ht="50" customHeight="1" spans="1:30">
      <c r="A1903" s="99" t="s">
        <v>3768</v>
      </c>
      <c r="B1903" s="85"/>
      <c r="C1903" s="53" t="s">
        <v>32</v>
      </c>
      <c r="D1903" s="86" t="s">
        <v>749</v>
      </c>
      <c r="E1903" s="100" t="s">
        <v>3769</v>
      </c>
      <c r="F1903" s="99" t="s">
        <v>62</v>
      </c>
      <c r="G1903" s="77"/>
      <c r="H1903" s="77">
        <f>STOCK[[#This Row],[Precio Final]]</f>
        <v>15</v>
      </c>
      <c r="I1903" s="82">
        <f>STOCK[[#This Row],[Precio Venta Ideal (x1.5)]]</f>
        <v>15.75</v>
      </c>
      <c r="J1903" s="99">
        <v>1</v>
      </c>
      <c r="K1903" s="80">
        <f>SUMIFS(VENTAS[Cantidad],VENTAS[Código del producto Vendido],STOCK[[#This Row],[Code]])</f>
        <v>0</v>
      </c>
      <c r="L1903" s="80">
        <f>STOCK[[#This Row],[Entradas]]-STOCK[[#This Row],[Salidas]]</f>
        <v>1</v>
      </c>
      <c r="M1903" s="77">
        <f>STOCK[[#This Row],[Precio Final]]*10%</f>
        <v>1.5</v>
      </c>
      <c r="N1903" s="54">
        <v>0</v>
      </c>
      <c r="O1903" s="77">
        <v>0</v>
      </c>
      <c r="P1903" s="77">
        <v>9</v>
      </c>
      <c r="Q1903" s="77">
        <v>0</v>
      </c>
      <c r="R1903" s="80">
        <v>0</v>
      </c>
      <c r="S1903" s="77">
        <v>0</v>
      </c>
      <c r="T1903" s="77">
        <f>STOCK[[#This Row],[Costo Unitario (USD)]]+STOCK[[#This Row],[Costo Envío (USD)]]+STOCK[[#This Row],[Comisión 10%]]</f>
        <v>10.5</v>
      </c>
      <c r="U1903" s="53">
        <f>STOCK[[#This Row],[Costo total]]*1.5</f>
        <v>15.75</v>
      </c>
      <c r="V1903" s="53">
        <v>15</v>
      </c>
      <c r="W1903" s="77">
        <f>STOCK[[#This Row],[Precio Final]]-STOCK[[#This Row],[Costo total]]</f>
        <v>4.5</v>
      </c>
      <c r="X1903" s="77">
        <f>STOCK[[#This Row],[Ganancia Unitaria]]*STOCK[[#This Row],[Salidas]]</f>
        <v>0</v>
      </c>
      <c r="Y1903" s="77"/>
      <c r="Z1903" s="90"/>
      <c r="AA1903" s="54"/>
      <c r="AB1903" s="54"/>
      <c r="AC1903" s="77"/>
      <c r="AD1903" s="98"/>
    </row>
    <row r="1904" s="53" customFormat="1" ht="50" customHeight="1" spans="1:30">
      <c r="A1904" s="99" t="s">
        <v>3770</v>
      </c>
      <c r="B1904" s="85"/>
      <c r="C1904" s="53" t="s">
        <v>32</v>
      </c>
      <c r="D1904" s="86" t="s">
        <v>749</v>
      </c>
      <c r="E1904" s="100" t="s">
        <v>3771</v>
      </c>
      <c r="F1904" s="99" t="s">
        <v>62</v>
      </c>
      <c r="G1904" s="77"/>
      <c r="H1904" s="77">
        <f>STOCK[[#This Row],[Precio Final]]</f>
        <v>28</v>
      </c>
      <c r="I1904" s="82">
        <f>STOCK[[#This Row],[Precio Venta Ideal (x1.5)]]</f>
        <v>17.7</v>
      </c>
      <c r="J1904" s="99">
        <v>1</v>
      </c>
      <c r="K1904" s="80">
        <f>SUMIFS(VENTAS[Cantidad],VENTAS[Código del producto Vendido],STOCK[[#This Row],[Code]])</f>
        <v>0</v>
      </c>
      <c r="L1904" s="80">
        <f>STOCK[[#This Row],[Entradas]]-STOCK[[#This Row],[Salidas]]</f>
        <v>1</v>
      </c>
      <c r="M1904" s="77">
        <f>STOCK[[#This Row],[Precio Final]]*10%</f>
        <v>2.8</v>
      </c>
      <c r="N1904" s="54">
        <v>0</v>
      </c>
      <c r="O1904" s="77">
        <v>0</v>
      </c>
      <c r="P1904" s="77">
        <v>9</v>
      </c>
      <c r="Q1904" s="77">
        <v>0</v>
      </c>
      <c r="R1904" s="80">
        <v>0</v>
      </c>
      <c r="S1904" s="77">
        <v>0</v>
      </c>
      <c r="T1904" s="77">
        <f>STOCK[[#This Row],[Costo Unitario (USD)]]+STOCK[[#This Row],[Costo Envío (USD)]]+STOCK[[#This Row],[Comisión 10%]]</f>
        <v>11.8</v>
      </c>
      <c r="U1904" s="53">
        <f>STOCK[[#This Row],[Costo total]]*1.5</f>
        <v>17.7</v>
      </c>
      <c r="V1904" s="53">
        <v>28</v>
      </c>
      <c r="W1904" s="77">
        <f>STOCK[[#This Row],[Precio Final]]-STOCK[[#This Row],[Costo total]]</f>
        <v>16.2</v>
      </c>
      <c r="X1904" s="77">
        <f>STOCK[[#This Row],[Ganancia Unitaria]]*STOCK[[#This Row],[Salidas]]</f>
        <v>0</v>
      </c>
      <c r="Y1904" s="77"/>
      <c r="Z1904" s="90"/>
      <c r="AA1904" s="54"/>
      <c r="AB1904" s="54"/>
      <c r="AC1904" s="77"/>
      <c r="AD1904" s="98"/>
    </row>
    <row r="1905" s="53" customFormat="1" ht="50" customHeight="1" spans="1:30">
      <c r="A1905" s="99" t="s">
        <v>3772</v>
      </c>
      <c r="B1905" s="85"/>
      <c r="C1905" s="53" t="s">
        <v>32</v>
      </c>
      <c r="D1905" s="86" t="s">
        <v>749</v>
      </c>
      <c r="E1905" s="100" t="s">
        <v>3730</v>
      </c>
      <c r="F1905" s="99" t="s">
        <v>716</v>
      </c>
      <c r="G1905" s="77"/>
      <c r="H1905" s="77">
        <f>STOCK[[#This Row],[Precio Final]]</f>
        <v>35</v>
      </c>
      <c r="I1905" s="82">
        <f>STOCK[[#This Row],[Precio Venta Ideal (x1.5)]]</f>
        <v>18.75</v>
      </c>
      <c r="J1905" s="99">
        <v>1</v>
      </c>
      <c r="K1905" s="80">
        <f>SUMIFS(VENTAS[Cantidad],VENTAS[Código del producto Vendido],STOCK[[#This Row],[Code]])</f>
        <v>0</v>
      </c>
      <c r="L1905" s="80">
        <f>STOCK[[#This Row],[Entradas]]-STOCK[[#This Row],[Salidas]]</f>
        <v>1</v>
      </c>
      <c r="M1905" s="77">
        <f>STOCK[[#This Row],[Precio Final]]*10%</f>
        <v>3.5</v>
      </c>
      <c r="N1905" s="54">
        <v>0</v>
      </c>
      <c r="O1905" s="77">
        <v>0</v>
      </c>
      <c r="P1905" s="77">
        <v>9</v>
      </c>
      <c r="Q1905" s="77">
        <v>0</v>
      </c>
      <c r="R1905" s="80">
        <v>0</v>
      </c>
      <c r="S1905" s="77">
        <v>0</v>
      </c>
      <c r="T1905" s="77">
        <f>STOCK[[#This Row],[Costo Unitario (USD)]]+STOCK[[#This Row],[Costo Envío (USD)]]+STOCK[[#This Row],[Comisión 10%]]</f>
        <v>12.5</v>
      </c>
      <c r="U1905" s="53">
        <f>STOCK[[#This Row],[Costo total]]*1.5</f>
        <v>18.75</v>
      </c>
      <c r="V1905" s="53">
        <v>35</v>
      </c>
      <c r="W1905" s="77">
        <f>STOCK[[#This Row],[Precio Final]]-STOCK[[#This Row],[Costo total]]</f>
        <v>22.5</v>
      </c>
      <c r="X1905" s="77">
        <f>STOCK[[#This Row],[Ganancia Unitaria]]*STOCK[[#This Row],[Salidas]]</f>
        <v>0</v>
      </c>
      <c r="Y1905" s="77"/>
      <c r="Z1905" s="90"/>
      <c r="AA1905" s="54"/>
      <c r="AB1905" s="54"/>
      <c r="AC1905" s="77"/>
      <c r="AD1905" s="98"/>
    </row>
    <row r="1906" s="53" customFormat="1" ht="50" customHeight="1" spans="1:30">
      <c r="A1906" s="99" t="s">
        <v>3773</v>
      </c>
      <c r="B1906" s="85"/>
      <c r="C1906" s="53" t="s">
        <v>32</v>
      </c>
      <c r="D1906" s="86" t="s">
        <v>749</v>
      </c>
      <c r="E1906" s="100" t="s">
        <v>3774</v>
      </c>
      <c r="F1906" s="99" t="s">
        <v>49</v>
      </c>
      <c r="G1906" s="77"/>
      <c r="H1906" s="77">
        <f>STOCK[[#This Row],[Precio Final]]</f>
        <v>18</v>
      </c>
      <c r="I1906" s="82">
        <f>STOCK[[#This Row],[Precio Venta Ideal (x1.5)]]</f>
        <v>16.2</v>
      </c>
      <c r="J1906" s="99">
        <v>2</v>
      </c>
      <c r="K1906" s="80">
        <f>SUMIFS(VENTAS[Cantidad],VENTAS[Código del producto Vendido],STOCK[[#This Row],[Code]])</f>
        <v>0</v>
      </c>
      <c r="L1906" s="80">
        <f>STOCK[[#This Row],[Entradas]]-STOCK[[#This Row],[Salidas]]</f>
        <v>2</v>
      </c>
      <c r="M1906" s="77">
        <f>STOCK[[#This Row],[Precio Final]]*10%</f>
        <v>1.8</v>
      </c>
      <c r="N1906" s="54">
        <v>0</v>
      </c>
      <c r="O1906" s="77">
        <v>0</v>
      </c>
      <c r="P1906" s="77">
        <v>9</v>
      </c>
      <c r="Q1906" s="77">
        <v>0</v>
      </c>
      <c r="R1906" s="80">
        <v>0</v>
      </c>
      <c r="S1906" s="77">
        <v>0</v>
      </c>
      <c r="T1906" s="77">
        <f>STOCK[[#This Row],[Costo Unitario (USD)]]+STOCK[[#This Row],[Costo Envío (USD)]]+STOCK[[#This Row],[Comisión 10%]]</f>
        <v>10.8</v>
      </c>
      <c r="U1906" s="53">
        <f>STOCK[[#This Row],[Costo total]]*1.5</f>
        <v>16.2</v>
      </c>
      <c r="V1906" s="53">
        <v>18</v>
      </c>
      <c r="W1906" s="77">
        <f>STOCK[[#This Row],[Precio Final]]-STOCK[[#This Row],[Costo total]]</f>
        <v>7.2</v>
      </c>
      <c r="X1906" s="77">
        <f>STOCK[[#This Row],[Ganancia Unitaria]]*STOCK[[#This Row],[Salidas]]</f>
        <v>0</v>
      </c>
      <c r="Y1906" s="77"/>
      <c r="Z1906" s="90"/>
      <c r="AA1906" s="54"/>
      <c r="AB1906" s="54"/>
      <c r="AC1906" s="77"/>
      <c r="AD1906" s="98"/>
    </row>
    <row r="1907" s="53" customFormat="1" ht="50" customHeight="1" spans="1:30">
      <c r="A1907" s="99" t="s">
        <v>3775</v>
      </c>
      <c r="B1907" s="85"/>
      <c r="C1907" s="53" t="s">
        <v>32</v>
      </c>
      <c r="D1907" s="86" t="s">
        <v>749</v>
      </c>
      <c r="E1907" s="100" t="s">
        <v>3776</v>
      </c>
      <c r="F1907" s="99" t="s">
        <v>42</v>
      </c>
      <c r="G1907" s="77"/>
      <c r="H1907" s="77">
        <f>STOCK[[#This Row],[Precio Final]]</f>
        <v>18</v>
      </c>
      <c r="I1907" s="82">
        <f>STOCK[[#This Row],[Precio Venta Ideal (x1.5)]]</f>
        <v>16.2</v>
      </c>
      <c r="J1907" s="99">
        <v>1</v>
      </c>
      <c r="K1907" s="80">
        <f>SUMIFS(VENTAS[Cantidad],VENTAS[Código del producto Vendido],STOCK[[#This Row],[Code]])</f>
        <v>0</v>
      </c>
      <c r="L1907" s="80">
        <f>STOCK[[#This Row],[Entradas]]-STOCK[[#This Row],[Salidas]]</f>
        <v>1</v>
      </c>
      <c r="M1907" s="77">
        <f>STOCK[[#This Row],[Precio Final]]*10%</f>
        <v>1.8</v>
      </c>
      <c r="N1907" s="54">
        <v>0</v>
      </c>
      <c r="O1907" s="77">
        <v>0</v>
      </c>
      <c r="P1907" s="77">
        <v>9</v>
      </c>
      <c r="Q1907" s="77">
        <v>0</v>
      </c>
      <c r="R1907" s="80">
        <v>0</v>
      </c>
      <c r="S1907" s="77">
        <v>0</v>
      </c>
      <c r="T1907" s="77">
        <f>STOCK[[#This Row],[Costo Unitario (USD)]]+STOCK[[#This Row],[Costo Envío (USD)]]+STOCK[[#This Row],[Comisión 10%]]</f>
        <v>10.8</v>
      </c>
      <c r="U1907" s="53">
        <f>STOCK[[#This Row],[Costo total]]*1.5</f>
        <v>16.2</v>
      </c>
      <c r="V1907" s="53">
        <v>18</v>
      </c>
      <c r="W1907" s="77">
        <f>STOCK[[#This Row],[Precio Final]]-STOCK[[#This Row],[Costo total]]</f>
        <v>7.2</v>
      </c>
      <c r="X1907" s="77">
        <f>STOCK[[#This Row],[Ganancia Unitaria]]*STOCK[[#This Row],[Salidas]]</f>
        <v>0</v>
      </c>
      <c r="Y1907" s="77"/>
      <c r="Z1907" s="90"/>
      <c r="AA1907" s="54"/>
      <c r="AB1907" s="54"/>
      <c r="AC1907" s="77"/>
      <c r="AD1907" s="98"/>
    </row>
    <row r="1908" s="53" customFormat="1" ht="50" customHeight="1" spans="1:30">
      <c r="A1908" s="99" t="s">
        <v>3777</v>
      </c>
      <c r="B1908" s="85"/>
      <c r="C1908" s="53" t="s">
        <v>32</v>
      </c>
      <c r="D1908" s="86" t="s">
        <v>749</v>
      </c>
      <c r="E1908" s="100" t="s">
        <v>3778</v>
      </c>
      <c r="F1908" s="99" t="s">
        <v>1408</v>
      </c>
      <c r="G1908" s="77"/>
      <c r="H1908" s="77">
        <f>STOCK[[#This Row],[Precio Final]]</f>
        <v>18</v>
      </c>
      <c r="I1908" s="82">
        <f>STOCK[[#This Row],[Precio Venta Ideal (x1.5)]]</f>
        <v>16.2</v>
      </c>
      <c r="J1908" s="99">
        <v>1</v>
      </c>
      <c r="K1908" s="80">
        <f>SUMIFS(VENTAS[Cantidad],VENTAS[Código del producto Vendido],STOCK[[#This Row],[Code]])</f>
        <v>0</v>
      </c>
      <c r="L1908" s="80">
        <f>STOCK[[#This Row],[Entradas]]-STOCK[[#This Row],[Salidas]]</f>
        <v>1</v>
      </c>
      <c r="M1908" s="77">
        <f>STOCK[[#This Row],[Precio Final]]*10%</f>
        <v>1.8</v>
      </c>
      <c r="N1908" s="54">
        <v>0</v>
      </c>
      <c r="O1908" s="77">
        <v>0</v>
      </c>
      <c r="P1908" s="77">
        <v>9</v>
      </c>
      <c r="Q1908" s="77">
        <v>0</v>
      </c>
      <c r="R1908" s="80">
        <v>0</v>
      </c>
      <c r="S1908" s="77">
        <v>0</v>
      </c>
      <c r="T1908" s="77">
        <f>STOCK[[#This Row],[Costo Unitario (USD)]]+STOCK[[#This Row],[Costo Envío (USD)]]+STOCK[[#This Row],[Comisión 10%]]</f>
        <v>10.8</v>
      </c>
      <c r="U1908" s="53">
        <f>STOCK[[#This Row],[Costo total]]*1.5</f>
        <v>16.2</v>
      </c>
      <c r="V1908" s="53">
        <v>18</v>
      </c>
      <c r="W1908" s="77">
        <f>STOCK[[#This Row],[Precio Final]]-STOCK[[#This Row],[Costo total]]</f>
        <v>7.2</v>
      </c>
      <c r="X1908" s="77">
        <f>STOCK[[#This Row],[Ganancia Unitaria]]*STOCK[[#This Row],[Salidas]]</f>
        <v>0</v>
      </c>
      <c r="Y1908" s="77"/>
      <c r="Z1908" s="90"/>
      <c r="AA1908" s="54"/>
      <c r="AB1908" s="54"/>
      <c r="AC1908" s="77"/>
      <c r="AD1908" s="98"/>
    </row>
    <row r="1909" s="53" customFormat="1" ht="50" customHeight="1" spans="1:30">
      <c r="A1909" s="99" t="s">
        <v>3779</v>
      </c>
      <c r="B1909" s="85"/>
      <c r="C1909" s="53" t="s">
        <v>32</v>
      </c>
      <c r="D1909" s="86" t="s">
        <v>780</v>
      </c>
      <c r="E1909" s="100" t="s">
        <v>3780</v>
      </c>
      <c r="F1909" s="99" t="s">
        <v>716</v>
      </c>
      <c r="G1909" s="77"/>
      <c r="H1909" s="77">
        <f>STOCK[[#This Row],[Precio Final]]</f>
        <v>20</v>
      </c>
      <c r="I1909" s="82">
        <f>STOCK[[#This Row],[Precio Venta Ideal (x1.5)]]</f>
        <v>16.5</v>
      </c>
      <c r="J1909" s="99">
        <v>1</v>
      </c>
      <c r="K1909" s="80">
        <f>SUMIFS(VENTAS[Cantidad],VENTAS[Código del producto Vendido],STOCK[[#This Row],[Code]])</f>
        <v>0</v>
      </c>
      <c r="L1909" s="80">
        <f>STOCK[[#This Row],[Entradas]]-STOCK[[#This Row],[Salidas]]</f>
        <v>1</v>
      </c>
      <c r="M1909" s="77">
        <f>STOCK[[#This Row],[Precio Final]]*10%</f>
        <v>2</v>
      </c>
      <c r="N1909" s="54">
        <v>0</v>
      </c>
      <c r="O1909" s="77">
        <v>0</v>
      </c>
      <c r="P1909" s="77">
        <v>9</v>
      </c>
      <c r="Q1909" s="77">
        <v>0</v>
      </c>
      <c r="R1909" s="80">
        <v>0</v>
      </c>
      <c r="S1909" s="77">
        <v>0</v>
      </c>
      <c r="T1909" s="77">
        <f>STOCK[[#This Row],[Costo Unitario (USD)]]+STOCK[[#This Row],[Costo Envío (USD)]]+STOCK[[#This Row],[Comisión 10%]]</f>
        <v>11</v>
      </c>
      <c r="U1909" s="53">
        <f>STOCK[[#This Row],[Costo total]]*1.5</f>
        <v>16.5</v>
      </c>
      <c r="V1909" s="53">
        <v>20</v>
      </c>
      <c r="W1909" s="77">
        <f>STOCK[[#This Row],[Precio Final]]-STOCK[[#This Row],[Costo total]]</f>
        <v>9</v>
      </c>
      <c r="X1909" s="77">
        <f>STOCK[[#This Row],[Ganancia Unitaria]]*STOCK[[#This Row],[Salidas]]</f>
        <v>0</v>
      </c>
      <c r="Y1909" s="77"/>
      <c r="Z1909" s="90"/>
      <c r="AA1909" s="54"/>
      <c r="AB1909" s="54"/>
      <c r="AC1909" s="77"/>
      <c r="AD1909" s="98"/>
    </row>
    <row r="1910" s="53" customFormat="1" ht="50" customHeight="1" spans="1:30">
      <c r="A1910" s="99" t="s">
        <v>3781</v>
      </c>
      <c r="B1910" s="85"/>
      <c r="C1910" s="53" t="s">
        <v>32</v>
      </c>
      <c r="D1910" s="86" t="s">
        <v>749</v>
      </c>
      <c r="E1910" s="100" t="s">
        <v>3782</v>
      </c>
      <c r="F1910" s="99" t="s">
        <v>62</v>
      </c>
      <c r="G1910" s="77"/>
      <c r="H1910" s="77">
        <f>STOCK[[#This Row],[Precio Final]]</f>
        <v>18</v>
      </c>
      <c r="I1910" s="82">
        <f>STOCK[[#This Row],[Precio Venta Ideal (x1.5)]]</f>
        <v>16.2</v>
      </c>
      <c r="J1910" s="99">
        <v>1</v>
      </c>
      <c r="K1910" s="80">
        <f>SUMIFS(VENTAS[Cantidad],VENTAS[Código del producto Vendido],STOCK[[#This Row],[Code]])</f>
        <v>0</v>
      </c>
      <c r="L1910" s="80">
        <f>STOCK[[#This Row],[Entradas]]-STOCK[[#This Row],[Salidas]]</f>
        <v>1</v>
      </c>
      <c r="M1910" s="77">
        <f>STOCK[[#This Row],[Precio Final]]*10%</f>
        <v>1.8</v>
      </c>
      <c r="N1910" s="54">
        <v>0</v>
      </c>
      <c r="O1910" s="77">
        <v>0</v>
      </c>
      <c r="P1910" s="77">
        <v>9</v>
      </c>
      <c r="Q1910" s="77">
        <v>0</v>
      </c>
      <c r="R1910" s="80">
        <v>0</v>
      </c>
      <c r="S1910" s="77">
        <v>0</v>
      </c>
      <c r="T1910" s="77">
        <f>STOCK[[#This Row],[Costo Unitario (USD)]]+STOCK[[#This Row],[Costo Envío (USD)]]+STOCK[[#This Row],[Comisión 10%]]</f>
        <v>10.8</v>
      </c>
      <c r="U1910" s="53">
        <f>STOCK[[#This Row],[Costo total]]*1.5</f>
        <v>16.2</v>
      </c>
      <c r="V1910" s="53">
        <v>18</v>
      </c>
      <c r="W1910" s="77">
        <f>STOCK[[#This Row],[Precio Final]]-STOCK[[#This Row],[Costo total]]</f>
        <v>7.2</v>
      </c>
      <c r="X1910" s="77">
        <f>STOCK[[#This Row],[Ganancia Unitaria]]*STOCK[[#This Row],[Salidas]]</f>
        <v>0</v>
      </c>
      <c r="Y1910" s="77"/>
      <c r="Z1910" s="90"/>
      <c r="AA1910" s="54"/>
      <c r="AB1910" s="54"/>
      <c r="AC1910" s="77"/>
      <c r="AD1910" s="98"/>
    </row>
    <row r="1911" s="53" customFormat="1" ht="50" customHeight="1" spans="1:30">
      <c r="A1911" s="99" t="s">
        <v>3783</v>
      </c>
      <c r="B1911" s="85"/>
      <c r="C1911" s="53" t="s">
        <v>32</v>
      </c>
      <c r="D1911" s="86" t="s">
        <v>1388</v>
      </c>
      <c r="E1911" s="100" t="s">
        <v>3784</v>
      </c>
      <c r="F1911" s="99" t="s">
        <v>1047</v>
      </c>
      <c r="G1911" s="77"/>
      <c r="H1911" s="77">
        <f>STOCK[[#This Row],[Precio Final]]</f>
        <v>30</v>
      </c>
      <c r="I1911" s="82">
        <f>STOCK[[#This Row],[Precio Venta Ideal (x1.5)]]</f>
        <v>18</v>
      </c>
      <c r="J1911" s="99">
        <v>1</v>
      </c>
      <c r="K1911" s="80">
        <f>SUMIFS(VENTAS[Cantidad],VENTAS[Código del producto Vendido],STOCK[[#This Row],[Code]])</f>
        <v>0</v>
      </c>
      <c r="L1911" s="80">
        <f>STOCK[[#This Row],[Entradas]]-STOCK[[#This Row],[Salidas]]</f>
        <v>1</v>
      </c>
      <c r="M1911" s="77">
        <f>STOCK[[#This Row],[Precio Final]]*10%</f>
        <v>3</v>
      </c>
      <c r="N1911" s="54">
        <v>0</v>
      </c>
      <c r="O1911" s="77">
        <v>0</v>
      </c>
      <c r="P1911" s="77">
        <v>9</v>
      </c>
      <c r="Q1911" s="77">
        <v>0</v>
      </c>
      <c r="R1911" s="80">
        <v>0</v>
      </c>
      <c r="S1911" s="77">
        <v>0</v>
      </c>
      <c r="T1911" s="77">
        <f>STOCK[[#This Row],[Costo Unitario (USD)]]+STOCK[[#This Row],[Costo Envío (USD)]]+STOCK[[#This Row],[Comisión 10%]]</f>
        <v>12</v>
      </c>
      <c r="U1911" s="53">
        <f>STOCK[[#This Row],[Costo total]]*1.5</f>
        <v>18</v>
      </c>
      <c r="V1911" s="53">
        <v>30</v>
      </c>
      <c r="W1911" s="77">
        <f>STOCK[[#This Row],[Precio Final]]-STOCK[[#This Row],[Costo total]]</f>
        <v>18</v>
      </c>
      <c r="X1911" s="77">
        <f>STOCK[[#This Row],[Ganancia Unitaria]]*STOCK[[#This Row],[Salidas]]</f>
        <v>0</v>
      </c>
      <c r="Y1911" s="77"/>
      <c r="Z1911" s="90"/>
      <c r="AA1911" s="54"/>
      <c r="AB1911" s="54"/>
      <c r="AC1911" s="77"/>
      <c r="AD1911" s="98"/>
    </row>
    <row r="1912" s="53" customFormat="1" ht="50" customHeight="1" spans="1:30">
      <c r="A1912" s="99" t="s">
        <v>3785</v>
      </c>
      <c r="B1912" s="85"/>
      <c r="C1912" s="53" t="s">
        <v>32</v>
      </c>
      <c r="D1912" s="86" t="s">
        <v>780</v>
      </c>
      <c r="E1912" s="100" t="s">
        <v>3786</v>
      </c>
      <c r="F1912" s="99" t="s">
        <v>1408</v>
      </c>
      <c r="G1912" s="77"/>
      <c r="H1912" s="77">
        <f>STOCK[[#This Row],[Precio Final]]</f>
        <v>15</v>
      </c>
      <c r="I1912" s="82">
        <f>STOCK[[#This Row],[Precio Venta Ideal (x1.5)]]</f>
        <v>15.75</v>
      </c>
      <c r="J1912" s="99">
        <v>1</v>
      </c>
      <c r="K1912" s="80">
        <f>SUMIFS(VENTAS[Cantidad],VENTAS[Código del producto Vendido],STOCK[[#This Row],[Code]])</f>
        <v>0</v>
      </c>
      <c r="L1912" s="80">
        <f>STOCK[[#This Row],[Entradas]]-STOCK[[#This Row],[Salidas]]</f>
        <v>1</v>
      </c>
      <c r="M1912" s="77">
        <f>STOCK[[#This Row],[Precio Final]]*10%</f>
        <v>1.5</v>
      </c>
      <c r="N1912" s="54">
        <v>0</v>
      </c>
      <c r="O1912" s="77">
        <v>0</v>
      </c>
      <c r="P1912" s="77">
        <v>9</v>
      </c>
      <c r="Q1912" s="77">
        <v>0</v>
      </c>
      <c r="R1912" s="80">
        <v>0</v>
      </c>
      <c r="S1912" s="77">
        <v>0</v>
      </c>
      <c r="T1912" s="77">
        <f>STOCK[[#This Row],[Costo Unitario (USD)]]+STOCK[[#This Row],[Costo Envío (USD)]]+STOCK[[#This Row],[Comisión 10%]]</f>
        <v>10.5</v>
      </c>
      <c r="U1912" s="53">
        <f>STOCK[[#This Row],[Costo total]]*1.5</f>
        <v>15.75</v>
      </c>
      <c r="V1912" s="53">
        <v>15</v>
      </c>
      <c r="W1912" s="77">
        <f>STOCK[[#This Row],[Precio Final]]-STOCK[[#This Row],[Costo total]]</f>
        <v>4.5</v>
      </c>
      <c r="X1912" s="77">
        <f>STOCK[[#This Row],[Ganancia Unitaria]]*STOCK[[#This Row],[Salidas]]</f>
        <v>0</v>
      </c>
      <c r="Y1912" s="77"/>
      <c r="Z1912" s="90"/>
      <c r="AA1912" s="54"/>
      <c r="AB1912" s="54"/>
      <c r="AC1912" s="77"/>
      <c r="AD1912" s="98"/>
    </row>
    <row r="1913" s="53" customFormat="1" ht="50" customHeight="1" spans="1:30">
      <c r="A1913" s="99" t="s">
        <v>3787</v>
      </c>
      <c r="B1913" s="85"/>
      <c r="C1913" s="53" t="s">
        <v>32</v>
      </c>
      <c r="D1913" s="86" t="s">
        <v>749</v>
      </c>
      <c r="E1913" s="100" t="s">
        <v>3778</v>
      </c>
      <c r="F1913" s="99" t="s">
        <v>42</v>
      </c>
      <c r="G1913" s="77"/>
      <c r="H1913" s="77">
        <f>STOCK[[#This Row],[Precio Final]]</f>
        <v>18</v>
      </c>
      <c r="I1913" s="82">
        <f>STOCK[[#This Row],[Precio Venta Ideal (x1.5)]]</f>
        <v>16.2</v>
      </c>
      <c r="J1913" s="99">
        <v>1</v>
      </c>
      <c r="K1913" s="80">
        <f>SUMIFS(VENTAS[Cantidad],VENTAS[Código del producto Vendido],STOCK[[#This Row],[Code]])</f>
        <v>0</v>
      </c>
      <c r="L1913" s="80">
        <f>STOCK[[#This Row],[Entradas]]-STOCK[[#This Row],[Salidas]]</f>
        <v>1</v>
      </c>
      <c r="M1913" s="77">
        <f>STOCK[[#This Row],[Precio Final]]*10%</f>
        <v>1.8</v>
      </c>
      <c r="N1913" s="54">
        <v>0</v>
      </c>
      <c r="O1913" s="77">
        <v>0</v>
      </c>
      <c r="P1913" s="77">
        <v>9</v>
      </c>
      <c r="Q1913" s="77">
        <v>0</v>
      </c>
      <c r="R1913" s="80">
        <v>0</v>
      </c>
      <c r="S1913" s="77">
        <v>0</v>
      </c>
      <c r="T1913" s="77">
        <f>STOCK[[#This Row],[Costo Unitario (USD)]]+STOCK[[#This Row],[Costo Envío (USD)]]+STOCK[[#This Row],[Comisión 10%]]</f>
        <v>10.8</v>
      </c>
      <c r="U1913" s="53">
        <f>STOCK[[#This Row],[Costo total]]*1.5</f>
        <v>16.2</v>
      </c>
      <c r="V1913" s="53">
        <v>18</v>
      </c>
      <c r="W1913" s="77">
        <f>STOCK[[#This Row],[Precio Final]]-STOCK[[#This Row],[Costo total]]</f>
        <v>7.2</v>
      </c>
      <c r="X1913" s="77">
        <f>STOCK[[#This Row],[Ganancia Unitaria]]*STOCK[[#This Row],[Salidas]]</f>
        <v>0</v>
      </c>
      <c r="Y1913" s="77"/>
      <c r="Z1913" s="90"/>
      <c r="AA1913" s="54"/>
      <c r="AB1913" s="54"/>
      <c r="AC1913" s="77"/>
      <c r="AD1913" s="98"/>
    </row>
    <row r="1914" s="53" customFormat="1" ht="50" customHeight="1" spans="1:30">
      <c r="A1914" s="99" t="s">
        <v>3788</v>
      </c>
      <c r="B1914" s="85"/>
      <c r="C1914" s="53" t="s">
        <v>32</v>
      </c>
      <c r="D1914" s="86" t="s">
        <v>749</v>
      </c>
      <c r="E1914" s="100" t="s">
        <v>3789</v>
      </c>
      <c r="F1914" s="99" t="s">
        <v>1408</v>
      </c>
      <c r="G1914" s="77"/>
      <c r="H1914" s="77">
        <f>STOCK[[#This Row],[Precio Final]]</f>
        <v>18</v>
      </c>
      <c r="I1914" s="82">
        <f>STOCK[[#This Row],[Precio Venta Ideal (x1.5)]]</f>
        <v>16.2</v>
      </c>
      <c r="J1914" s="99">
        <v>1</v>
      </c>
      <c r="K1914" s="80">
        <f>SUMIFS(VENTAS[Cantidad],VENTAS[Código del producto Vendido],STOCK[[#This Row],[Code]])</f>
        <v>0</v>
      </c>
      <c r="L1914" s="80">
        <f>STOCK[[#This Row],[Entradas]]-STOCK[[#This Row],[Salidas]]</f>
        <v>1</v>
      </c>
      <c r="M1914" s="77">
        <f>STOCK[[#This Row],[Precio Final]]*10%</f>
        <v>1.8</v>
      </c>
      <c r="N1914" s="54">
        <v>0</v>
      </c>
      <c r="O1914" s="77">
        <v>0</v>
      </c>
      <c r="P1914" s="77">
        <v>9</v>
      </c>
      <c r="Q1914" s="77">
        <v>0</v>
      </c>
      <c r="R1914" s="80">
        <v>0</v>
      </c>
      <c r="S1914" s="77">
        <v>0</v>
      </c>
      <c r="T1914" s="77">
        <f>STOCK[[#This Row],[Costo Unitario (USD)]]+STOCK[[#This Row],[Costo Envío (USD)]]+STOCK[[#This Row],[Comisión 10%]]</f>
        <v>10.8</v>
      </c>
      <c r="U1914" s="53">
        <f>STOCK[[#This Row],[Costo total]]*1.5</f>
        <v>16.2</v>
      </c>
      <c r="V1914" s="53">
        <v>18</v>
      </c>
      <c r="W1914" s="77">
        <f>STOCK[[#This Row],[Precio Final]]-STOCK[[#This Row],[Costo total]]</f>
        <v>7.2</v>
      </c>
      <c r="X1914" s="77">
        <f>STOCK[[#This Row],[Ganancia Unitaria]]*STOCK[[#This Row],[Salidas]]</f>
        <v>0</v>
      </c>
      <c r="Y1914" s="77"/>
      <c r="Z1914" s="90"/>
      <c r="AA1914" s="54"/>
      <c r="AB1914" s="54"/>
      <c r="AC1914" s="77"/>
      <c r="AD1914" s="98"/>
    </row>
    <row r="1915" s="53" customFormat="1" ht="50" customHeight="1" spans="1:30">
      <c r="A1915" s="99" t="s">
        <v>3790</v>
      </c>
      <c r="B1915" s="85"/>
      <c r="C1915" s="53" t="s">
        <v>32</v>
      </c>
      <c r="D1915" s="86" t="s">
        <v>749</v>
      </c>
      <c r="E1915" s="100" t="s">
        <v>3791</v>
      </c>
      <c r="F1915" s="99" t="s">
        <v>62</v>
      </c>
      <c r="G1915" s="77"/>
      <c r="H1915" s="77">
        <f>STOCK[[#This Row],[Precio Final]]</f>
        <v>18</v>
      </c>
      <c r="I1915" s="82">
        <f>STOCK[[#This Row],[Precio Venta Ideal (x1.5)]]</f>
        <v>16.2</v>
      </c>
      <c r="J1915" s="99">
        <v>1</v>
      </c>
      <c r="K1915" s="80">
        <f>SUMIFS(VENTAS[Cantidad],VENTAS[Código del producto Vendido],STOCK[[#This Row],[Code]])</f>
        <v>0</v>
      </c>
      <c r="L1915" s="80">
        <f>STOCK[[#This Row],[Entradas]]-STOCK[[#This Row],[Salidas]]</f>
        <v>1</v>
      </c>
      <c r="M1915" s="77">
        <f>STOCK[[#This Row],[Precio Final]]*10%</f>
        <v>1.8</v>
      </c>
      <c r="N1915" s="54">
        <v>0</v>
      </c>
      <c r="O1915" s="77">
        <v>0</v>
      </c>
      <c r="P1915" s="77">
        <v>9</v>
      </c>
      <c r="Q1915" s="77">
        <v>0</v>
      </c>
      <c r="R1915" s="80">
        <v>0</v>
      </c>
      <c r="S1915" s="77">
        <v>0</v>
      </c>
      <c r="T1915" s="77">
        <f>STOCK[[#This Row],[Costo Unitario (USD)]]+STOCK[[#This Row],[Costo Envío (USD)]]+STOCK[[#This Row],[Comisión 10%]]</f>
        <v>10.8</v>
      </c>
      <c r="U1915" s="53">
        <f>STOCK[[#This Row],[Costo total]]*1.5</f>
        <v>16.2</v>
      </c>
      <c r="V1915" s="53">
        <v>18</v>
      </c>
      <c r="W1915" s="77">
        <f>STOCK[[#This Row],[Precio Final]]-STOCK[[#This Row],[Costo total]]</f>
        <v>7.2</v>
      </c>
      <c r="X1915" s="77">
        <f>STOCK[[#This Row],[Ganancia Unitaria]]*STOCK[[#This Row],[Salidas]]</f>
        <v>0</v>
      </c>
      <c r="Y1915" s="77"/>
      <c r="Z1915" s="90"/>
      <c r="AA1915" s="54"/>
      <c r="AB1915" s="54"/>
      <c r="AC1915" s="77"/>
      <c r="AD1915" s="98"/>
    </row>
    <row r="1916" s="53" customFormat="1" ht="50" customHeight="1" spans="1:30">
      <c r="A1916" s="99" t="s">
        <v>3792</v>
      </c>
      <c r="B1916" s="85"/>
      <c r="C1916" s="53" t="s">
        <v>32</v>
      </c>
      <c r="D1916" s="86" t="s">
        <v>749</v>
      </c>
      <c r="E1916" s="100" t="s">
        <v>3662</v>
      </c>
      <c r="F1916" s="99" t="s">
        <v>42</v>
      </c>
      <c r="G1916" s="77"/>
      <c r="H1916" s="77">
        <f>STOCK[[#This Row],[Precio Final]]</f>
        <v>18</v>
      </c>
      <c r="I1916" s="82">
        <f>STOCK[[#This Row],[Precio Venta Ideal (x1.5)]]</f>
        <v>16.2</v>
      </c>
      <c r="J1916" s="99">
        <v>1</v>
      </c>
      <c r="K1916" s="80">
        <f>SUMIFS(VENTAS[Cantidad],VENTAS[Código del producto Vendido],STOCK[[#This Row],[Code]])</f>
        <v>0</v>
      </c>
      <c r="L1916" s="80">
        <f>STOCK[[#This Row],[Entradas]]-STOCK[[#This Row],[Salidas]]</f>
        <v>1</v>
      </c>
      <c r="M1916" s="77">
        <f>STOCK[[#This Row],[Precio Final]]*10%</f>
        <v>1.8</v>
      </c>
      <c r="N1916" s="54">
        <v>0</v>
      </c>
      <c r="O1916" s="77">
        <v>0</v>
      </c>
      <c r="P1916" s="77">
        <v>9</v>
      </c>
      <c r="Q1916" s="77">
        <v>0</v>
      </c>
      <c r="R1916" s="80">
        <v>0</v>
      </c>
      <c r="S1916" s="77">
        <v>0</v>
      </c>
      <c r="T1916" s="77">
        <f>STOCK[[#This Row],[Costo Unitario (USD)]]+STOCK[[#This Row],[Costo Envío (USD)]]+STOCK[[#This Row],[Comisión 10%]]</f>
        <v>10.8</v>
      </c>
      <c r="U1916" s="53">
        <f>STOCK[[#This Row],[Costo total]]*1.5</f>
        <v>16.2</v>
      </c>
      <c r="V1916" s="53">
        <v>18</v>
      </c>
      <c r="W1916" s="77">
        <f>STOCK[[#This Row],[Precio Final]]-STOCK[[#This Row],[Costo total]]</f>
        <v>7.2</v>
      </c>
      <c r="X1916" s="77">
        <f>STOCK[[#This Row],[Ganancia Unitaria]]*STOCK[[#This Row],[Salidas]]</f>
        <v>0</v>
      </c>
      <c r="Y1916" s="77"/>
      <c r="Z1916" s="90"/>
      <c r="AA1916" s="54"/>
      <c r="AB1916" s="54"/>
      <c r="AC1916" s="77"/>
      <c r="AD1916" s="98"/>
    </row>
    <row r="1917" s="53" customFormat="1" ht="50" customHeight="1" spans="1:30">
      <c r="A1917" s="99" t="s">
        <v>3793</v>
      </c>
      <c r="B1917" s="85"/>
      <c r="C1917" s="53" t="s">
        <v>32</v>
      </c>
      <c r="D1917" s="86" t="s">
        <v>749</v>
      </c>
      <c r="E1917" s="100" t="s">
        <v>3794</v>
      </c>
      <c r="F1917" s="99" t="s">
        <v>1047</v>
      </c>
      <c r="G1917" s="77"/>
      <c r="H1917" s="77">
        <f>STOCK[[#This Row],[Precio Final]]</f>
        <v>15</v>
      </c>
      <c r="I1917" s="82">
        <f>STOCK[[#This Row],[Precio Venta Ideal (x1.5)]]</f>
        <v>15.75</v>
      </c>
      <c r="J1917" s="99">
        <v>1</v>
      </c>
      <c r="K1917" s="80">
        <f>SUMIFS(VENTAS[Cantidad],VENTAS[Código del producto Vendido],STOCK[[#This Row],[Code]])</f>
        <v>0</v>
      </c>
      <c r="L1917" s="80">
        <f>STOCK[[#This Row],[Entradas]]-STOCK[[#This Row],[Salidas]]</f>
        <v>1</v>
      </c>
      <c r="M1917" s="77">
        <f>STOCK[[#This Row],[Precio Final]]*10%</f>
        <v>1.5</v>
      </c>
      <c r="N1917" s="54">
        <v>0</v>
      </c>
      <c r="O1917" s="77">
        <v>0</v>
      </c>
      <c r="P1917" s="77">
        <v>9</v>
      </c>
      <c r="Q1917" s="77">
        <v>0</v>
      </c>
      <c r="R1917" s="80">
        <v>0</v>
      </c>
      <c r="S1917" s="77">
        <v>0</v>
      </c>
      <c r="T1917" s="77">
        <f>STOCK[[#This Row],[Costo Unitario (USD)]]+STOCK[[#This Row],[Costo Envío (USD)]]+STOCK[[#This Row],[Comisión 10%]]</f>
        <v>10.5</v>
      </c>
      <c r="U1917" s="53">
        <f>STOCK[[#This Row],[Costo total]]*1.5</f>
        <v>15.75</v>
      </c>
      <c r="V1917" s="53">
        <v>15</v>
      </c>
      <c r="W1917" s="77">
        <f>STOCK[[#This Row],[Precio Final]]-STOCK[[#This Row],[Costo total]]</f>
        <v>4.5</v>
      </c>
      <c r="X1917" s="77">
        <f>STOCK[[#This Row],[Ganancia Unitaria]]*STOCK[[#This Row],[Salidas]]</f>
        <v>0</v>
      </c>
      <c r="Y1917" s="77"/>
      <c r="Z1917" s="90"/>
      <c r="AA1917" s="54"/>
      <c r="AB1917" s="54"/>
      <c r="AC1917" s="77"/>
      <c r="AD1917" s="98"/>
    </row>
    <row r="1918" s="53" customFormat="1" ht="50" customHeight="1" spans="1:30">
      <c r="A1918" s="99" t="s">
        <v>3795</v>
      </c>
      <c r="B1918" s="85"/>
      <c r="C1918" s="53" t="s">
        <v>32</v>
      </c>
      <c r="D1918" s="86" t="s">
        <v>749</v>
      </c>
      <c r="E1918" s="100" t="s">
        <v>3796</v>
      </c>
      <c r="F1918" s="99" t="s">
        <v>40</v>
      </c>
      <c r="G1918" s="77"/>
      <c r="H1918" s="77">
        <f>STOCK[[#This Row],[Precio Final]]</f>
        <v>15</v>
      </c>
      <c r="I1918" s="82">
        <f>STOCK[[#This Row],[Precio Venta Ideal (x1.5)]]</f>
        <v>15.75</v>
      </c>
      <c r="J1918" s="99">
        <v>1</v>
      </c>
      <c r="K1918" s="80">
        <f>SUMIFS(VENTAS[Cantidad],VENTAS[Código del producto Vendido],STOCK[[#This Row],[Code]])</f>
        <v>0</v>
      </c>
      <c r="L1918" s="80">
        <f>STOCK[[#This Row],[Entradas]]-STOCK[[#This Row],[Salidas]]</f>
        <v>1</v>
      </c>
      <c r="M1918" s="77">
        <f>STOCK[[#This Row],[Precio Final]]*10%</f>
        <v>1.5</v>
      </c>
      <c r="N1918" s="54">
        <v>0</v>
      </c>
      <c r="O1918" s="77">
        <v>0</v>
      </c>
      <c r="P1918" s="77">
        <v>9</v>
      </c>
      <c r="Q1918" s="77">
        <v>0</v>
      </c>
      <c r="R1918" s="80">
        <v>0</v>
      </c>
      <c r="S1918" s="77">
        <v>0</v>
      </c>
      <c r="T1918" s="77">
        <f>STOCK[[#This Row],[Costo Unitario (USD)]]+STOCK[[#This Row],[Costo Envío (USD)]]+STOCK[[#This Row],[Comisión 10%]]</f>
        <v>10.5</v>
      </c>
      <c r="U1918" s="53">
        <f>STOCK[[#This Row],[Costo total]]*1.5</f>
        <v>15.75</v>
      </c>
      <c r="V1918" s="53">
        <v>15</v>
      </c>
      <c r="W1918" s="77">
        <f>STOCK[[#This Row],[Precio Final]]-STOCK[[#This Row],[Costo total]]</f>
        <v>4.5</v>
      </c>
      <c r="X1918" s="77">
        <f>STOCK[[#This Row],[Ganancia Unitaria]]*STOCK[[#This Row],[Salidas]]</f>
        <v>0</v>
      </c>
      <c r="Y1918" s="77"/>
      <c r="Z1918" s="90"/>
      <c r="AA1918" s="54"/>
      <c r="AB1918" s="54"/>
      <c r="AC1918" s="77"/>
      <c r="AD1918" s="98"/>
    </row>
    <row r="1919" s="53" customFormat="1" ht="50" customHeight="1" spans="1:30">
      <c r="A1919" s="99" t="s">
        <v>3797</v>
      </c>
      <c r="B1919" s="85"/>
      <c r="C1919" s="53" t="s">
        <v>32</v>
      </c>
      <c r="D1919" s="86" t="s">
        <v>749</v>
      </c>
      <c r="E1919" s="100" t="s">
        <v>3798</v>
      </c>
      <c r="F1919" s="99" t="s">
        <v>1408</v>
      </c>
      <c r="G1919" s="77"/>
      <c r="H1919" s="77">
        <f>STOCK[[#This Row],[Precio Final]]</f>
        <v>30</v>
      </c>
      <c r="I1919" s="82">
        <f>STOCK[[#This Row],[Precio Venta Ideal (x1.5)]]</f>
        <v>18</v>
      </c>
      <c r="J1919" s="99">
        <v>2</v>
      </c>
      <c r="K1919" s="80">
        <f>SUMIFS(VENTAS[Cantidad],VENTAS[Código del producto Vendido],STOCK[[#This Row],[Code]])</f>
        <v>0</v>
      </c>
      <c r="L1919" s="80">
        <f>STOCK[[#This Row],[Entradas]]-STOCK[[#This Row],[Salidas]]</f>
        <v>2</v>
      </c>
      <c r="M1919" s="77">
        <f>STOCK[[#This Row],[Precio Final]]*10%</f>
        <v>3</v>
      </c>
      <c r="N1919" s="54">
        <v>0</v>
      </c>
      <c r="O1919" s="77">
        <v>0</v>
      </c>
      <c r="P1919" s="77">
        <v>9</v>
      </c>
      <c r="Q1919" s="77">
        <v>0</v>
      </c>
      <c r="R1919" s="80">
        <v>0</v>
      </c>
      <c r="S1919" s="77">
        <v>0</v>
      </c>
      <c r="T1919" s="77">
        <f>STOCK[[#This Row],[Costo Unitario (USD)]]+STOCK[[#This Row],[Costo Envío (USD)]]+STOCK[[#This Row],[Comisión 10%]]</f>
        <v>12</v>
      </c>
      <c r="U1919" s="53">
        <f>STOCK[[#This Row],[Costo total]]*1.5</f>
        <v>18</v>
      </c>
      <c r="V1919" s="53">
        <v>30</v>
      </c>
      <c r="W1919" s="77">
        <f>STOCK[[#This Row],[Precio Final]]-STOCK[[#This Row],[Costo total]]</f>
        <v>18</v>
      </c>
      <c r="X1919" s="77">
        <f>STOCK[[#This Row],[Ganancia Unitaria]]*STOCK[[#This Row],[Salidas]]</f>
        <v>0</v>
      </c>
      <c r="Y1919" s="77"/>
      <c r="Z1919" s="90"/>
      <c r="AA1919" s="54"/>
      <c r="AB1919" s="54"/>
      <c r="AC1919" s="77"/>
      <c r="AD1919" s="98"/>
    </row>
    <row r="1920" s="53" customFormat="1" ht="50" customHeight="1" spans="1:30">
      <c r="A1920" s="99" t="s">
        <v>3799</v>
      </c>
      <c r="B1920" s="85"/>
      <c r="C1920" s="53" t="s">
        <v>32</v>
      </c>
      <c r="D1920" s="86"/>
      <c r="E1920" s="100" t="s">
        <v>3740</v>
      </c>
      <c r="F1920" s="99" t="s">
        <v>3752</v>
      </c>
      <c r="G1920" s="77"/>
      <c r="H1920" s="77">
        <f>STOCK[[#This Row],[Precio Final]]</f>
        <v>30</v>
      </c>
      <c r="I1920" s="82">
        <f>STOCK[[#This Row],[Precio Venta Ideal (x1.5)]]</f>
        <v>18</v>
      </c>
      <c r="J1920" s="99">
        <v>1</v>
      </c>
      <c r="K1920" s="80">
        <f>SUMIFS(VENTAS[Cantidad],VENTAS[Código del producto Vendido],STOCK[[#This Row],[Code]])</f>
        <v>0</v>
      </c>
      <c r="L1920" s="80">
        <f>STOCK[[#This Row],[Entradas]]-STOCK[[#This Row],[Salidas]]</f>
        <v>1</v>
      </c>
      <c r="M1920" s="77">
        <f>STOCK[[#This Row],[Precio Final]]*10%</f>
        <v>3</v>
      </c>
      <c r="N1920" s="54">
        <v>0</v>
      </c>
      <c r="O1920" s="77">
        <v>0</v>
      </c>
      <c r="P1920" s="77">
        <v>9</v>
      </c>
      <c r="Q1920" s="77">
        <v>0</v>
      </c>
      <c r="R1920" s="80">
        <v>0</v>
      </c>
      <c r="S1920" s="77">
        <v>0</v>
      </c>
      <c r="T1920" s="77">
        <f>STOCK[[#This Row],[Costo Unitario (USD)]]+STOCK[[#This Row],[Costo Envío (USD)]]+STOCK[[#This Row],[Comisión 10%]]</f>
        <v>12</v>
      </c>
      <c r="U1920" s="53">
        <f>STOCK[[#This Row],[Costo total]]*1.5</f>
        <v>18</v>
      </c>
      <c r="V1920" s="53">
        <v>30</v>
      </c>
      <c r="W1920" s="77">
        <f>STOCK[[#This Row],[Precio Final]]-STOCK[[#This Row],[Costo total]]</f>
        <v>18</v>
      </c>
      <c r="X1920" s="77">
        <f>STOCK[[#This Row],[Ganancia Unitaria]]*STOCK[[#This Row],[Salidas]]</f>
        <v>0</v>
      </c>
      <c r="Y1920" s="77"/>
      <c r="Z1920" s="90"/>
      <c r="AA1920" s="54"/>
      <c r="AB1920" s="54"/>
      <c r="AC1920" s="77"/>
      <c r="AD1920" s="98"/>
    </row>
    <row r="1921" s="53" customFormat="1" ht="50" customHeight="1" spans="1:30">
      <c r="A1921" s="99" t="s">
        <v>3800</v>
      </c>
      <c r="B1921" s="85"/>
      <c r="C1921" s="53" t="s">
        <v>32</v>
      </c>
      <c r="D1921" s="86" t="s">
        <v>2639</v>
      </c>
      <c r="E1921" s="100" t="s">
        <v>3801</v>
      </c>
      <c r="F1921" s="99" t="s">
        <v>62</v>
      </c>
      <c r="G1921" s="77"/>
      <c r="H1921" s="77">
        <f>STOCK[[#This Row],[Precio Final]]</f>
        <v>30</v>
      </c>
      <c r="I1921" s="82">
        <f>STOCK[[#This Row],[Precio Venta Ideal (x1.5)]]</f>
        <v>18</v>
      </c>
      <c r="J1921" s="99">
        <v>1</v>
      </c>
      <c r="K1921" s="80">
        <f>SUMIFS(VENTAS[Cantidad],VENTAS[Código del producto Vendido],STOCK[[#This Row],[Code]])</f>
        <v>0</v>
      </c>
      <c r="L1921" s="80">
        <f>STOCK[[#This Row],[Entradas]]-STOCK[[#This Row],[Salidas]]</f>
        <v>1</v>
      </c>
      <c r="M1921" s="77">
        <f>STOCK[[#This Row],[Precio Final]]*10%</f>
        <v>3</v>
      </c>
      <c r="N1921" s="54">
        <v>0</v>
      </c>
      <c r="O1921" s="77">
        <v>0</v>
      </c>
      <c r="P1921" s="77">
        <v>9</v>
      </c>
      <c r="Q1921" s="77">
        <v>0</v>
      </c>
      <c r="R1921" s="80">
        <v>0</v>
      </c>
      <c r="S1921" s="77">
        <v>0</v>
      </c>
      <c r="T1921" s="77">
        <f>STOCK[[#This Row],[Costo Unitario (USD)]]+STOCK[[#This Row],[Costo Envío (USD)]]+STOCK[[#This Row],[Comisión 10%]]</f>
        <v>12</v>
      </c>
      <c r="U1921" s="53">
        <f>STOCK[[#This Row],[Costo total]]*1.5</f>
        <v>18</v>
      </c>
      <c r="V1921" s="53">
        <v>30</v>
      </c>
      <c r="W1921" s="77">
        <f>STOCK[[#This Row],[Precio Final]]-STOCK[[#This Row],[Costo total]]</f>
        <v>18</v>
      </c>
      <c r="X1921" s="77">
        <f>STOCK[[#This Row],[Ganancia Unitaria]]*STOCK[[#This Row],[Salidas]]</f>
        <v>0</v>
      </c>
      <c r="Y1921" s="77"/>
      <c r="Z1921" s="90"/>
      <c r="AA1921" s="54"/>
      <c r="AB1921" s="54"/>
      <c r="AC1921" s="77"/>
      <c r="AD1921" s="98"/>
    </row>
    <row r="1922" s="53" customFormat="1" ht="50" customHeight="1" spans="1:30">
      <c r="A1922" s="99" t="s">
        <v>3802</v>
      </c>
      <c r="B1922" s="85"/>
      <c r="C1922" s="53" t="s">
        <v>32</v>
      </c>
      <c r="D1922" s="86" t="s">
        <v>2639</v>
      </c>
      <c r="E1922" s="100" t="s">
        <v>3803</v>
      </c>
      <c r="F1922" s="99" t="s">
        <v>62</v>
      </c>
      <c r="G1922" s="77"/>
      <c r="H1922" s="77">
        <f>STOCK[[#This Row],[Precio Final]]</f>
        <v>20</v>
      </c>
      <c r="I1922" s="82">
        <f>STOCK[[#This Row],[Precio Venta Ideal (x1.5)]]</f>
        <v>16.5</v>
      </c>
      <c r="J1922" s="99">
        <v>1</v>
      </c>
      <c r="K1922" s="80">
        <f>SUMIFS(VENTAS[Cantidad],VENTAS[Código del producto Vendido],STOCK[[#This Row],[Code]])</f>
        <v>0</v>
      </c>
      <c r="L1922" s="80">
        <f>STOCK[[#This Row],[Entradas]]-STOCK[[#This Row],[Salidas]]</f>
        <v>1</v>
      </c>
      <c r="M1922" s="77">
        <f>STOCK[[#This Row],[Precio Final]]*10%</f>
        <v>2</v>
      </c>
      <c r="N1922" s="54">
        <v>0</v>
      </c>
      <c r="O1922" s="77">
        <v>0</v>
      </c>
      <c r="P1922" s="77">
        <v>9</v>
      </c>
      <c r="Q1922" s="77">
        <v>0</v>
      </c>
      <c r="R1922" s="80">
        <v>0</v>
      </c>
      <c r="S1922" s="77">
        <v>0</v>
      </c>
      <c r="T1922" s="77">
        <f>STOCK[[#This Row],[Costo Unitario (USD)]]+STOCK[[#This Row],[Costo Envío (USD)]]+STOCK[[#This Row],[Comisión 10%]]</f>
        <v>11</v>
      </c>
      <c r="U1922" s="53">
        <f>STOCK[[#This Row],[Costo total]]*1.5</f>
        <v>16.5</v>
      </c>
      <c r="V1922" s="53">
        <v>20</v>
      </c>
      <c r="W1922" s="77">
        <f>STOCK[[#This Row],[Precio Final]]-STOCK[[#This Row],[Costo total]]</f>
        <v>9</v>
      </c>
      <c r="X1922" s="77">
        <f>STOCK[[#This Row],[Ganancia Unitaria]]*STOCK[[#This Row],[Salidas]]</f>
        <v>0</v>
      </c>
      <c r="Y1922" s="77"/>
      <c r="Z1922" s="90"/>
      <c r="AA1922" s="54"/>
      <c r="AB1922" s="54"/>
      <c r="AC1922" s="77"/>
      <c r="AD1922" s="98"/>
    </row>
    <row r="1923" s="53" customFormat="1" ht="50" customHeight="1" spans="1:30">
      <c r="A1923" s="99" t="s">
        <v>3804</v>
      </c>
      <c r="B1923" s="85"/>
      <c r="C1923" s="53" t="s">
        <v>32</v>
      </c>
      <c r="D1923" s="86" t="s">
        <v>749</v>
      </c>
      <c r="E1923" s="100" t="s">
        <v>3805</v>
      </c>
      <c r="F1923" s="99" t="s">
        <v>46</v>
      </c>
      <c r="G1923" s="77"/>
      <c r="H1923" s="77">
        <f>STOCK[[#This Row],[Precio Final]]</f>
        <v>35</v>
      </c>
      <c r="I1923" s="82">
        <f>STOCK[[#This Row],[Precio Venta Ideal (x1.5)]]</f>
        <v>18.75</v>
      </c>
      <c r="J1923" s="99">
        <v>1</v>
      </c>
      <c r="K1923" s="80">
        <f>SUMIFS(VENTAS[Cantidad],VENTAS[Código del producto Vendido],STOCK[[#This Row],[Code]])</f>
        <v>0</v>
      </c>
      <c r="L1923" s="80">
        <f>STOCK[[#This Row],[Entradas]]-STOCK[[#This Row],[Salidas]]</f>
        <v>1</v>
      </c>
      <c r="M1923" s="77">
        <f>STOCK[[#This Row],[Precio Final]]*10%</f>
        <v>3.5</v>
      </c>
      <c r="N1923" s="54">
        <v>0</v>
      </c>
      <c r="O1923" s="77">
        <v>0</v>
      </c>
      <c r="P1923" s="77">
        <v>9</v>
      </c>
      <c r="Q1923" s="77">
        <v>0</v>
      </c>
      <c r="R1923" s="80">
        <v>0</v>
      </c>
      <c r="S1923" s="77">
        <v>0</v>
      </c>
      <c r="T1923" s="77">
        <f>STOCK[[#This Row],[Costo Unitario (USD)]]+STOCK[[#This Row],[Costo Envío (USD)]]+STOCK[[#This Row],[Comisión 10%]]</f>
        <v>12.5</v>
      </c>
      <c r="U1923" s="53">
        <f>STOCK[[#This Row],[Costo total]]*1.5</f>
        <v>18.75</v>
      </c>
      <c r="V1923" s="53">
        <v>35</v>
      </c>
      <c r="W1923" s="77">
        <f>STOCK[[#This Row],[Precio Final]]-STOCK[[#This Row],[Costo total]]</f>
        <v>22.5</v>
      </c>
      <c r="X1923" s="77">
        <f>STOCK[[#This Row],[Ganancia Unitaria]]*STOCK[[#This Row],[Salidas]]</f>
        <v>0</v>
      </c>
      <c r="Y1923" s="77"/>
      <c r="Z1923" s="90"/>
      <c r="AA1923" s="54"/>
      <c r="AB1923" s="54"/>
      <c r="AC1923" s="77"/>
      <c r="AD1923" s="98"/>
    </row>
    <row r="1924" s="53" customFormat="1" ht="50" customHeight="1" spans="1:30">
      <c r="A1924" s="99" t="s">
        <v>3806</v>
      </c>
      <c r="B1924" s="85"/>
      <c r="C1924" s="53" t="s">
        <v>32</v>
      </c>
      <c r="D1924" s="86" t="s">
        <v>749</v>
      </c>
      <c r="E1924" s="100" t="s">
        <v>3807</v>
      </c>
      <c r="F1924" s="99" t="s">
        <v>42</v>
      </c>
      <c r="G1924" s="77"/>
      <c r="H1924" s="77">
        <f>STOCK[[#This Row],[Precio Final]]</f>
        <v>35</v>
      </c>
      <c r="I1924" s="82">
        <f>STOCK[[#This Row],[Precio Venta Ideal (x1.5)]]</f>
        <v>18.75</v>
      </c>
      <c r="J1924" s="99">
        <v>1</v>
      </c>
      <c r="K1924" s="80">
        <f>SUMIFS(VENTAS[Cantidad],VENTAS[Código del producto Vendido],STOCK[[#This Row],[Code]])</f>
        <v>0</v>
      </c>
      <c r="L1924" s="80">
        <f>STOCK[[#This Row],[Entradas]]-STOCK[[#This Row],[Salidas]]</f>
        <v>1</v>
      </c>
      <c r="M1924" s="77">
        <f>STOCK[[#This Row],[Precio Final]]*10%</f>
        <v>3.5</v>
      </c>
      <c r="N1924" s="54">
        <v>0</v>
      </c>
      <c r="O1924" s="77">
        <v>0</v>
      </c>
      <c r="P1924" s="77">
        <v>9</v>
      </c>
      <c r="Q1924" s="77">
        <v>0</v>
      </c>
      <c r="R1924" s="80">
        <v>0</v>
      </c>
      <c r="S1924" s="77">
        <v>0</v>
      </c>
      <c r="T1924" s="77">
        <f>STOCK[[#This Row],[Costo Unitario (USD)]]+STOCK[[#This Row],[Costo Envío (USD)]]+STOCK[[#This Row],[Comisión 10%]]</f>
        <v>12.5</v>
      </c>
      <c r="U1924" s="53">
        <f>STOCK[[#This Row],[Costo total]]*1.5</f>
        <v>18.75</v>
      </c>
      <c r="V1924" s="53">
        <v>35</v>
      </c>
      <c r="W1924" s="77">
        <f>STOCK[[#This Row],[Precio Final]]-STOCK[[#This Row],[Costo total]]</f>
        <v>22.5</v>
      </c>
      <c r="X1924" s="77">
        <f>STOCK[[#This Row],[Ganancia Unitaria]]*STOCK[[#This Row],[Salidas]]</f>
        <v>0</v>
      </c>
      <c r="Y1924" s="77"/>
      <c r="Z1924" s="90"/>
      <c r="AA1924" s="54"/>
      <c r="AB1924" s="54"/>
      <c r="AC1924" s="77"/>
      <c r="AD1924" s="98"/>
    </row>
    <row r="1925" s="53" customFormat="1" ht="50" customHeight="1" spans="1:30">
      <c r="A1925" s="99" t="s">
        <v>3808</v>
      </c>
      <c r="B1925" s="85"/>
      <c r="C1925" s="53" t="s">
        <v>32</v>
      </c>
      <c r="D1925" s="86" t="s">
        <v>749</v>
      </c>
      <c r="E1925" s="100" t="s">
        <v>3809</v>
      </c>
      <c r="F1925" s="99" t="s">
        <v>46</v>
      </c>
      <c r="G1925" s="77"/>
      <c r="H1925" s="77">
        <f>STOCK[[#This Row],[Precio Final]]</f>
        <v>35</v>
      </c>
      <c r="I1925" s="82">
        <f>STOCK[[#This Row],[Precio Venta Ideal (x1.5)]]</f>
        <v>18.75</v>
      </c>
      <c r="J1925" s="99">
        <v>1</v>
      </c>
      <c r="K1925" s="80">
        <f>SUMIFS(VENTAS[Cantidad],VENTAS[Código del producto Vendido],STOCK[[#This Row],[Code]])</f>
        <v>0</v>
      </c>
      <c r="L1925" s="80">
        <f>STOCK[[#This Row],[Entradas]]-STOCK[[#This Row],[Salidas]]</f>
        <v>1</v>
      </c>
      <c r="M1925" s="77">
        <f>STOCK[[#This Row],[Precio Final]]*10%</f>
        <v>3.5</v>
      </c>
      <c r="N1925" s="54">
        <v>0</v>
      </c>
      <c r="O1925" s="77">
        <v>0</v>
      </c>
      <c r="P1925" s="77">
        <v>9</v>
      </c>
      <c r="Q1925" s="77">
        <v>0</v>
      </c>
      <c r="R1925" s="80">
        <v>0</v>
      </c>
      <c r="S1925" s="77">
        <v>0</v>
      </c>
      <c r="T1925" s="77">
        <f>STOCK[[#This Row],[Costo Unitario (USD)]]+STOCK[[#This Row],[Costo Envío (USD)]]+STOCK[[#This Row],[Comisión 10%]]</f>
        <v>12.5</v>
      </c>
      <c r="U1925" s="53">
        <f>STOCK[[#This Row],[Costo total]]*1.5</f>
        <v>18.75</v>
      </c>
      <c r="V1925" s="53">
        <v>35</v>
      </c>
      <c r="W1925" s="77">
        <f>STOCK[[#This Row],[Precio Final]]-STOCK[[#This Row],[Costo total]]</f>
        <v>22.5</v>
      </c>
      <c r="X1925" s="77">
        <f>STOCK[[#This Row],[Ganancia Unitaria]]*STOCK[[#This Row],[Salidas]]</f>
        <v>0</v>
      </c>
      <c r="Y1925" s="77"/>
      <c r="Z1925" s="90"/>
      <c r="AA1925" s="54"/>
      <c r="AB1925" s="54"/>
      <c r="AC1925" s="77"/>
      <c r="AD1925" s="98"/>
    </row>
    <row r="1926" s="53" customFormat="1" ht="50" customHeight="1" spans="1:30">
      <c r="A1926" s="99" t="s">
        <v>3810</v>
      </c>
      <c r="B1926" s="85"/>
      <c r="C1926" s="53" t="s">
        <v>32</v>
      </c>
      <c r="D1926" s="86" t="s">
        <v>749</v>
      </c>
      <c r="E1926" s="100" t="s">
        <v>3811</v>
      </c>
      <c r="F1926" s="99" t="s">
        <v>46</v>
      </c>
      <c r="G1926" s="77"/>
      <c r="H1926" s="77">
        <f>STOCK[[#This Row],[Precio Final]]</f>
        <v>35</v>
      </c>
      <c r="I1926" s="82">
        <f>STOCK[[#This Row],[Precio Venta Ideal (x1.5)]]</f>
        <v>18.75</v>
      </c>
      <c r="J1926" s="99">
        <v>1</v>
      </c>
      <c r="K1926" s="80">
        <f>SUMIFS(VENTAS[Cantidad],VENTAS[Código del producto Vendido],STOCK[[#This Row],[Code]])</f>
        <v>0</v>
      </c>
      <c r="L1926" s="80">
        <f>STOCK[[#This Row],[Entradas]]-STOCK[[#This Row],[Salidas]]</f>
        <v>1</v>
      </c>
      <c r="M1926" s="77">
        <f>STOCK[[#This Row],[Precio Final]]*10%</f>
        <v>3.5</v>
      </c>
      <c r="N1926" s="54">
        <v>0</v>
      </c>
      <c r="O1926" s="77">
        <v>0</v>
      </c>
      <c r="P1926" s="77">
        <v>9</v>
      </c>
      <c r="Q1926" s="77">
        <v>0</v>
      </c>
      <c r="R1926" s="80">
        <v>0</v>
      </c>
      <c r="S1926" s="77">
        <v>0</v>
      </c>
      <c r="T1926" s="77">
        <f>STOCK[[#This Row],[Costo Unitario (USD)]]+STOCK[[#This Row],[Costo Envío (USD)]]+STOCK[[#This Row],[Comisión 10%]]</f>
        <v>12.5</v>
      </c>
      <c r="U1926" s="53">
        <f>STOCK[[#This Row],[Costo total]]*1.5</f>
        <v>18.75</v>
      </c>
      <c r="V1926" s="53">
        <v>35</v>
      </c>
      <c r="W1926" s="77">
        <f>STOCK[[#This Row],[Precio Final]]-STOCK[[#This Row],[Costo total]]</f>
        <v>22.5</v>
      </c>
      <c r="X1926" s="77">
        <f>STOCK[[#This Row],[Ganancia Unitaria]]*STOCK[[#This Row],[Salidas]]</f>
        <v>0</v>
      </c>
      <c r="Y1926" s="77"/>
      <c r="Z1926" s="90"/>
      <c r="AA1926" s="54"/>
      <c r="AB1926" s="54"/>
      <c r="AC1926" s="77"/>
      <c r="AD1926" s="98"/>
    </row>
    <row r="1927" s="53" customFormat="1" ht="50" customHeight="1" spans="1:30">
      <c r="A1927" s="99" t="s">
        <v>3812</v>
      </c>
      <c r="B1927" s="85"/>
      <c r="C1927" s="53" t="s">
        <v>32</v>
      </c>
      <c r="D1927" s="86" t="s">
        <v>749</v>
      </c>
      <c r="E1927" s="100" t="s">
        <v>3813</v>
      </c>
      <c r="F1927" s="99" t="s">
        <v>46</v>
      </c>
      <c r="G1927" s="77"/>
      <c r="H1927" s="77">
        <f>STOCK[[#This Row],[Precio Final]]</f>
        <v>35</v>
      </c>
      <c r="I1927" s="82">
        <f>STOCK[[#This Row],[Precio Venta Ideal (x1.5)]]</f>
        <v>18.75</v>
      </c>
      <c r="J1927" s="99">
        <v>1</v>
      </c>
      <c r="K1927" s="80">
        <f>SUMIFS(VENTAS[Cantidad],VENTAS[Código del producto Vendido],STOCK[[#This Row],[Code]])</f>
        <v>0</v>
      </c>
      <c r="L1927" s="80">
        <f>STOCK[[#This Row],[Entradas]]-STOCK[[#This Row],[Salidas]]</f>
        <v>1</v>
      </c>
      <c r="M1927" s="77">
        <f>STOCK[[#This Row],[Precio Final]]*10%</f>
        <v>3.5</v>
      </c>
      <c r="N1927" s="54">
        <v>0</v>
      </c>
      <c r="O1927" s="77">
        <v>0</v>
      </c>
      <c r="P1927" s="77">
        <v>9</v>
      </c>
      <c r="Q1927" s="77">
        <v>0</v>
      </c>
      <c r="R1927" s="80">
        <v>0</v>
      </c>
      <c r="S1927" s="77">
        <v>0</v>
      </c>
      <c r="T1927" s="77">
        <f>STOCK[[#This Row],[Costo Unitario (USD)]]+STOCK[[#This Row],[Costo Envío (USD)]]+STOCK[[#This Row],[Comisión 10%]]</f>
        <v>12.5</v>
      </c>
      <c r="U1927" s="53">
        <f>STOCK[[#This Row],[Costo total]]*1.5</f>
        <v>18.75</v>
      </c>
      <c r="V1927" s="53">
        <v>35</v>
      </c>
      <c r="W1927" s="77">
        <f>STOCK[[#This Row],[Precio Final]]-STOCK[[#This Row],[Costo total]]</f>
        <v>22.5</v>
      </c>
      <c r="X1927" s="77">
        <f>STOCK[[#This Row],[Ganancia Unitaria]]*STOCK[[#This Row],[Salidas]]</f>
        <v>0</v>
      </c>
      <c r="Y1927" s="77"/>
      <c r="Z1927" s="90"/>
      <c r="AA1927" s="54"/>
      <c r="AB1927" s="54"/>
      <c r="AC1927" s="77"/>
      <c r="AD1927" s="98"/>
    </row>
    <row r="1928" s="53" customFormat="1" ht="50" customHeight="1" spans="1:30">
      <c r="A1928" s="99" t="s">
        <v>3814</v>
      </c>
      <c r="B1928" s="85"/>
      <c r="C1928" s="53" t="s">
        <v>32</v>
      </c>
      <c r="D1928" s="86" t="s">
        <v>749</v>
      </c>
      <c r="E1928" s="100" t="s">
        <v>3815</v>
      </c>
      <c r="F1928" s="99" t="s">
        <v>46</v>
      </c>
      <c r="G1928" s="77"/>
      <c r="H1928" s="77">
        <f>STOCK[[#This Row],[Precio Final]]</f>
        <v>35</v>
      </c>
      <c r="I1928" s="82">
        <f>STOCK[[#This Row],[Precio Venta Ideal (x1.5)]]</f>
        <v>18.75</v>
      </c>
      <c r="J1928" s="99">
        <v>1</v>
      </c>
      <c r="K1928" s="80">
        <f>SUMIFS(VENTAS[Cantidad],VENTAS[Código del producto Vendido],STOCK[[#This Row],[Code]])</f>
        <v>0</v>
      </c>
      <c r="L1928" s="80">
        <f>STOCK[[#This Row],[Entradas]]-STOCK[[#This Row],[Salidas]]</f>
        <v>1</v>
      </c>
      <c r="M1928" s="77">
        <f>STOCK[[#This Row],[Precio Final]]*10%</f>
        <v>3.5</v>
      </c>
      <c r="N1928" s="54">
        <v>0</v>
      </c>
      <c r="O1928" s="77">
        <v>0</v>
      </c>
      <c r="P1928" s="77">
        <v>9</v>
      </c>
      <c r="Q1928" s="77">
        <v>0</v>
      </c>
      <c r="R1928" s="80">
        <v>0</v>
      </c>
      <c r="S1928" s="77">
        <v>0</v>
      </c>
      <c r="T1928" s="77">
        <f>STOCK[[#This Row],[Costo Unitario (USD)]]+STOCK[[#This Row],[Costo Envío (USD)]]+STOCK[[#This Row],[Comisión 10%]]</f>
        <v>12.5</v>
      </c>
      <c r="U1928" s="53">
        <f>STOCK[[#This Row],[Costo total]]*1.5</f>
        <v>18.75</v>
      </c>
      <c r="V1928" s="53">
        <v>35</v>
      </c>
      <c r="W1928" s="77">
        <f>STOCK[[#This Row],[Precio Final]]-STOCK[[#This Row],[Costo total]]</f>
        <v>22.5</v>
      </c>
      <c r="X1928" s="77">
        <f>STOCK[[#This Row],[Ganancia Unitaria]]*STOCK[[#This Row],[Salidas]]</f>
        <v>0</v>
      </c>
      <c r="Y1928" s="77"/>
      <c r="Z1928" s="90"/>
      <c r="AA1928" s="54"/>
      <c r="AB1928" s="54"/>
      <c r="AC1928" s="77"/>
      <c r="AD1928" s="98"/>
    </row>
    <row r="1929" s="53" customFormat="1" ht="50" customHeight="1" spans="1:30">
      <c r="A1929" s="99" t="s">
        <v>3816</v>
      </c>
      <c r="B1929" s="85"/>
      <c r="C1929" s="53" t="s">
        <v>32</v>
      </c>
      <c r="D1929" s="86" t="s">
        <v>1212</v>
      </c>
      <c r="E1929" s="102" t="s">
        <v>3817</v>
      </c>
      <c r="F1929" s="103" t="s">
        <v>40</v>
      </c>
      <c r="G1929" s="77"/>
      <c r="H1929" s="77">
        <f>STOCK[[#This Row],[Precio Final]]</f>
        <v>30</v>
      </c>
      <c r="I1929" s="82">
        <f>STOCK[[#This Row],[Precio Venta Ideal (x1.5)]]</f>
        <v>27.945</v>
      </c>
      <c r="J1929" s="109">
        <v>3</v>
      </c>
      <c r="K1929" s="80">
        <f>SUMIFS(VENTAS[Cantidad],VENTAS[Código del producto Vendido],STOCK[[#This Row],[Code]])</f>
        <v>0</v>
      </c>
      <c r="L1929" s="80">
        <f>STOCK[[#This Row],[Entradas]]-STOCK[[#This Row],[Salidas]]</f>
        <v>3</v>
      </c>
      <c r="M1929" s="77">
        <f>STOCK[[#This Row],[Precio Final]]*10%</f>
        <v>3</v>
      </c>
      <c r="N1929" s="54">
        <v>0</v>
      </c>
      <c r="O1929" s="77">
        <v>0</v>
      </c>
      <c r="P1929" s="111">
        <v>10.63</v>
      </c>
      <c r="Q1929" s="77">
        <v>0</v>
      </c>
      <c r="R1929" s="80">
        <v>0</v>
      </c>
      <c r="S1929" s="115">
        <v>5</v>
      </c>
      <c r="T1929" s="77">
        <f>STOCK[[#This Row],[Costo Unitario (USD)]]+STOCK[[#This Row],[Costo Envío (USD)]]+STOCK[[#This Row],[Comisión 10%]]</f>
        <v>18.63</v>
      </c>
      <c r="U1929" s="53">
        <f>STOCK[[#This Row],[Costo total]]*1.5</f>
        <v>27.945</v>
      </c>
      <c r="V1929" s="53">
        <v>30</v>
      </c>
      <c r="W1929" s="77">
        <f>STOCK[[#This Row],[Precio Final]]-STOCK[[#This Row],[Costo total]]</f>
        <v>11.37</v>
      </c>
      <c r="X1929" s="77">
        <f>STOCK[[#This Row],[Ganancia Unitaria]]*STOCK[[#This Row],[Salidas]]</f>
        <v>0</v>
      </c>
      <c r="Y1929" s="77"/>
      <c r="Z1929" s="90"/>
      <c r="AA1929" s="54"/>
      <c r="AB1929" s="54"/>
      <c r="AC1929" s="77"/>
      <c r="AD1929" s="98"/>
    </row>
    <row r="1930" s="53" customFormat="1" ht="50" customHeight="1" spans="1:30">
      <c r="A1930" s="99" t="s">
        <v>3818</v>
      </c>
      <c r="B1930" s="85"/>
      <c r="C1930" s="53" t="s">
        <v>32</v>
      </c>
      <c r="D1930" s="86" t="s">
        <v>1212</v>
      </c>
      <c r="E1930" s="102" t="s">
        <v>3817</v>
      </c>
      <c r="F1930" s="103" t="s">
        <v>62</v>
      </c>
      <c r="G1930" s="77"/>
      <c r="H1930" s="77">
        <f>STOCK[[#This Row],[Precio Final]]</f>
        <v>30</v>
      </c>
      <c r="I1930" s="82">
        <f>STOCK[[#This Row],[Precio Venta Ideal (x1.5)]]</f>
        <v>27.945</v>
      </c>
      <c r="J1930" s="109">
        <v>4</v>
      </c>
      <c r="K1930" s="80">
        <f>SUMIFS(VENTAS[Cantidad],VENTAS[Código del producto Vendido],STOCK[[#This Row],[Code]])</f>
        <v>0</v>
      </c>
      <c r="L1930" s="80">
        <f>STOCK[[#This Row],[Entradas]]-STOCK[[#This Row],[Salidas]]</f>
        <v>4</v>
      </c>
      <c r="M1930" s="77">
        <f>STOCK[[#This Row],[Precio Final]]*10%</f>
        <v>3</v>
      </c>
      <c r="N1930" s="54">
        <v>0</v>
      </c>
      <c r="O1930" s="77">
        <v>0</v>
      </c>
      <c r="P1930" s="111">
        <v>10.63</v>
      </c>
      <c r="Q1930" s="77">
        <v>0</v>
      </c>
      <c r="R1930" s="80">
        <v>0</v>
      </c>
      <c r="S1930" s="116">
        <v>5</v>
      </c>
      <c r="T1930" s="77">
        <f>STOCK[[#This Row],[Costo Unitario (USD)]]+STOCK[[#This Row],[Costo Envío (USD)]]+STOCK[[#This Row],[Comisión 10%]]</f>
        <v>18.63</v>
      </c>
      <c r="U1930" s="53">
        <f>STOCK[[#This Row],[Costo total]]*1.5</f>
        <v>27.945</v>
      </c>
      <c r="V1930" s="53">
        <v>30</v>
      </c>
      <c r="W1930" s="77">
        <f>STOCK[[#This Row],[Precio Final]]-STOCK[[#This Row],[Costo total]]</f>
        <v>11.37</v>
      </c>
      <c r="X1930" s="77">
        <f>STOCK[[#This Row],[Ganancia Unitaria]]*STOCK[[#This Row],[Salidas]]</f>
        <v>0</v>
      </c>
      <c r="Y1930" s="77"/>
      <c r="Z1930" s="90"/>
      <c r="AA1930" s="54"/>
      <c r="AB1930" s="54"/>
      <c r="AC1930" s="77"/>
      <c r="AD1930" s="98"/>
    </row>
    <row r="1931" s="53" customFormat="1" ht="50" customHeight="1" spans="1:30">
      <c r="A1931" s="99" t="s">
        <v>3819</v>
      </c>
      <c r="B1931" s="85"/>
      <c r="C1931" s="53" t="s">
        <v>32</v>
      </c>
      <c r="D1931" s="86" t="s">
        <v>1212</v>
      </c>
      <c r="E1931" s="102" t="s">
        <v>3817</v>
      </c>
      <c r="F1931" s="103" t="s">
        <v>49</v>
      </c>
      <c r="G1931" s="77"/>
      <c r="H1931" s="77">
        <f>STOCK[[#This Row],[Precio Final]]</f>
        <v>30</v>
      </c>
      <c r="I1931" s="82">
        <f>STOCK[[#This Row],[Precio Venta Ideal (x1.5)]]</f>
        <v>27.945</v>
      </c>
      <c r="J1931" s="109">
        <v>4</v>
      </c>
      <c r="K1931" s="80">
        <f>SUMIFS(VENTAS[Cantidad],VENTAS[Código del producto Vendido],STOCK[[#This Row],[Code]])</f>
        <v>0</v>
      </c>
      <c r="L1931" s="80">
        <f>STOCK[[#This Row],[Entradas]]-STOCK[[#This Row],[Salidas]]</f>
        <v>4</v>
      </c>
      <c r="M1931" s="77">
        <f>STOCK[[#This Row],[Precio Final]]*10%</f>
        <v>3</v>
      </c>
      <c r="N1931" s="54">
        <v>0</v>
      </c>
      <c r="O1931" s="77">
        <v>0</v>
      </c>
      <c r="P1931" s="111">
        <v>10.63</v>
      </c>
      <c r="Q1931" s="77">
        <v>0</v>
      </c>
      <c r="R1931" s="80">
        <v>0</v>
      </c>
      <c r="S1931" s="115">
        <v>5</v>
      </c>
      <c r="T1931" s="77">
        <f>STOCK[[#This Row],[Costo Unitario (USD)]]+STOCK[[#This Row],[Costo Envío (USD)]]+STOCK[[#This Row],[Comisión 10%]]</f>
        <v>18.63</v>
      </c>
      <c r="U1931" s="53">
        <f>STOCK[[#This Row],[Costo total]]*1.5</f>
        <v>27.945</v>
      </c>
      <c r="V1931" s="53">
        <v>30</v>
      </c>
      <c r="W1931" s="77">
        <f>STOCK[[#This Row],[Precio Final]]-STOCK[[#This Row],[Costo total]]</f>
        <v>11.37</v>
      </c>
      <c r="X1931" s="77">
        <f>STOCK[[#This Row],[Ganancia Unitaria]]*STOCK[[#This Row],[Salidas]]</f>
        <v>0</v>
      </c>
      <c r="Y1931" s="77"/>
      <c r="Z1931" s="90"/>
      <c r="AA1931" s="54"/>
      <c r="AB1931" s="54"/>
      <c r="AC1931" s="77"/>
      <c r="AD1931" s="98"/>
    </row>
    <row r="1932" s="53" customFormat="1" ht="50" customHeight="1" spans="1:30">
      <c r="A1932" s="99" t="s">
        <v>3820</v>
      </c>
      <c r="B1932" s="85"/>
      <c r="C1932" s="53" t="s">
        <v>32</v>
      </c>
      <c r="D1932" s="86" t="s">
        <v>1212</v>
      </c>
      <c r="E1932" s="102" t="s">
        <v>3817</v>
      </c>
      <c r="F1932" s="103" t="s">
        <v>46</v>
      </c>
      <c r="G1932" s="77"/>
      <c r="H1932" s="77">
        <f>STOCK[[#This Row],[Precio Final]]</f>
        <v>30</v>
      </c>
      <c r="I1932" s="82">
        <f>STOCK[[#This Row],[Precio Venta Ideal (x1.5)]]</f>
        <v>27.945</v>
      </c>
      <c r="J1932" s="109">
        <v>4</v>
      </c>
      <c r="K1932" s="80">
        <f>SUMIFS(VENTAS[Cantidad],VENTAS[Código del producto Vendido],STOCK[[#This Row],[Code]])</f>
        <v>0</v>
      </c>
      <c r="L1932" s="80">
        <f>STOCK[[#This Row],[Entradas]]-STOCK[[#This Row],[Salidas]]</f>
        <v>4</v>
      </c>
      <c r="M1932" s="77">
        <f>STOCK[[#This Row],[Precio Final]]*10%</f>
        <v>3</v>
      </c>
      <c r="N1932" s="54">
        <v>0</v>
      </c>
      <c r="O1932" s="77">
        <v>0</v>
      </c>
      <c r="P1932" s="111">
        <v>10.63</v>
      </c>
      <c r="Q1932" s="77">
        <v>0</v>
      </c>
      <c r="R1932" s="80">
        <v>0</v>
      </c>
      <c r="S1932" s="116">
        <v>5</v>
      </c>
      <c r="T1932" s="77">
        <f>STOCK[[#This Row],[Costo Unitario (USD)]]+STOCK[[#This Row],[Costo Envío (USD)]]+STOCK[[#This Row],[Comisión 10%]]</f>
        <v>18.63</v>
      </c>
      <c r="U1932" s="53">
        <f>STOCK[[#This Row],[Costo total]]*1.5</f>
        <v>27.945</v>
      </c>
      <c r="V1932" s="53">
        <v>30</v>
      </c>
      <c r="W1932" s="77">
        <f>STOCK[[#This Row],[Precio Final]]-STOCK[[#This Row],[Costo total]]</f>
        <v>11.37</v>
      </c>
      <c r="X1932" s="77">
        <f>STOCK[[#This Row],[Ganancia Unitaria]]*STOCK[[#This Row],[Salidas]]</f>
        <v>0</v>
      </c>
      <c r="Y1932" s="77"/>
      <c r="Z1932" s="90"/>
      <c r="AA1932" s="54"/>
      <c r="AB1932" s="54"/>
      <c r="AC1932" s="77"/>
      <c r="AD1932" s="98"/>
    </row>
    <row r="1933" s="53" customFormat="1" ht="50" customHeight="1" spans="1:30">
      <c r="A1933" s="99" t="s">
        <v>3821</v>
      </c>
      <c r="B1933" s="85"/>
      <c r="C1933" s="53" t="s">
        <v>32</v>
      </c>
      <c r="D1933" s="86" t="s">
        <v>1212</v>
      </c>
      <c r="E1933" s="102" t="s">
        <v>3822</v>
      </c>
      <c r="F1933" s="103" t="s">
        <v>40</v>
      </c>
      <c r="G1933" s="77"/>
      <c r="H1933" s="77">
        <f>STOCK[[#This Row],[Precio Final]]</f>
        <v>30</v>
      </c>
      <c r="I1933" s="82">
        <f>STOCK[[#This Row],[Precio Venta Ideal (x1.5)]]</f>
        <v>29.445</v>
      </c>
      <c r="J1933" s="109">
        <v>4</v>
      </c>
      <c r="K1933" s="80">
        <f>SUMIFS(VENTAS[Cantidad],VENTAS[Código del producto Vendido],STOCK[[#This Row],[Code]])</f>
        <v>0</v>
      </c>
      <c r="L1933" s="80">
        <f>STOCK[[#This Row],[Entradas]]-STOCK[[#This Row],[Salidas]]</f>
        <v>4</v>
      </c>
      <c r="M1933" s="77">
        <f>STOCK[[#This Row],[Precio Final]]*10%</f>
        <v>3</v>
      </c>
      <c r="N1933" s="54">
        <v>0</v>
      </c>
      <c r="O1933" s="77">
        <v>0</v>
      </c>
      <c r="P1933" s="111">
        <v>11.63</v>
      </c>
      <c r="Q1933" s="77">
        <v>0</v>
      </c>
      <c r="R1933" s="80">
        <v>0</v>
      </c>
      <c r="S1933" s="115">
        <v>5</v>
      </c>
      <c r="T1933" s="77">
        <f>STOCK[[#This Row],[Costo Unitario (USD)]]+STOCK[[#This Row],[Costo Envío (USD)]]+STOCK[[#This Row],[Comisión 10%]]</f>
        <v>19.63</v>
      </c>
      <c r="U1933" s="53">
        <f>STOCK[[#This Row],[Costo total]]*1.5</f>
        <v>29.445</v>
      </c>
      <c r="V1933" s="53">
        <v>30</v>
      </c>
      <c r="W1933" s="77">
        <f>STOCK[[#This Row],[Precio Final]]-STOCK[[#This Row],[Costo total]]</f>
        <v>10.37</v>
      </c>
      <c r="X1933" s="77">
        <f>STOCK[[#This Row],[Ganancia Unitaria]]*STOCK[[#This Row],[Salidas]]</f>
        <v>0</v>
      </c>
      <c r="Y1933" s="77"/>
      <c r="Z1933" s="90"/>
      <c r="AA1933" s="54"/>
      <c r="AB1933" s="54"/>
      <c r="AC1933" s="77"/>
      <c r="AD1933" s="98"/>
    </row>
    <row r="1934" s="53" customFormat="1" ht="50" customHeight="1" spans="1:30">
      <c r="A1934" s="99" t="s">
        <v>3823</v>
      </c>
      <c r="B1934" s="85"/>
      <c r="C1934" s="53" t="s">
        <v>32</v>
      </c>
      <c r="D1934" s="86" t="s">
        <v>1212</v>
      </c>
      <c r="E1934" s="102" t="s">
        <v>3822</v>
      </c>
      <c r="F1934" s="103" t="s">
        <v>62</v>
      </c>
      <c r="G1934" s="77"/>
      <c r="H1934" s="77">
        <f>STOCK[[#This Row],[Precio Final]]</f>
        <v>30</v>
      </c>
      <c r="I1934" s="82">
        <f>STOCK[[#This Row],[Precio Venta Ideal (x1.5)]]</f>
        <v>31.92</v>
      </c>
      <c r="J1934" s="109">
        <v>4</v>
      </c>
      <c r="K1934" s="80">
        <f>SUMIFS(VENTAS[Cantidad],VENTAS[Código del producto Vendido],STOCK[[#This Row],[Code]])</f>
        <v>0</v>
      </c>
      <c r="L1934" s="80">
        <f>STOCK[[#This Row],[Entradas]]-STOCK[[#This Row],[Salidas]]</f>
        <v>4</v>
      </c>
      <c r="M1934" s="77">
        <f>STOCK[[#This Row],[Precio Final]]*10%</f>
        <v>3</v>
      </c>
      <c r="N1934" s="54">
        <v>0</v>
      </c>
      <c r="O1934" s="77">
        <v>0</v>
      </c>
      <c r="P1934" s="111">
        <v>14.28</v>
      </c>
      <c r="Q1934" s="77">
        <v>0</v>
      </c>
      <c r="R1934" s="80">
        <v>0</v>
      </c>
      <c r="S1934" s="116">
        <v>4</v>
      </c>
      <c r="T1934" s="77">
        <f>STOCK[[#This Row],[Costo Unitario (USD)]]+STOCK[[#This Row],[Costo Envío (USD)]]+STOCK[[#This Row],[Comisión 10%]]</f>
        <v>21.28</v>
      </c>
      <c r="U1934" s="53">
        <f>STOCK[[#This Row],[Costo total]]*1.5</f>
        <v>31.92</v>
      </c>
      <c r="V1934" s="53">
        <v>30</v>
      </c>
      <c r="W1934" s="77">
        <f>STOCK[[#This Row],[Precio Final]]-STOCK[[#This Row],[Costo total]]</f>
        <v>8.72</v>
      </c>
      <c r="X1934" s="77">
        <f>STOCK[[#This Row],[Ganancia Unitaria]]*STOCK[[#This Row],[Salidas]]</f>
        <v>0</v>
      </c>
      <c r="Y1934" s="77"/>
      <c r="Z1934" s="90"/>
      <c r="AA1934" s="54"/>
      <c r="AB1934" s="54"/>
      <c r="AC1934" s="77"/>
      <c r="AD1934" s="98"/>
    </row>
    <row r="1935" s="53" customFormat="1" ht="50" customHeight="1" spans="1:30">
      <c r="A1935" s="99" t="s">
        <v>3824</v>
      </c>
      <c r="B1935" s="85"/>
      <c r="C1935" s="53" t="s">
        <v>32</v>
      </c>
      <c r="D1935" s="86" t="s">
        <v>1212</v>
      </c>
      <c r="E1935" s="102" t="s">
        <v>3822</v>
      </c>
      <c r="F1935" s="103" t="s">
        <v>49</v>
      </c>
      <c r="G1935" s="77"/>
      <c r="H1935" s="77">
        <f>STOCK[[#This Row],[Precio Final]]</f>
        <v>30</v>
      </c>
      <c r="I1935" s="82">
        <f>STOCK[[#This Row],[Precio Venta Ideal (x1.5)]]</f>
        <v>31.92</v>
      </c>
      <c r="J1935" s="109">
        <v>4</v>
      </c>
      <c r="K1935" s="80">
        <f>SUMIFS(VENTAS[Cantidad],VENTAS[Código del producto Vendido],STOCK[[#This Row],[Code]])</f>
        <v>0</v>
      </c>
      <c r="L1935" s="80">
        <f>STOCK[[#This Row],[Entradas]]-STOCK[[#This Row],[Salidas]]</f>
        <v>4</v>
      </c>
      <c r="M1935" s="77">
        <f>STOCK[[#This Row],[Precio Final]]*10%</f>
        <v>3</v>
      </c>
      <c r="N1935" s="54">
        <v>0</v>
      </c>
      <c r="O1935" s="77">
        <v>0</v>
      </c>
      <c r="P1935" s="111">
        <v>14.28</v>
      </c>
      <c r="Q1935" s="77">
        <v>0</v>
      </c>
      <c r="R1935" s="80">
        <v>0</v>
      </c>
      <c r="S1935" s="115">
        <v>4</v>
      </c>
      <c r="T1935" s="77">
        <f>STOCK[[#This Row],[Costo Unitario (USD)]]+STOCK[[#This Row],[Costo Envío (USD)]]+STOCK[[#This Row],[Comisión 10%]]</f>
        <v>21.28</v>
      </c>
      <c r="U1935" s="53">
        <f>STOCK[[#This Row],[Costo total]]*1.5</f>
        <v>31.92</v>
      </c>
      <c r="V1935" s="53">
        <v>30</v>
      </c>
      <c r="W1935" s="77">
        <f>STOCK[[#This Row],[Precio Final]]-STOCK[[#This Row],[Costo total]]</f>
        <v>8.72</v>
      </c>
      <c r="X1935" s="77">
        <f>STOCK[[#This Row],[Ganancia Unitaria]]*STOCK[[#This Row],[Salidas]]</f>
        <v>0</v>
      </c>
      <c r="Y1935" s="77"/>
      <c r="Z1935" s="90"/>
      <c r="AA1935" s="54"/>
      <c r="AB1935" s="54"/>
      <c r="AC1935" s="77"/>
      <c r="AD1935" s="98"/>
    </row>
    <row r="1936" s="53" customFormat="1" ht="50" customHeight="1" spans="1:30">
      <c r="A1936" s="99" t="s">
        <v>3825</v>
      </c>
      <c r="B1936" s="85"/>
      <c r="C1936" s="53" t="s">
        <v>32</v>
      </c>
      <c r="D1936" s="86" t="s">
        <v>2137</v>
      </c>
      <c r="E1936" s="102" t="s">
        <v>3822</v>
      </c>
      <c r="F1936" s="103" t="s">
        <v>46</v>
      </c>
      <c r="G1936" s="77"/>
      <c r="H1936" s="77">
        <f>STOCK[[#This Row],[Precio Final]]</f>
        <v>30</v>
      </c>
      <c r="I1936" s="82">
        <f>STOCK[[#This Row],[Precio Venta Ideal (x1.5)]]</f>
        <v>30.42</v>
      </c>
      <c r="J1936" s="109">
        <v>4</v>
      </c>
      <c r="K1936" s="80">
        <f>SUMIFS(VENTAS[Cantidad],VENTAS[Código del producto Vendido],STOCK[[#This Row],[Code]])</f>
        <v>0</v>
      </c>
      <c r="L1936" s="80">
        <f>STOCK[[#This Row],[Entradas]]-STOCK[[#This Row],[Salidas]]</f>
        <v>4</v>
      </c>
      <c r="M1936" s="77">
        <f>STOCK[[#This Row],[Precio Final]]*10%</f>
        <v>3</v>
      </c>
      <c r="N1936" s="54">
        <v>0</v>
      </c>
      <c r="O1936" s="77">
        <v>0</v>
      </c>
      <c r="P1936" s="111">
        <v>14.28</v>
      </c>
      <c r="Q1936" s="77">
        <v>0</v>
      </c>
      <c r="R1936" s="80">
        <v>0</v>
      </c>
      <c r="S1936" s="116">
        <v>3</v>
      </c>
      <c r="T1936" s="77">
        <f>STOCK[[#This Row],[Costo Unitario (USD)]]+STOCK[[#This Row],[Costo Envío (USD)]]+STOCK[[#This Row],[Comisión 10%]]</f>
        <v>20.28</v>
      </c>
      <c r="U1936" s="53">
        <f>STOCK[[#This Row],[Costo total]]*1.5</f>
        <v>30.42</v>
      </c>
      <c r="V1936" s="53">
        <v>30</v>
      </c>
      <c r="W1936" s="77">
        <f>STOCK[[#This Row],[Precio Final]]-STOCK[[#This Row],[Costo total]]</f>
        <v>9.72</v>
      </c>
      <c r="X1936" s="77">
        <f>STOCK[[#This Row],[Ganancia Unitaria]]*STOCK[[#This Row],[Salidas]]</f>
        <v>0</v>
      </c>
      <c r="Y1936" s="77"/>
      <c r="Z1936" s="90"/>
      <c r="AA1936" s="54"/>
      <c r="AB1936" s="54"/>
      <c r="AC1936" s="77"/>
      <c r="AD1936" s="98"/>
    </row>
    <row r="1937" s="53" customFormat="1" ht="50" customHeight="1" spans="1:30">
      <c r="A1937" s="99" t="s">
        <v>3826</v>
      </c>
      <c r="B1937" s="85"/>
      <c r="C1937" s="53" t="s">
        <v>32</v>
      </c>
      <c r="D1937" s="86" t="s">
        <v>1190</v>
      </c>
      <c r="E1937" s="104" t="s">
        <v>3827</v>
      </c>
      <c r="F1937" s="105" t="s">
        <v>40</v>
      </c>
      <c r="G1937" s="77"/>
      <c r="H1937" s="77">
        <f>STOCK[[#This Row],[Precio Final]]</f>
        <v>30</v>
      </c>
      <c r="I1937" s="82">
        <f>STOCK[[#This Row],[Precio Venta Ideal (x1.5)]]</f>
        <v>29.535</v>
      </c>
      <c r="J1937" s="110">
        <v>5</v>
      </c>
      <c r="K1937" s="80">
        <f>SUMIFS(VENTAS[Cantidad],VENTAS[Código del producto Vendido],STOCK[[#This Row],[Code]])</f>
        <v>0</v>
      </c>
      <c r="L1937" s="80">
        <f>STOCK[[#This Row],[Entradas]]-STOCK[[#This Row],[Salidas]]</f>
        <v>5</v>
      </c>
      <c r="M1937" s="77">
        <f>STOCK[[#This Row],[Precio Final]]*10%</f>
        <v>3</v>
      </c>
      <c r="N1937" s="54">
        <v>0</v>
      </c>
      <c r="O1937" s="77">
        <v>0</v>
      </c>
      <c r="P1937" s="112">
        <v>13.69</v>
      </c>
      <c r="Q1937" s="77">
        <v>0</v>
      </c>
      <c r="R1937" s="80">
        <v>0</v>
      </c>
      <c r="S1937" s="115">
        <v>3</v>
      </c>
      <c r="T1937" s="77">
        <f>STOCK[[#This Row],[Costo Unitario (USD)]]+STOCK[[#This Row],[Costo Envío (USD)]]+STOCK[[#This Row],[Comisión 10%]]</f>
        <v>19.69</v>
      </c>
      <c r="U1937" s="53">
        <f>STOCK[[#This Row],[Costo total]]*1.5</f>
        <v>29.535</v>
      </c>
      <c r="V1937" s="53">
        <v>30</v>
      </c>
      <c r="W1937" s="77">
        <f>STOCK[[#This Row],[Precio Final]]-STOCK[[#This Row],[Costo total]]</f>
        <v>10.31</v>
      </c>
      <c r="X1937" s="77">
        <f>STOCK[[#This Row],[Ganancia Unitaria]]*STOCK[[#This Row],[Salidas]]</f>
        <v>0</v>
      </c>
      <c r="Y1937" s="77"/>
      <c r="Z1937" s="90"/>
      <c r="AA1937" s="54"/>
      <c r="AB1937" s="54"/>
      <c r="AC1937" s="77"/>
      <c r="AD1937" s="98"/>
    </row>
    <row r="1938" s="53" customFormat="1" ht="50" customHeight="1" spans="1:30">
      <c r="A1938" s="99" t="s">
        <v>3828</v>
      </c>
      <c r="B1938" s="85"/>
      <c r="C1938" s="53" t="s">
        <v>32</v>
      </c>
      <c r="D1938" s="86" t="s">
        <v>1190</v>
      </c>
      <c r="E1938" s="104" t="s">
        <v>3827</v>
      </c>
      <c r="F1938" s="106" t="s">
        <v>62</v>
      </c>
      <c r="G1938" s="77"/>
      <c r="H1938" s="77">
        <f>STOCK[[#This Row],[Precio Final]]</f>
        <v>30</v>
      </c>
      <c r="I1938" s="82">
        <f>STOCK[[#This Row],[Precio Venta Ideal (x1.5)]]</f>
        <v>29.535</v>
      </c>
      <c r="J1938" s="109">
        <v>4</v>
      </c>
      <c r="K1938" s="80">
        <f>SUMIFS(VENTAS[Cantidad],VENTAS[Código del producto Vendido],STOCK[[#This Row],[Code]])</f>
        <v>0</v>
      </c>
      <c r="L1938" s="80">
        <f>STOCK[[#This Row],[Entradas]]-STOCK[[#This Row],[Salidas]]</f>
        <v>4</v>
      </c>
      <c r="M1938" s="77">
        <f>STOCK[[#This Row],[Precio Final]]*10%</f>
        <v>3</v>
      </c>
      <c r="N1938" s="54">
        <v>0</v>
      </c>
      <c r="O1938" s="77">
        <v>0</v>
      </c>
      <c r="P1938" s="113">
        <v>13.69</v>
      </c>
      <c r="Q1938" s="77">
        <v>0</v>
      </c>
      <c r="R1938" s="80">
        <v>0</v>
      </c>
      <c r="S1938" s="116">
        <v>3</v>
      </c>
      <c r="T1938" s="77">
        <f>STOCK[[#This Row],[Costo Unitario (USD)]]+STOCK[[#This Row],[Costo Envío (USD)]]+STOCK[[#This Row],[Comisión 10%]]</f>
        <v>19.69</v>
      </c>
      <c r="U1938" s="53">
        <f>STOCK[[#This Row],[Costo total]]*1.5</f>
        <v>29.535</v>
      </c>
      <c r="V1938" s="53">
        <v>30</v>
      </c>
      <c r="W1938" s="77">
        <f>STOCK[[#This Row],[Precio Final]]-STOCK[[#This Row],[Costo total]]</f>
        <v>10.31</v>
      </c>
      <c r="X1938" s="77">
        <f>STOCK[[#This Row],[Ganancia Unitaria]]*STOCK[[#This Row],[Salidas]]</f>
        <v>0</v>
      </c>
      <c r="Y1938" s="77"/>
      <c r="Z1938" s="90"/>
      <c r="AA1938" s="54"/>
      <c r="AB1938" s="54"/>
      <c r="AC1938" s="77"/>
      <c r="AD1938" s="98"/>
    </row>
    <row r="1939" s="53" customFormat="1" ht="50" customHeight="1" spans="1:30">
      <c r="A1939" s="99" t="s">
        <v>3829</v>
      </c>
      <c r="B1939" s="85"/>
      <c r="C1939" s="53" t="s">
        <v>32</v>
      </c>
      <c r="D1939" s="86" t="s">
        <v>1190</v>
      </c>
      <c r="E1939" s="104" t="s">
        <v>3827</v>
      </c>
      <c r="F1939" s="107" t="s">
        <v>49</v>
      </c>
      <c r="G1939" s="77"/>
      <c r="H1939" s="77">
        <f>STOCK[[#This Row],[Precio Final]]</f>
        <v>30</v>
      </c>
      <c r="I1939" s="82">
        <f>STOCK[[#This Row],[Precio Venta Ideal (x1.5)]]</f>
        <v>29.535</v>
      </c>
      <c r="J1939" s="107">
        <v>4</v>
      </c>
      <c r="K1939" s="80">
        <f>SUMIFS(VENTAS[Cantidad],VENTAS[Código del producto Vendido],STOCK[[#This Row],[Code]])</f>
        <v>0</v>
      </c>
      <c r="L1939" s="80">
        <f>STOCK[[#This Row],[Entradas]]-STOCK[[#This Row],[Salidas]]</f>
        <v>4</v>
      </c>
      <c r="M1939" s="77">
        <f>STOCK[[#This Row],[Precio Final]]*10%</f>
        <v>3</v>
      </c>
      <c r="N1939" s="54">
        <v>0</v>
      </c>
      <c r="O1939" s="77">
        <v>0</v>
      </c>
      <c r="P1939" s="114">
        <v>13.69</v>
      </c>
      <c r="Q1939" s="77">
        <v>0</v>
      </c>
      <c r="R1939" s="80">
        <v>0</v>
      </c>
      <c r="S1939" s="115">
        <v>3</v>
      </c>
      <c r="T1939" s="77">
        <f>STOCK[[#This Row],[Costo Unitario (USD)]]+STOCK[[#This Row],[Costo Envío (USD)]]+STOCK[[#This Row],[Comisión 10%]]</f>
        <v>19.69</v>
      </c>
      <c r="U1939" s="53">
        <f>STOCK[[#This Row],[Costo total]]*1.5</f>
        <v>29.535</v>
      </c>
      <c r="V1939" s="53">
        <v>30</v>
      </c>
      <c r="W1939" s="77">
        <f>STOCK[[#This Row],[Precio Final]]-STOCK[[#This Row],[Costo total]]</f>
        <v>10.31</v>
      </c>
      <c r="X1939" s="77">
        <f>STOCK[[#This Row],[Ganancia Unitaria]]*STOCK[[#This Row],[Salidas]]</f>
        <v>0</v>
      </c>
      <c r="Y1939" s="77"/>
      <c r="Z1939" s="90"/>
      <c r="AA1939" s="54"/>
      <c r="AB1939" s="54"/>
      <c r="AC1939" s="77"/>
      <c r="AD1939" s="98"/>
    </row>
    <row r="1940" s="53" customFormat="1" ht="50" customHeight="1" spans="1:30">
      <c r="A1940" s="99" t="s">
        <v>3830</v>
      </c>
      <c r="B1940" s="85"/>
      <c r="C1940" s="53" t="s">
        <v>32</v>
      </c>
      <c r="D1940" s="86" t="s">
        <v>2372</v>
      </c>
      <c r="E1940" s="104" t="s">
        <v>3827</v>
      </c>
      <c r="F1940" s="107" t="s">
        <v>46</v>
      </c>
      <c r="G1940" s="77"/>
      <c r="H1940" s="77">
        <f>STOCK[[#This Row],[Precio Final]]</f>
        <v>30</v>
      </c>
      <c r="I1940" s="82">
        <f>STOCK[[#This Row],[Precio Venta Ideal (x1.5)]]</f>
        <v>29.535</v>
      </c>
      <c r="J1940" s="107">
        <v>4</v>
      </c>
      <c r="K1940" s="80">
        <f>SUMIFS(VENTAS[Cantidad],VENTAS[Código del producto Vendido],STOCK[[#This Row],[Code]])</f>
        <v>0</v>
      </c>
      <c r="L1940" s="80">
        <f>STOCK[[#This Row],[Entradas]]-STOCK[[#This Row],[Salidas]]</f>
        <v>4</v>
      </c>
      <c r="M1940" s="77">
        <f>STOCK[[#This Row],[Precio Final]]*10%</f>
        <v>3</v>
      </c>
      <c r="N1940" s="54">
        <v>0</v>
      </c>
      <c r="O1940" s="77">
        <v>0</v>
      </c>
      <c r="P1940" s="114">
        <v>13.69</v>
      </c>
      <c r="Q1940" s="77">
        <v>0</v>
      </c>
      <c r="R1940" s="80">
        <v>0</v>
      </c>
      <c r="S1940" s="116">
        <v>3</v>
      </c>
      <c r="T1940" s="77">
        <f>STOCK[[#This Row],[Costo Unitario (USD)]]+STOCK[[#This Row],[Costo Envío (USD)]]+STOCK[[#This Row],[Comisión 10%]]</f>
        <v>19.69</v>
      </c>
      <c r="U1940" s="53">
        <f>STOCK[[#This Row],[Costo total]]*1.5</f>
        <v>29.535</v>
      </c>
      <c r="V1940" s="53">
        <v>30</v>
      </c>
      <c r="W1940" s="77">
        <f>STOCK[[#This Row],[Precio Final]]-STOCK[[#This Row],[Costo total]]</f>
        <v>10.31</v>
      </c>
      <c r="X1940" s="77">
        <f>STOCK[[#This Row],[Ganancia Unitaria]]*STOCK[[#This Row],[Salidas]]</f>
        <v>0</v>
      </c>
      <c r="Y1940" s="77"/>
      <c r="Z1940" s="90"/>
      <c r="AA1940" s="54"/>
      <c r="AB1940" s="54"/>
      <c r="AC1940" s="77"/>
      <c r="AD1940" s="98"/>
    </row>
    <row r="1941" s="53" customFormat="1" ht="50" customHeight="1" spans="1:30">
      <c r="A1941" s="99" t="s">
        <v>3831</v>
      </c>
      <c r="B1941" s="85"/>
      <c r="C1941" s="53" t="s">
        <v>32</v>
      </c>
      <c r="D1941" s="86" t="s">
        <v>1190</v>
      </c>
      <c r="E1941" s="104" t="s">
        <v>3832</v>
      </c>
      <c r="F1941" s="107" t="s">
        <v>40</v>
      </c>
      <c r="G1941" s="77"/>
      <c r="H1941" s="77">
        <f>STOCK[[#This Row],[Precio Final]]</f>
        <v>30</v>
      </c>
      <c r="I1941" s="82">
        <f>STOCK[[#This Row],[Precio Venta Ideal (x1.5)]]</f>
        <v>28.68</v>
      </c>
      <c r="J1941" s="107">
        <v>3</v>
      </c>
      <c r="K1941" s="80">
        <f>SUMIFS(VENTAS[Cantidad],VENTAS[Código del producto Vendido],STOCK[[#This Row],[Code]])</f>
        <v>0</v>
      </c>
      <c r="L1941" s="80">
        <f>STOCK[[#This Row],[Entradas]]-STOCK[[#This Row],[Salidas]]</f>
        <v>3</v>
      </c>
      <c r="M1941" s="77">
        <f>STOCK[[#This Row],[Precio Final]]*10%</f>
        <v>3</v>
      </c>
      <c r="N1941" s="54">
        <v>0</v>
      </c>
      <c r="O1941" s="77">
        <v>0</v>
      </c>
      <c r="P1941" s="114">
        <v>13.12</v>
      </c>
      <c r="Q1941" s="77">
        <v>0</v>
      </c>
      <c r="R1941" s="80">
        <v>0</v>
      </c>
      <c r="S1941" s="115">
        <v>3</v>
      </c>
      <c r="T1941" s="77">
        <f>STOCK[[#This Row],[Costo Unitario (USD)]]+STOCK[[#This Row],[Costo Envío (USD)]]+STOCK[[#This Row],[Comisión 10%]]</f>
        <v>19.12</v>
      </c>
      <c r="U1941" s="53">
        <f>STOCK[[#This Row],[Costo total]]*1.5</f>
        <v>28.68</v>
      </c>
      <c r="V1941" s="53">
        <v>30</v>
      </c>
      <c r="W1941" s="77">
        <f>STOCK[[#This Row],[Precio Final]]-STOCK[[#This Row],[Costo total]]</f>
        <v>10.88</v>
      </c>
      <c r="X1941" s="77">
        <f>STOCK[[#This Row],[Ganancia Unitaria]]*STOCK[[#This Row],[Salidas]]</f>
        <v>0</v>
      </c>
      <c r="Y1941" s="77"/>
      <c r="Z1941" s="90"/>
      <c r="AA1941" s="54"/>
      <c r="AB1941" s="54"/>
      <c r="AC1941" s="77"/>
      <c r="AD1941" s="98"/>
    </row>
    <row r="1942" s="53" customFormat="1" ht="50" customHeight="1" spans="1:30">
      <c r="A1942" s="99" t="s">
        <v>3833</v>
      </c>
      <c r="B1942" s="85"/>
      <c r="C1942" s="53" t="s">
        <v>32</v>
      </c>
      <c r="D1942" s="86" t="s">
        <v>1190</v>
      </c>
      <c r="E1942" s="104" t="s">
        <v>3832</v>
      </c>
      <c r="F1942" s="107" t="s">
        <v>49</v>
      </c>
      <c r="G1942" s="77"/>
      <c r="H1942" s="77">
        <f>STOCK[[#This Row],[Precio Final]]</f>
        <v>30</v>
      </c>
      <c r="I1942" s="82">
        <f>STOCK[[#This Row],[Precio Venta Ideal (x1.5)]]</f>
        <v>28.68</v>
      </c>
      <c r="J1942" s="107">
        <v>2</v>
      </c>
      <c r="K1942" s="80">
        <f>SUMIFS(VENTAS[Cantidad],VENTAS[Código del producto Vendido],STOCK[[#This Row],[Code]])</f>
        <v>0</v>
      </c>
      <c r="L1942" s="80">
        <f>STOCK[[#This Row],[Entradas]]-STOCK[[#This Row],[Salidas]]</f>
        <v>2</v>
      </c>
      <c r="M1942" s="77">
        <f>STOCK[[#This Row],[Precio Final]]*10%</f>
        <v>3</v>
      </c>
      <c r="N1942" s="54">
        <v>0</v>
      </c>
      <c r="O1942" s="77">
        <v>0</v>
      </c>
      <c r="P1942" s="114">
        <v>13.12</v>
      </c>
      <c r="Q1942" s="77">
        <v>0</v>
      </c>
      <c r="R1942" s="80">
        <v>0</v>
      </c>
      <c r="S1942" s="116">
        <v>3</v>
      </c>
      <c r="T1942" s="77">
        <f>STOCK[[#This Row],[Costo Unitario (USD)]]+STOCK[[#This Row],[Costo Envío (USD)]]+STOCK[[#This Row],[Comisión 10%]]</f>
        <v>19.12</v>
      </c>
      <c r="U1942" s="53">
        <f>STOCK[[#This Row],[Costo total]]*1.5</f>
        <v>28.68</v>
      </c>
      <c r="V1942" s="53">
        <v>30</v>
      </c>
      <c r="W1942" s="77">
        <f>STOCK[[#This Row],[Precio Final]]-STOCK[[#This Row],[Costo total]]</f>
        <v>10.88</v>
      </c>
      <c r="X1942" s="77">
        <f>STOCK[[#This Row],[Ganancia Unitaria]]*STOCK[[#This Row],[Salidas]]</f>
        <v>0</v>
      </c>
      <c r="Y1942" s="77"/>
      <c r="Z1942" s="90"/>
      <c r="AA1942" s="54"/>
      <c r="AB1942" s="54"/>
      <c r="AC1942" s="77"/>
      <c r="AD1942" s="98"/>
    </row>
    <row r="1943" s="53" customFormat="1" ht="50" customHeight="1" spans="1:30">
      <c r="A1943" s="99" t="s">
        <v>3834</v>
      </c>
      <c r="B1943" s="85"/>
      <c r="C1943" s="53" t="s">
        <v>32</v>
      </c>
      <c r="D1943" s="86" t="s">
        <v>2372</v>
      </c>
      <c r="E1943" s="104" t="s">
        <v>3832</v>
      </c>
      <c r="F1943" s="107" t="s">
        <v>46</v>
      </c>
      <c r="G1943" s="77"/>
      <c r="H1943" s="77">
        <f>STOCK[[#This Row],[Precio Final]]</f>
        <v>30</v>
      </c>
      <c r="I1943" s="82">
        <f>STOCK[[#This Row],[Precio Venta Ideal (x1.5)]]</f>
        <v>28.68</v>
      </c>
      <c r="J1943" s="107">
        <v>3</v>
      </c>
      <c r="K1943" s="80">
        <f>SUMIFS(VENTAS[Cantidad],VENTAS[Código del producto Vendido],STOCK[[#This Row],[Code]])</f>
        <v>0</v>
      </c>
      <c r="L1943" s="80">
        <f>STOCK[[#This Row],[Entradas]]-STOCK[[#This Row],[Salidas]]</f>
        <v>3</v>
      </c>
      <c r="M1943" s="77">
        <f>STOCK[[#This Row],[Precio Final]]*10%</f>
        <v>3</v>
      </c>
      <c r="N1943" s="54">
        <v>0</v>
      </c>
      <c r="O1943" s="77">
        <v>0</v>
      </c>
      <c r="P1943" s="114">
        <v>13.12</v>
      </c>
      <c r="Q1943" s="77">
        <v>0</v>
      </c>
      <c r="R1943" s="80">
        <v>0</v>
      </c>
      <c r="S1943" s="115">
        <v>3</v>
      </c>
      <c r="T1943" s="77">
        <f>STOCK[[#This Row],[Costo Unitario (USD)]]+STOCK[[#This Row],[Costo Envío (USD)]]+STOCK[[#This Row],[Comisión 10%]]</f>
        <v>19.12</v>
      </c>
      <c r="U1943" s="53">
        <f>STOCK[[#This Row],[Costo total]]*1.5</f>
        <v>28.68</v>
      </c>
      <c r="V1943" s="53">
        <v>30</v>
      </c>
      <c r="W1943" s="77">
        <f>STOCK[[#This Row],[Precio Final]]-STOCK[[#This Row],[Costo total]]</f>
        <v>10.88</v>
      </c>
      <c r="X1943" s="77">
        <f>STOCK[[#This Row],[Ganancia Unitaria]]*STOCK[[#This Row],[Salidas]]</f>
        <v>0</v>
      </c>
      <c r="Y1943" s="77"/>
      <c r="Z1943" s="90"/>
      <c r="AA1943" s="54"/>
      <c r="AB1943" s="54"/>
      <c r="AC1943" s="77"/>
      <c r="AD1943" s="98"/>
    </row>
    <row r="1944" s="53" customFormat="1" ht="50" customHeight="1" spans="1:30">
      <c r="A1944" s="99" t="s">
        <v>3835</v>
      </c>
      <c r="B1944" s="85"/>
      <c r="C1944" s="53" t="s">
        <v>32</v>
      </c>
      <c r="D1944" s="86" t="s">
        <v>1190</v>
      </c>
      <c r="E1944" s="108" t="s">
        <v>3836</v>
      </c>
      <c r="F1944" s="107" t="s">
        <v>62</v>
      </c>
      <c r="G1944" s="77"/>
      <c r="H1944" s="77">
        <f>STOCK[[#This Row],[Precio Final]]</f>
        <v>12</v>
      </c>
      <c r="I1944" s="82">
        <f>STOCK[[#This Row],[Precio Venta Ideal (x1.5)]]</f>
        <v>13.485</v>
      </c>
      <c r="J1944" s="107">
        <v>3</v>
      </c>
      <c r="K1944" s="80">
        <f>SUMIFS(VENTAS[Cantidad],VENTAS[Código del producto Vendido],STOCK[[#This Row],[Code]])</f>
        <v>0</v>
      </c>
      <c r="L1944" s="80">
        <f>STOCK[[#This Row],[Entradas]]-STOCK[[#This Row],[Salidas]]</f>
        <v>3</v>
      </c>
      <c r="M1944" s="77">
        <f>STOCK[[#This Row],[Precio Final]]*10%</f>
        <v>1.2</v>
      </c>
      <c r="N1944" s="54">
        <v>0</v>
      </c>
      <c r="O1944" s="77">
        <v>0</v>
      </c>
      <c r="P1944" s="114">
        <v>4.79</v>
      </c>
      <c r="Q1944" s="77">
        <v>0</v>
      </c>
      <c r="R1944" s="80">
        <v>0</v>
      </c>
      <c r="S1944" s="116">
        <v>3</v>
      </c>
      <c r="T1944" s="77">
        <f>STOCK[[#This Row],[Costo Unitario (USD)]]+STOCK[[#This Row],[Costo Envío (USD)]]+STOCK[[#This Row],[Comisión 10%]]</f>
        <v>8.99</v>
      </c>
      <c r="U1944" s="53">
        <f>STOCK[[#This Row],[Costo total]]*1.5</f>
        <v>13.485</v>
      </c>
      <c r="V1944" s="53">
        <v>12</v>
      </c>
      <c r="W1944" s="77">
        <f>STOCK[[#This Row],[Precio Final]]-STOCK[[#This Row],[Costo total]]</f>
        <v>3.01</v>
      </c>
      <c r="X1944" s="77">
        <f>STOCK[[#This Row],[Ganancia Unitaria]]*STOCK[[#This Row],[Salidas]]</f>
        <v>0</v>
      </c>
      <c r="Y1944" s="77"/>
      <c r="Z1944" s="90"/>
      <c r="AA1944" s="54"/>
      <c r="AB1944" s="54"/>
      <c r="AC1944" s="77"/>
      <c r="AD1944" s="98"/>
    </row>
    <row r="1945" s="53" customFormat="1" ht="50" customHeight="1" spans="1:30">
      <c r="A1945" s="99" t="s">
        <v>3837</v>
      </c>
      <c r="B1945" s="85"/>
      <c r="C1945" s="53" t="s">
        <v>32</v>
      </c>
      <c r="D1945" s="86" t="s">
        <v>1190</v>
      </c>
      <c r="E1945" s="108" t="s">
        <v>3836</v>
      </c>
      <c r="F1945" s="107" t="s">
        <v>49</v>
      </c>
      <c r="G1945" s="77"/>
      <c r="H1945" s="77">
        <f>STOCK[[#This Row],[Precio Final]]</f>
        <v>12</v>
      </c>
      <c r="I1945" s="82">
        <f>STOCK[[#This Row],[Precio Venta Ideal (x1.5)]]</f>
        <v>13.485</v>
      </c>
      <c r="J1945" s="107">
        <v>3</v>
      </c>
      <c r="K1945" s="80">
        <f>SUMIFS(VENTAS[Cantidad],VENTAS[Código del producto Vendido],STOCK[[#This Row],[Code]])</f>
        <v>0</v>
      </c>
      <c r="L1945" s="80">
        <f>STOCK[[#This Row],[Entradas]]-STOCK[[#This Row],[Salidas]]</f>
        <v>3</v>
      </c>
      <c r="M1945" s="77">
        <f>STOCK[[#This Row],[Precio Final]]*10%</f>
        <v>1.2</v>
      </c>
      <c r="N1945" s="54">
        <v>0</v>
      </c>
      <c r="O1945" s="77">
        <v>0</v>
      </c>
      <c r="P1945" s="114">
        <v>4.79</v>
      </c>
      <c r="Q1945" s="77">
        <v>0</v>
      </c>
      <c r="R1945" s="80">
        <v>0</v>
      </c>
      <c r="S1945" s="115">
        <v>3</v>
      </c>
      <c r="T1945" s="77">
        <f>STOCK[[#This Row],[Costo Unitario (USD)]]+STOCK[[#This Row],[Costo Envío (USD)]]+STOCK[[#This Row],[Comisión 10%]]</f>
        <v>8.99</v>
      </c>
      <c r="U1945" s="53">
        <f>STOCK[[#This Row],[Costo total]]*1.5</f>
        <v>13.485</v>
      </c>
      <c r="V1945" s="53">
        <v>12</v>
      </c>
      <c r="W1945" s="77">
        <f>STOCK[[#This Row],[Precio Final]]-STOCK[[#This Row],[Costo total]]</f>
        <v>3.01</v>
      </c>
      <c r="X1945" s="77">
        <f>STOCK[[#This Row],[Ganancia Unitaria]]*STOCK[[#This Row],[Salidas]]</f>
        <v>0</v>
      </c>
      <c r="Y1945" s="77"/>
      <c r="Z1945" s="90"/>
      <c r="AA1945" s="54"/>
      <c r="AB1945" s="54"/>
      <c r="AC1945" s="77"/>
      <c r="AD1945" s="98"/>
    </row>
    <row r="1946" s="53" customFormat="1" ht="50" customHeight="1" spans="1:30">
      <c r="A1946" s="99" t="s">
        <v>3838</v>
      </c>
      <c r="B1946" s="85"/>
      <c r="C1946" s="53" t="s">
        <v>32</v>
      </c>
      <c r="D1946" s="86" t="s">
        <v>2372</v>
      </c>
      <c r="E1946" s="108" t="s">
        <v>3836</v>
      </c>
      <c r="F1946" s="107" t="s">
        <v>46</v>
      </c>
      <c r="G1946" s="77"/>
      <c r="H1946" s="77">
        <f>STOCK[[#This Row],[Precio Final]]</f>
        <v>12</v>
      </c>
      <c r="I1946" s="82">
        <f>STOCK[[#This Row],[Precio Venta Ideal (x1.5)]]</f>
        <v>13.485</v>
      </c>
      <c r="J1946" s="107">
        <v>3</v>
      </c>
      <c r="K1946" s="80">
        <f>SUMIFS(VENTAS[Cantidad],VENTAS[Código del producto Vendido],STOCK[[#This Row],[Code]])</f>
        <v>0</v>
      </c>
      <c r="L1946" s="80">
        <f>STOCK[[#This Row],[Entradas]]-STOCK[[#This Row],[Salidas]]</f>
        <v>3</v>
      </c>
      <c r="M1946" s="77">
        <f>STOCK[[#This Row],[Precio Final]]*10%</f>
        <v>1.2</v>
      </c>
      <c r="N1946" s="54">
        <v>0</v>
      </c>
      <c r="O1946" s="77">
        <v>0</v>
      </c>
      <c r="P1946" s="114">
        <v>4.79</v>
      </c>
      <c r="Q1946" s="77">
        <v>0</v>
      </c>
      <c r="R1946" s="80">
        <v>0</v>
      </c>
      <c r="S1946" s="116">
        <v>3</v>
      </c>
      <c r="T1946" s="77">
        <f>STOCK[[#This Row],[Costo Unitario (USD)]]+STOCK[[#This Row],[Costo Envío (USD)]]+STOCK[[#This Row],[Comisión 10%]]</f>
        <v>8.99</v>
      </c>
      <c r="U1946" s="53">
        <f>STOCK[[#This Row],[Costo total]]*1.5</f>
        <v>13.485</v>
      </c>
      <c r="V1946" s="53">
        <v>12</v>
      </c>
      <c r="W1946" s="77">
        <f>STOCK[[#This Row],[Precio Final]]-STOCK[[#This Row],[Costo total]]</f>
        <v>3.01</v>
      </c>
      <c r="X1946" s="77">
        <f>STOCK[[#This Row],[Ganancia Unitaria]]*STOCK[[#This Row],[Salidas]]</f>
        <v>0</v>
      </c>
      <c r="Y1946" s="77"/>
      <c r="Z1946" s="90"/>
      <c r="AA1946" s="54"/>
      <c r="AB1946" s="54"/>
      <c r="AC1946" s="77"/>
      <c r="AD1946" s="98"/>
    </row>
    <row r="1947" s="53" customFormat="1" ht="50" customHeight="1" spans="1:30">
      <c r="A1947" s="99" t="s">
        <v>3839</v>
      </c>
      <c r="B1947" s="85"/>
      <c r="C1947" s="53" t="s">
        <v>32</v>
      </c>
      <c r="D1947" s="86" t="s">
        <v>2372</v>
      </c>
      <c r="E1947" s="108" t="s">
        <v>3836</v>
      </c>
      <c r="F1947" s="107" t="s">
        <v>42</v>
      </c>
      <c r="G1947" s="77"/>
      <c r="H1947" s="77">
        <f>STOCK[[#This Row],[Precio Final]]</f>
        <v>12</v>
      </c>
      <c r="I1947" s="82">
        <f>STOCK[[#This Row],[Precio Venta Ideal (x1.5)]]</f>
        <v>13.485</v>
      </c>
      <c r="J1947" s="107">
        <v>3</v>
      </c>
      <c r="K1947" s="80">
        <f>SUMIFS(VENTAS[Cantidad],VENTAS[Código del producto Vendido],STOCK[[#This Row],[Code]])</f>
        <v>0</v>
      </c>
      <c r="L1947" s="80">
        <f>STOCK[[#This Row],[Entradas]]-STOCK[[#This Row],[Salidas]]</f>
        <v>3</v>
      </c>
      <c r="M1947" s="77">
        <f>STOCK[[#This Row],[Precio Final]]*10%</f>
        <v>1.2</v>
      </c>
      <c r="N1947" s="54">
        <v>0</v>
      </c>
      <c r="O1947" s="77">
        <v>0</v>
      </c>
      <c r="P1947" s="114">
        <v>4.79</v>
      </c>
      <c r="Q1947" s="77">
        <v>0</v>
      </c>
      <c r="R1947" s="80">
        <v>0</v>
      </c>
      <c r="S1947" s="115">
        <v>3</v>
      </c>
      <c r="T1947" s="77">
        <f>STOCK[[#This Row],[Costo Unitario (USD)]]+STOCK[[#This Row],[Costo Envío (USD)]]+STOCK[[#This Row],[Comisión 10%]]</f>
        <v>8.99</v>
      </c>
      <c r="U1947" s="53">
        <f>STOCK[[#This Row],[Costo total]]*1.5</f>
        <v>13.485</v>
      </c>
      <c r="V1947" s="53">
        <v>12</v>
      </c>
      <c r="W1947" s="77">
        <f>STOCK[[#This Row],[Precio Final]]-STOCK[[#This Row],[Costo total]]</f>
        <v>3.01</v>
      </c>
      <c r="X1947" s="77">
        <f>STOCK[[#This Row],[Ganancia Unitaria]]*STOCK[[#This Row],[Salidas]]</f>
        <v>0</v>
      </c>
      <c r="Y1947" s="77"/>
      <c r="Z1947" s="90"/>
      <c r="AA1947" s="54"/>
      <c r="AB1947" s="54"/>
      <c r="AC1947" s="77"/>
      <c r="AD1947" s="98"/>
    </row>
    <row r="1948" s="53" customFormat="1" ht="50" customHeight="1" spans="1:30">
      <c r="A1948" s="99" t="s">
        <v>3840</v>
      </c>
      <c r="B1948" s="85"/>
      <c r="C1948" s="53" t="s">
        <v>32</v>
      </c>
      <c r="D1948" s="86" t="s">
        <v>1212</v>
      </c>
      <c r="E1948" s="108" t="s">
        <v>3841</v>
      </c>
      <c r="F1948" s="107" t="s">
        <v>3842</v>
      </c>
      <c r="G1948" s="77"/>
      <c r="H1948" s="77">
        <f>STOCK[[#This Row],[Precio Final]]</f>
        <v>35</v>
      </c>
      <c r="I1948" s="82">
        <f>STOCK[[#This Row],[Precio Venta Ideal (x1.5)]]</f>
        <v>36.48</v>
      </c>
      <c r="J1948" s="107">
        <v>3</v>
      </c>
      <c r="K1948" s="80">
        <f>SUMIFS(VENTAS[Cantidad],VENTAS[Código del producto Vendido],STOCK[[#This Row],[Code]])</f>
        <v>0</v>
      </c>
      <c r="L1948" s="80">
        <f>STOCK[[#This Row],[Entradas]]-STOCK[[#This Row],[Salidas]]</f>
        <v>3</v>
      </c>
      <c r="M1948" s="77">
        <f>STOCK[[#This Row],[Precio Final]]*10%</f>
        <v>3.5</v>
      </c>
      <c r="N1948" s="54">
        <v>0</v>
      </c>
      <c r="O1948" s="77">
        <v>0</v>
      </c>
      <c r="P1948" s="114">
        <v>13.82</v>
      </c>
      <c r="Q1948" s="77">
        <v>0</v>
      </c>
      <c r="R1948" s="80">
        <v>0</v>
      </c>
      <c r="S1948" s="116">
        <v>7</v>
      </c>
      <c r="T1948" s="77">
        <f>STOCK[[#This Row],[Costo Unitario (USD)]]+STOCK[[#This Row],[Costo Envío (USD)]]+STOCK[[#This Row],[Comisión 10%]]</f>
        <v>24.32</v>
      </c>
      <c r="U1948" s="53">
        <f>STOCK[[#This Row],[Costo total]]*1.5</f>
        <v>36.48</v>
      </c>
      <c r="V1948" s="53">
        <v>35</v>
      </c>
      <c r="W1948" s="77">
        <f>STOCK[[#This Row],[Precio Final]]-STOCK[[#This Row],[Costo total]]</f>
        <v>10.68</v>
      </c>
      <c r="X1948" s="77">
        <f>STOCK[[#This Row],[Ganancia Unitaria]]*STOCK[[#This Row],[Salidas]]</f>
        <v>0</v>
      </c>
      <c r="Y1948" s="77"/>
      <c r="Z1948" s="90"/>
      <c r="AA1948" s="54"/>
      <c r="AB1948" s="54"/>
      <c r="AC1948" s="77"/>
      <c r="AD1948" s="98"/>
    </row>
    <row r="1949" s="53" customFormat="1" ht="50" customHeight="1" spans="1:30">
      <c r="A1949" s="99" t="s">
        <v>3843</v>
      </c>
      <c r="B1949" s="85"/>
      <c r="C1949" s="53" t="s">
        <v>32</v>
      </c>
      <c r="D1949" s="86" t="s">
        <v>1212</v>
      </c>
      <c r="E1949" s="108" t="s">
        <v>3841</v>
      </c>
      <c r="F1949" s="107" t="s">
        <v>3844</v>
      </c>
      <c r="G1949" s="77"/>
      <c r="H1949" s="77">
        <f>STOCK[[#This Row],[Precio Final]]</f>
        <v>35</v>
      </c>
      <c r="I1949" s="82">
        <f>STOCK[[#This Row],[Precio Venta Ideal (x1.5)]]</f>
        <v>36.48</v>
      </c>
      <c r="J1949" s="107">
        <v>4</v>
      </c>
      <c r="K1949" s="80">
        <f>SUMIFS(VENTAS[Cantidad],VENTAS[Código del producto Vendido],STOCK[[#This Row],[Code]])</f>
        <v>0</v>
      </c>
      <c r="L1949" s="80">
        <f>STOCK[[#This Row],[Entradas]]-STOCK[[#This Row],[Salidas]]</f>
        <v>4</v>
      </c>
      <c r="M1949" s="77">
        <f>STOCK[[#This Row],[Precio Final]]*10%</f>
        <v>3.5</v>
      </c>
      <c r="N1949" s="54">
        <v>0</v>
      </c>
      <c r="O1949" s="77">
        <v>0</v>
      </c>
      <c r="P1949" s="114">
        <v>13.82</v>
      </c>
      <c r="Q1949" s="77">
        <v>0</v>
      </c>
      <c r="R1949" s="80">
        <v>0</v>
      </c>
      <c r="S1949" s="115">
        <v>7</v>
      </c>
      <c r="T1949" s="77">
        <f>STOCK[[#This Row],[Costo Unitario (USD)]]+STOCK[[#This Row],[Costo Envío (USD)]]+STOCK[[#This Row],[Comisión 10%]]</f>
        <v>24.32</v>
      </c>
      <c r="U1949" s="53">
        <f>STOCK[[#This Row],[Costo total]]*1.5</f>
        <v>36.48</v>
      </c>
      <c r="V1949" s="53">
        <v>35</v>
      </c>
      <c r="W1949" s="77">
        <f>STOCK[[#This Row],[Precio Final]]-STOCK[[#This Row],[Costo total]]</f>
        <v>10.68</v>
      </c>
      <c r="X1949" s="77">
        <f>STOCK[[#This Row],[Ganancia Unitaria]]*STOCK[[#This Row],[Salidas]]</f>
        <v>0</v>
      </c>
      <c r="Y1949" s="77"/>
      <c r="Z1949" s="90"/>
      <c r="AA1949" s="54"/>
      <c r="AB1949" s="54"/>
      <c r="AC1949" s="77"/>
      <c r="AD1949" s="98"/>
    </row>
    <row r="1950" s="53" customFormat="1" ht="50" customHeight="1" spans="1:30">
      <c r="A1950" s="99" t="s">
        <v>3845</v>
      </c>
      <c r="B1950" s="85"/>
      <c r="C1950" s="53" t="s">
        <v>32</v>
      </c>
      <c r="D1950" s="86" t="s">
        <v>1212</v>
      </c>
      <c r="E1950" s="108" t="s">
        <v>3841</v>
      </c>
      <c r="F1950" s="107" t="s">
        <v>3846</v>
      </c>
      <c r="G1950" s="77"/>
      <c r="H1950" s="77">
        <f>STOCK[[#This Row],[Precio Final]]</f>
        <v>35</v>
      </c>
      <c r="I1950" s="82">
        <f>STOCK[[#This Row],[Precio Venta Ideal (x1.5)]]</f>
        <v>36.48</v>
      </c>
      <c r="J1950" s="107">
        <v>4</v>
      </c>
      <c r="K1950" s="80">
        <f>SUMIFS(VENTAS[Cantidad],VENTAS[Código del producto Vendido],STOCK[[#This Row],[Code]])</f>
        <v>0</v>
      </c>
      <c r="L1950" s="80">
        <f>STOCK[[#This Row],[Entradas]]-STOCK[[#This Row],[Salidas]]</f>
        <v>4</v>
      </c>
      <c r="M1950" s="77">
        <f>STOCK[[#This Row],[Precio Final]]*10%</f>
        <v>3.5</v>
      </c>
      <c r="N1950" s="54">
        <v>0</v>
      </c>
      <c r="O1950" s="77">
        <v>0</v>
      </c>
      <c r="P1950" s="114">
        <v>13.82</v>
      </c>
      <c r="Q1950" s="77">
        <v>0</v>
      </c>
      <c r="R1950" s="80">
        <v>0</v>
      </c>
      <c r="S1950" s="116">
        <v>7</v>
      </c>
      <c r="T1950" s="77">
        <f>STOCK[[#This Row],[Costo Unitario (USD)]]+STOCK[[#This Row],[Costo Envío (USD)]]+STOCK[[#This Row],[Comisión 10%]]</f>
        <v>24.32</v>
      </c>
      <c r="U1950" s="53">
        <f>STOCK[[#This Row],[Costo total]]*1.5</f>
        <v>36.48</v>
      </c>
      <c r="V1950" s="53">
        <v>35</v>
      </c>
      <c r="W1950" s="77">
        <f>STOCK[[#This Row],[Precio Final]]-STOCK[[#This Row],[Costo total]]</f>
        <v>10.68</v>
      </c>
      <c r="X1950" s="77">
        <f>STOCK[[#This Row],[Ganancia Unitaria]]*STOCK[[#This Row],[Salidas]]</f>
        <v>0</v>
      </c>
      <c r="Y1950" s="77"/>
      <c r="Z1950" s="90"/>
      <c r="AA1950" s="54"/>
      <c r="AB1950" s="54"/>
      <c r="AC1950" s="77"/>
      <c r="AD1950" s="98"/>
    </row>
    <row r="1951" s="53" customFormat="1" ht="50" customHeight="1" spans="1:30">
      <c r="A1951" s="99" t="s">
        <v>3847</v>
      </c>
      <c r="B1951" s="85"/>
      <c r="C1951" s="53" t="s">
        <v>32</v>
      </c>
      <c r="D1951" s="86" t="s">
        <v>1212</v>
      </c>
      <c r="E1951" s="108" t="s">
        <v>3841</v>
      </c>
      <c r="F1951" s="107" t="s">
        <v>3848</v>
      </c>
      <c r="G1951" s="77"/>
      <c r="H1951" s="77">
        <f>STOCK[[#This Row],[Precio Final]]</f>
        <v>35</v>
      </c>
      <c r="I1951" s="82">
        <f>STOCK[[#This Row],[Precio Venta Ideal (x1.5)]]</f>
        <v>36.48</v>
      </c>
      <c r="J1951" s="107">
        <v>4</v>
      </c>
      <c r="K1951" s="80">
        <f>SUMIFS(VENTAS[Cantidad],VENTAS[Código del producto Vendido],STOCK[[#This Row],[Code]])</f>
        <v>0</v>
      </c>
      <c r="L1951" s="80">
        <f>STOCK[[#This Row],[Entradas]]-STOCK[[#This Row],[Salidas]]</f>
        <v>4</v>
      </c>
      <c r="M1951" s="77">
        <f>STOCK[[#This Row],[Precio Final]]*10%</f>
        <v>3.5</v>
      </c>
      <c r="N1951" s="54">
        <v>0</v>
      </c>
      <c r="O1951" s="77">
        <v>0</v>
      </c>
      <c r="P1951" s="114">
        <v>13.82</v>
      </c>
      <c r="Q1951" s="77">
        <v>0</v>
      </c>
      <c r="R1951" s="80">
        <v>0</v>
      </c>
      <c r="S1951" s="115">
        <v>7</v>
      </c>
      <c r="T1951" s="77">
        <f>STOCK[[#This Row],[Costo Unitario (USD)]]+STOCK[[#This Row],[Costo Envío (USD)]]+STOCK[[#This Row],[Comisión 10%]]</f>
        <v>24.32</v>
      </c>
      <c r="U1951" s="53">
        <f>STOCK[[#This Row],[Costo total]]*1.5</f>
        <v>36.48</v>
      </c>
      <c r="V1951" s="53">
        <v>35</v>
      </c>
      <c r="W1951" s="77">
        <f>STOCK[[#This Row],[Precio Final]]-STOCK[[#This Row],[Costo total]]</f>
        <v>10.68</v>
      </c>
      <c r="X1951" s="77">
        <f>STOCK[[#This Row],[Ganancia Unitaria]]*STOCK[[#This Row],[Salidas]]</f>
        <v>0</v>
      </c>
      <c r="Y1951" s="77"/>
      <c r="Z1951" s="90"/>
      <c r="AA1951" s="54"/>
      <c r="AB1951" s="54"/>
      <c r="AC1951" s="77"/>
      <c r="AD1951" s="98"/>
    </row>
    <row r="1952" s="53" customFormat="1" ht="50" customHeight="1" spans="1:30">
      <c r="A1952" s="99" t="s">
        <v>3849</v>
      </c>
      <c r="B1952" s="85"/>
      <c r="C1952" s="53" t="s">
        <v>32</v>
      </c>
      <c r="D1952" s="86" t="s">
        <v>2118</v>
      </c>
      <c r="E1952" s="108" t="s">
        <v>3850</v>
      </c>
      <c r="F1952" s="107" t="s">
        <v>62</v>
      </c>
      <c r="G1952" s="77"/>
      <c r="H1952" s="77">
        <f>STOCK[[#This Row],[Precio Final]]</f>
        <v>30</v>
      </c>
      <c r="I1952" s="82">
        <f>STOCK[[#This Row],[Precio Venta Ideal (x1.5)]]</f>
        <v>27.18</v>
      </c>
      <c r="J1952" s="107">
        <v>3</v>
      </c>
      <c r="K1952" s="80">
        <f>SUMIFS(VENTAS[Cantidad],VENTAS[Código del producto Vendido],STOCK[[#This Row],[Code]])</f>
        <v>0</v>
      </c>
      <c r="L1952" s="80">
        <f>STOCK[[#This Row],[Entradas]]-STOCK[[#This Row],[Salidas]]</f>
        <v>3</v>
      </c>
      <c r="M1952" s="77">
        <f>STOCK[[#This Row],[Precio Final]]*10%</f>
        <v>3</v>
      </c>
      <c r="N1952" s="54">
        <v>0</v>
      </c>
      <c r="O1952" s="77">
        <v>0</v>
      </c>
      <c r="P1952" s="114">
        <v>10.12</v>
      </c>
      <c r="Q1952" s="77">
        <v>0</v>
      </c>
      <c r="R1952" s="80">
        <v>0</v>
      </c>
      <c r="S1952" s="116">
        <v>5</v>
      </c>
      <c r="T1952" s="77">
        <f>STOCK[[#This Row],[Costo Unitario (USD)]]+STOCK[[#This Row],[Costo Envío (USD)]]+STOCK[[#This Row],[Comisión 10%]]</f>
        <v>18.12</v>
      </c>
      <c r="U1952" s="53">
        <f>STOCK[[#This Row],[Costo total]]*1.5</f>
        <v>27.18</v>
      </c>
      <c r="V1952" s="53">
        <v>30</v>
      </c>
      <c r="W1952" s="77">
        <f>STOCK[[#This Row],[Precio Final]]-STOCK[[#This Row],[Costo total]]</f>
        <v>11.88</v>
      </c>
      <c r="X1952" s="77">
        <f>STOCK[[#This Row],[Ganancia Unitaria]]*STOCK[[#This Row],[Salidas]]</f>
        <v>0</v>
      </c>
      <c r="Y1952" s="77"/>
      <c r="Z1952" s="90"/>
      <c r="AA1952" s="54"/>
      <c r="AB1952" s="54"/>
      <c r="AC1952" s="77"/>
      <c r="AD1952" s="98"/>
    </row>
    <row r="1953" s="53" customFormat="1" ht="50" customHeight="1" spans="1:30">
      <c r="A1953" s="99" t="s">
        <v>3851</v>
      </c>
      <c r="B1953" s="85"/>
      <c r="C1953" s="53" t="s">
        <v>32</v>
      </c>
      <c r="D1953" s="86" t="s">
        <v>2118</v>
      </c>
      <c r="E1953" s="108" t="s">
        <v>3850</v>
      </c>
      <c r="F1953" s="107" t="s">
        <v>49</v>
      </c>
      <c r="G1953" s="77"/>
      <c r="H1953" s="77">
        <f>STOCK[[#This Row],[Precio Final]]</f>
        <v>30</v>
      </c>
      <c r="I1953" s="82">
        <f>STOCK[[#This Row],[Precio Venta Ideal (x1.5)]]</f>
        <v>27.18</v>
      </c>
      <c r="J1953" s="107">
        <v>3</v>
      </c>
      <c r="K1953" s="80">
        <f>SUMIFS(VENTAS[Cantidad],VENTAS[Código del producto Vendido],STOCK[[#This Row],[Code]])</f>
        <v>0</v>
      </c>
      <c r="L1953" s="80">
        <f>STOCK[[#This Row],[Entradas]]-STOCK[[#This Row],[Salidas]]</f>
        <v>3</v>
      </c>
      <c r="M1953" s="77">
        <f>STOCK[[#This Row],[Precio Final]]*10%</f>
        <v>3</v>
      </c>
      <c r="N1953" s="54">
        <v>0</v>
      </c>
      <c r="O1953" s="77">
        <v>0</v>
      </c>
      <c r="P1953" s="114">
        <v>10.12</v>
      </c>
      <c r="Q1953" s="77">
        <v>0</v>
      </c>
      <c r="R1953" s="80">
        <v>0</v>
      </c>
      <c r="S1953" s="115">
        <v>5</v>
      </c>
      <c r="T1953" s="77">
        <f>STOCK[[#This Row],[Costo Unitario (USD)]]+STOCK[[#This Row],[Costo Envío (USD)]]+STOCK[[#This Row],[Comisión 10%]]</f>
        <v>18.12</v>
      </c>
      <c r="U1953" s="53">
        <f>STOCK[[#This Row],[Costo total]]*1.5</f>
        <v>27.18</v>
      </c>
      <c r="V1953" s="53">
        <v>30</v>
      </c>
      <c r="W1953" s="77">
        <f>STOCK[[#This Row],[Precio Final]]-STOCK[[#This Row],[Costo total]]</f>
        <v>11.88</v>
      </c>
      <c r="X1953" s="77">
        <f>STOCK[[#This Row],[Ganancia Unitaria]]*STOCK[[#This Row],[Salidas]]</f>
        <v>0</v>
      </c>
      <c r="Y1953" s="77"/>
      <c r="Z1953" s="90"/>
      <c r="AA1953" s="54"/>
      <c r="AB1953" s="54"/>
      <c r="AC1953" s="77"/>
      <c r="AD1953" s="98"/>
    </row>
    <row r="1954" s="53" customFormat="1" ht="50" customHeight="1" spans="1:30">
      <c r="A1954" s="99" t="s">
        <v>3852</v>
      </c>
      <c r="B1954" s="85"/>
      <c r="C1954" s="53" t="s">
        <v>32</v>
      </c>
      <c r="D1954" s="86" t="s">
        <v>2118</v>
      </c>
      <c r="E1954" s="108" t="s">
        <v>3850</v>
      </c>
      <c r="F1954" s="107" t="s">
        <v>46</v>
      </c>
      <c r="G1954" s="77"/>
      <c r="H1954" s="77">
        <f>STOCK[[#This Row],[Precio Final]]</f>
        <v>30</v>
      </c>
      <c r="I1954" s="82">
        <f>STOCK[[#This Row],[Precio Venta Ideal (x1.5)]]</f>
        <v>25.68</v>
      </c>
      <c r="J1954" s="107">
        <v>3</v>
      </c>
      <c r="K1954" s="80">
        <f>SUMIFS(VENTAS[Cantidad],VENTAS[Código del producto Vendido],STOCK[[#This Row],[Code]])</f>
        <v>0</v>
      </c>
      <c r="L1954" s="80">
        <f>STOCK[[#This Row],[Entradas]]-STOCK[[#This Row],[Salidas]]</f>
        <v>3</v>
      </c>
      <c r="M1954" s="77">
        <f>STOCK[[#This Row],[Precio Final]]*10%</f>
        <v>3</v>
      </c>
      <c r="N1954" s="54">
        <v>0</v>
      </c>
      <c r="O1954" s="77">
        <v>0</v>
      </c>
      <c r="P1954" s="114">
        <v>10.12</v>
      </c>
      <c r="Q1954" s="77">
        <v>0</v>
      </c>
      <c r="R1954" s="80">
        <v>0</v>
      </c>
      <c r="S1954" s="116">
        <v>4</v>
      </c>
      <c r="T1954" s="77">
        <f>STOCK[[#This Row],[Costo Unitario (USD)]]+STOCK[[#This Row],[Costo Envío (USD)]]+STOCK[[#This Row],[Comisión 10%]]</f>
        <v>17.12</v>
      </c>
      <c r="U1954" s="53">
        <f>STOCK[[#This Row],[Costo total]]*1.5</f>
        <v>25.68</v>
      </c>
      <c r="V1954" s="53">
        <v>30</v>
      </c>
      <c r="W1954" s="77">
        <f>STOCK[[#This Row],[Precio Final]]-STOCK[[#This Row],[Costo total]]</f>
        <v>12.88</v>
      </c>
      <c r="X1954" s="77">
        <f>STOCK[[#This Row],[Ganancia Unitaria]]*STOCK[[#This Row],[Salidas]]</f>
        <v>0</v>
      </c>
      <c r="Y1954" s="77"/>
      <c r="Z1954" s="90"/>
      <c r="AA1954" s="54"/>
      <c r="AB1954" s="54"/>
      <c r="AC1954" s="77"/>
      <c r="AD1954" s="98"/>
    </row>
    <row r="1955" s="53" customFormat="1" ht="50" customHeight="1" spans="1:30">
      <c r="A1955" s="99" t="s">
        <v>3853</v>
      </c>
      <c r="B1955" s="85"/>
      <c r="C1955" s="53" t="s">
        <v>32</v>
      </c>
      <c r="D1955" s="86" t="s">
        <v>2897</v>
      </c>
      <c r="E1955" s="108" t="s">
        <v>3854</v>
      </c>
      <c r="F1955" s="107" t="s">
        <v>62</v>
      </c>
      <c r="G1955" s="77"/>
      <c r="H1955" s="77">
        <f>STOCK[[#This Row],[Precio Final]]</f>
        <v>3</v>
      </c>
      <c r="I1955" s="82">
        <f>STOCK[[#This Row],[Precio Venta Ideal (x1.5)]]</f>
        <v>2.625</v>
      </c>
      <c r="J1955" s="107">
        <v>2</v>
      </c>
      <c r="K1955" s="80">
        <f>SUMIFS(VENTAS[Cantidad],VENTAS[Código del producto Vendido],STOCK[[#This Row],[Code]])</f>
        <v>0</v>
      </c>
      <c r="L1955" s="80">
        <f>STOCK[[#This Row],[Entradas]]-STOCK[[#This Row],[Salidas]]</f>
        <v>2</v>
      </c>
      <c r="M1955" s="77">
        <f>STOCK[[#This Row],[Precio Final]]*10%</f>
        <v>0.3</v>
      </c>
      <c r="N1955" s="54">
        <v>0</v>
      </c>
      <c r="O1955" s="77">
        <v>0</v>
      </c>
      <c r="P1955" s="114">
        <v>0.95</v>
      </c>
      <c r="Q1955" s="77">
        <v>0</v>
      </c>
      <c r="R1955" s="80">
        <v>0</v>
      </c>
      <c r="S1955" s="115">
        <v>0.5</v>
      </c>
      <c r="T1955" s="77">
        <f>STOCK[[#This Row],[Costo Unitario (USD)]]+STOCK[[#This Row],[Costo Envío (USD)]]+STOCK[[#This Row],[Comisión 10%]]</f>
        <v>1.75</v>
      </c>
      <c r="U1955" s="53">
        <f>STOCK[[#This Row],[Costo total]]*1.5</f>
        <v>2.625</v>
      </c>
      <c r="V1955" s="53">
        <v>3</v>
      </c>
      <c r="W1955" s="77">
        <f>STOCK[[#This Row],[Precio Final]]-STOCK[[#This Row],[Costo total]]</f>
        <v>1.25</v>
      </c>
      <c r="X1955" s="77">
        <f>STOCK[[#This Row],[Ganancia Unitaria]]*STOCK[[#This Row],[Salidas]]</f>
        <v>0</v>
      </c>
      <c r="Y1955" s="77"/>
      <c r="Z1955" s="90"/>
      <c r="AA1955" s="54"/>
      <c r="AB1955" s="54"/>
      <c r="AC1955" s="77"/>
      <c r="AD1955" s="98"/>
    </row>
    <row r="1956" s="53" customFormat="1" ht="50" customHeight="1" spans="1:30">
      <c r="A1956" s="99" t="s">
        <v>3855</v>
      </c>
      <c r="B1956" s="85"/>
      <c r="C1956" s="53" t="s">
        <v>32</v>
      </c>
      <c r="D1956" s="86" t="s">
        <v>2897</v>
      </c>
      <c r="E1956" s="108" t="s">
        <v>3854</v>
      </c>
      <c r="F1956" s="107" t="s">
        <v>49</v>
      </c>
      <c r="G1956" s="77"/>
      <c r="H1956" s="77">
        <f>STOCK[[#This Row],[Precio Final]]</f>
        <v>3</v>
      </c>
      <c r="I1956" s="82">
        <f>STOCK[[#This Row],[Precio Venta Ideal (x1.5)]]</f>
        <v>2.625</v>
      </c>
      <c r="J1956" s="107">
        <v>3</v>
      </c>
      <c r="K1956" s="80">
        <f>SUMIFS(VENTAS[Cantidad],VENTAS[Código del producto Vendido],STOCK[[#This Row],[Code]])</f>
        <v>0</v>
      </c>
      <c r="L1956" s="80">
        <f>STOCK[[#This Row],[Entradas]]-STOCK[[#This Row],[Salidas]]</f>
        <v>3</v>
      </c>
      <c r="M1956" s="77">
        <f>STOCK[[#This Row],[Precio Final]]*10%</f>
        <v>0.3</v>
      </c>
      <c r="N1956" s="54">
        <v>0</v>
      </c>
      <c r="O1956" s="77">
        <v>0</v>
      </c>
      <c r="P1956" s="114">
        <v>0.95</v>
      </c>
      <c r="Q1956" s="77">
        <v>0</v>
      </c>
      <c r="R1956" s="80">
        <v>0</v>
      </c>
      <c r="S1956" s="116">
        <v>0.5</v>
      </c>
      <c r="T1956" s="77">
        <f>STOCK[[#This Row],[Costo Unitario (USD)]]+STOCK[[#This Row],[Costo Envío (USD)]]+STOCK[[#This Row],[Comisión 10%]]</f>
        <v>1.75</v>
      </c>
      <c r="U1956" s="53">
        <f>STOCK[[#This Row],[Costo total]]*1.5</f>
        <v>2.625</v>
      </c>
      <c r="V1956" s="53">
        <v>3</v>
      </c>
      <c r="W1956" s="77">
        <f>STOCK[[#This Row],[Precio Final]]-STOCK[[#This Row],[Costo total]]</f>
        <v>1.25</v>
      </c>
      <c r="X1956" s="77">
        <f>STOCK[[#This Row],[Ganancia Unitaria]]*STOCK[[#This Row],[Salidas]]</f>
        <v>0</v>
      </c>
      <c r="Y1956" s="77"/>
      <c r="Z1956" s="90"/>
      <c r="AA1956" s="54"/>
      <c r="AB1956" s="54"/>
      <c r="AC1956" s="77"/>
      <c r="AD1956" s="98"/>
    </row>
    <row r="1957" s="53" customFormat="1" ht="50" customHeight="1" spans="1:30">
      <c r="A1957" s="99" t="s">
        <v>3856</v>
      </c>
      <c r="B1957" s="85"/>
      <c r="C1957" s="53" t="s">
        <v>32</v>
      </c>
      <c r="D1957" s="86" t="s">
        <v>2897</v>
      </c>
      <c r="E1957" s="108" t="s">
        <v>3854</v>
      </c>
      <c r="F1957" s="107" t="s">
        <v>46</v>
      </c>
      <c r="G1957" s="77"/>
      <c r="H1957" s="77">
        <f>STOCK[[#This Row],[Precio Final]]</f>
        <v>3</v>
      </c>
      <c r="I1957" s="82">
        <f>STOCK[[#This Row],[Precio Venta Ideal (x1.5)]]</f>
        <v>2.625</v>
      </c>
      <c r="J1957" s="107">
        <v>3</v>
      </c>
      <c r="K1957" s="80">
        <f>SUMIFS(VENTAS[Cantidad],VENTAS[Código del producto Vendido],STOCK[[#This Row],[Code]])</f>
        <v>0</v>
      </c>
      <c r="L1957" s="80">
        <f>STOCK[[#This Row],[Entradas]]-STOCK[[#This Row],[Salidas]]</f>
        <v>3</v>
      </c>
      <c r="M1957" s="77">
        <f>STOCK[[#This Row],[Precio Final]]*10%</f>
        <v>0.3</v>
      </c>
      <c r="N1957" s="54">
        <v>0</v>
      </c>
      <c r="O1957" s="77">
        <v>0</v>
      </c>
      <c r="P1957" s="114">
        <v>0.95</v>
      </c>
      <c r="Q1957" s="77">
        <v>0</v>
      </c>
      <c r="R1957" s="80">
        <v>0</v>
      </c>
      <c r="S1957" s="115">
        <v>0.5</v>
      </c>
      <c r="T1957" s="77">
        <f>STOCK[[#This Row],[Costo Unitario (USD)]]+STOCK[[#This Row],[Costo Envío (USD)]]+STOCK[[#This Row],[Comisión 10%]]</f>
        <v>1.75</v>
      </c>
      <c r="U1957" s="53">
        <f>STOCK[[#This Row],[Costo total]]*1.5</f>
        <v>2.625</v>
      </c>
      <c r="V1957" s="53">
        <v>3</v>
      </c>
      <c r="W1957" s="77">
        <f>STOCK[[#This Row],[Precio Final]]-STOCK[[#This Row],[Costo total]]</f>
        <v>1.25</v>
      </c>
      <c r="X1957" s="77">
        <f>STOCK[[#This Row],[Ganancia Unitaria]]*STOCK[[#This Row],[Salidas]]</f>
        <v>0</v>
      </c>
      <c r="Y1957" s="77"/>
      <c r="Z1957" s="90"/>
      <c r="AA1957" s="54"/>
      <c r="AB1957" s="54"/>
      <c r="AC1957" s="77"/>
      <c r="AD1957" s="98"/>
    </row>
    <row r="1958" s="53" customFormat="1" ht="50" customHeight="1" spans="1:30">
      <c r="A1958" s="99" t="s">
        <v>3857</v>
      </c>
      <c r="B1958" s="85"/>
      <c r="C1958" s="53" t="s">
        <v>32</v>
      </c>
      <c r="D1958" s="86" t="s">
        <v>2897</v>
      </c>
      <c r="E1958" s="108" t="s">
        <v>3854</v>
      </c>
      <c r="F1958" s="107" t="s">
        <v>42</v>
      </c>
      <c r="G1958" s="77"/>
      <c r="H1958" s="77">
        <f>STOCK[[#This Row],[Precio Final]]</f>
        <v>3</v>
      </c>
      <c r="I1958" s="82">
        <f>STOCK[[#This Row],[Precio Venta Ideal (x1.5)]]</f>
        <v>2.625</v>
      </c>
      <c r="J1958" s="107">
        <v>3</v>
      </c>
      <c r="K1958" s="80">
        <f>SUMIFS(VENTAS[Cantidad],VENTAS[Código del producto Vendido],STOCK[[#This Row],[Code]])</f>
        <v>0</v>
      </c>
      <c r="L1958" s="80">
        <f>STOCK[[#This Row],[Entradas]]-STOCK[[#This Row],[Salidas]]</f>
        <v>3</v>
      </c>
      <c r="M1958" s="77">
        <f>STOCK[[#This Row],[Precio Final]]*10%</f>
        <v>0.3</v>
      </c>
      <c r="N1958" s="54">
        <v>0</v>
      </c>
      <c r="O1958" s="77">
        <v>0</v>
      </c>
      <c r="P1958" s="114">
        <v>0.95</v>
      </c>
      <c r="Q1958" s="77">
        <v>0</v>
      </c>
      <c r="R1958" s="80">
        <v>0</v>
      </c>
      <c r="S1958" s="116">
        <v>0.5</v>
      </c>
      <c r="T1958" s="77">
        <f>STOCK[[#This Row],[Costo Unitario (USD)]]+STOCK[[#This Row],[Costo Envío (USD)]]+STOCK[[#This Row],[Comisión 10%]]</f>
        <v>1.75</v>
      </c>
      <c r="U1958" s="53">
        <f>STOCK[[#This Row],[Costo total]]*1.5</f>
        <v>2.625</v>
      </c>
      <c r="V1958" s="53">
        <v>3</v>
      </c>
      <c r="W1958" s="77">
        <f>STOCK[[#This Row],[Precio Final]]-STOCK[[#This Row],[Costo total]]</f>
        <v>1.25</v>
      </c>
      <c r="X1958" s="77">
        <f>STOCK[[#This Row],[Ganancia Unitaria]]*STOCK[[#This Row],[Salidas]]</f>
        <v>0</v>
      </c>
      <c r="Y1958" s="77"/>
      <c r="Z1958" s="90"/>
      <c r="AA1958" s="54"/>
      <c r="AB1958" s="54"/>
      <c r="AC1958" s="77"/>
      <c r="AD1958" s="98"/>
    </row>
    <row r="1959" s="53" customFormat="1" ht="50" customHeight="1" spans="1:30">
      <c r="A1959" s="99" t="s">
        <v>3858</v>
      </c>
      <c r="B1959" s="85"/>
      <c r="C1959" s="53" t="s">
        <v>32</v>
      </c>
      <c r="D1959" s="86" t="s">
        <v>2897</v>
      </c>
      <c r="E1959" s="108" t="s">
        <v>3854</v>
      </c>
      <c r="F1959" s="107" t="s">
        <v>281</v>
      </c>
      <c r="G1959" s="77"/>
      <c r="H1959" s="77">
        <f>STOCK[[#This Row],[Precio Final]]</f>
        <v>3</v>
      </c>
      <c r="I1959" s="82">
        <f>STOCK[[#This Row],[Precio Venta Ideal (x1.5)]]</f>
        <v>2.625</v>
      </c>
      <c r="J1959" s="107">
        <v>3</v>
      </c>
      <c r="K1959" s="80">
        <f>SUMIFS(VENTAS[Cantidad],VENTAS[Código del producto Vendido],STOCK[[#This Row],[Code]])</f>
        <v>0</v>
      </c>
      <c r="L1959" s="80">
        <f>STOCK[[#This Row],[Entradas]]-STOCK[[#This Row],[Salidas]]</f>
        <v>3</v>
      </c>
      <c r="M1959" s="77">
        <f>STOCK[[#This Row],[Precio Final]]*10%</f>
        <v>0.3</v>
      </c>
      <c r="N1959" s="54">
        <v>0</v>
      </c>
      <c r="O1959" s="77">
        <v>0</v>
      </c>
      <c r="P1959" s="114">
        <v>0.95</v>
      </c>
      <c r="Q1959" s="77">
        <v>0</v>
      </c>
      <c r="R1959" s="80">
        <v>0</v>
      </c>
      <c r="S1959" s="115">
        <v>0.5</v>
      </c>
      <c r="T1959" s="77">
        <f>STOCK[[#This Row],[Costo Unitario (USD)]]+STOCK[[#This Row],[Costo Envío (USD)]]+STOCK[[#This Row],[Comisión 10%]]</f>
        <v>1.75</v>
      </c>
      <c r="U1959" s="53">
        <f>STOCK[[#This Row],[Costo total]]*1.5</f>
        <v>2.625</v>
      </c>
      <c r="V1959" s="53">
        <v>3</v>
      </c>
      <c r="W1959" s="77">
        <f>STOCK[[#This Row],[Precio Final]]-STOCK[[#This Row],[Costo total]]</f>
        <v>1.25</v>
      </c>
      <c r="X1959" s="77">
        <f>STOCK[[#This Row],[Ganancia Unitaria]]*STOCK[[#This Row],[Salidas]]</f>
        <v>0</v>
      </c>
      <c r="Y1959" s="77"/>
      <c r="Z1959" s="90"/>
      <c r="AA1959" s="54"/>
      <c r="AB1959" s="54"/>
      <c r="AC1959" s="77"/>
      <c r="AD1959" s="98"/>
    </row>
    <row r="1960" s="53" customFormat="1" ht="50" customHeight="1" spans="1:30">
      <c r="A1960" s="99" t="s">
        <v>3859</v>
      </c>
      <c r="B1960" s="85"/>
      <c r="C1960" s="53" t="s">
        <v>32</v>
      </c>
      <c r="D1960" s="86" t="s">
        <v>2897</v>
      </c>
      <c r="E1960" s="108" t="s">
        <v>3860</v>
      </c>
      <c r="F1960" s="107" t="s">
        <v>62</v>
      </c>
      <c r="G1960" s="77"/>
      <c r="H1960" s="77">
        <f>STOCK[[#This Row],[Precio Final]]</f>
        <v>3</v>
      </c>
      <c r="I1960" s="82">
        <f>STOCK[[#This Row],[Precio Venta Ideal (x1.5)]]</f>
        <v>2.625</v>
      </c>
      <c r="J1960" s="107">
        <v>2</v>
      </c>
      <c r="K1960" s="80">
        <f>SUMIFS(VENTAS[Cantidad],VENTAS[Código del producto Vendido],STOCK[[#This Row],[Code]])</f>
        <v>0</v>
      </c>
      <c r="L1960" s="80">
        <f>STOCK[[#This Row],[Entradas]]-STOCK[[#This Row],[Salidas]]</f>
        <v>2</v>
      </c>
      <c r="M1960" s="77">
        <f>STOCK[[#This Row],[Precio Final]]*10%</f>
        <v>0.3</v>
      </c>
      <c r="N1960" s="54">
        <v>0</v>
      </c>
      <c r="O1960" s="77">
        <v>0</v>
      </c>
      <c r="P1960" s="114">
        <v>0.95</v>
      </c>
      <c r="Q1960" s="77">
        <v>0</v>
      </c>
      <c r="R1960" s="80">
        <v>0</v>
      </c>
      <c r="S1960" s="116">
        <v>0.5</v>
      </c>
      <c r="T1960" s="77">
        <f>STOCK[[#This Row],[Costo Unitario (USD)]]+STOCK[[#This Row],[Costo Envío (USD)]]+STOCK[[#This Row],[Comisión 10%]]</f>
        <v>1.75</v>
      </c>
      <c r="U1960" s="53">
        <f>STOCK[[#This Row],[Costo total]]*1.5</f>
        <v>2.625</v>
      </c>
      <c r="V1960" s="53">
        <v>3</v>
      </c>
      <c r="W1960" s="77">
        <f>STOCK[[#This Row],[Precio Final]]-STOCK[[#This Row],[Costo total]]</f>
        <v>1.25</v>
      </c>
      <c r="X1960" s="77">
        <f>STOCK[[#This Row],[Ganancia Unitaria]]*STOCK[[#This Row],[Salidas]]</f>
        <v>0</v>
      </c>
      <c r="Y1960" s="77"/>
      <c r="Z1960" s="90"/>
      <c r="AA1960" s="54"/>
      <c r="AB1960" s="54"/>
      <c r="AC1960" s="77"/>
      <c r="AD1960" s="98"/>
    </row>
    <row r="1961" s="53" customFormat="1" ht="50" customHeight="1" spans="1:30">
      <c r="A1961" s="99" t="s">
        <v>3861</v>
      </c>
      <c r="B1961" s="85"/>
      <c r="C1961" s="53" t="s">
        <v>32</v>
      </c>
      <c r="D1961" s="86" t="s">
        <v>2897</v>
      </c>
      <c r="E1961" s="108" t="s">
        <v>3860</v>
      </c>
      <c r="F1961" s="107" t="s">
        <v>49</v>
      </c>
      <c r="G1961" s="77"/>
      <c r="H1961" s="77">
        <f>STOCK[[#This Row],[Precio Final]]</f>
        <v>3</v>
      </c>
      <c r="I1961" s="82">
        <f>STOCK[[#This Row],[Precio Venta Ideal (x1.5)]]</f>
        <v>2.625</v>
      </c>
      <c r="J1961" s="107">
        <v>3</v>
      </c>
      <c r="K1961" s="80">
        <f>SUMIFS(VENTAS[Cantidad],VENTAS[Código del producto Vendido],STOCK[[#This Row],[Code]])</f>
        <v>0</v>
      </c>
      <c r="L1961" s="80">
        <f>STOCK[[#This Row],[Entradas]]-STOCK[[#This Row],[Salidas]]</f>
        <v>3</v>
      </c>
      <c r="M1961" s="77">
        <f>STOCK[[#This Row],[Precio Final]]*10%</f>
        <v>0.3</v>
      </c>
      <c r="N1961" s="54">
        <v>0</v>
      </c>
      <c r="O1961" s="77">
        <v>0</v>
      </c>
      <c r="P1961" s="114">
        <v>0.95</v>
      </c>
      <c r="Q1961" s="77">
        <v>0</v>
      </c>
      <c r="R1961" s="80">
        <v>0</v>
      </c>
      <c r="S1961" s="115">
        <v>0.5</v>
      </c>
      <c r="T1961" s="77">
        <f>STOCK[[#This Row],[Costo Unitario (USD)]]+STOCK[[#This Row],[Costo Envío (USD)]]+STOCK[[#This Row],[Comisión 10%]]</f>
        <v>1.75</v>
      </c>
      <c r="U1961" s="53">
        <f>STOCK[[#This Row],[Costo total]]*1.5</f>
        <v>2.625</v>
      </c>
      <c r="V1961" s="53">
        <v>3</v>
      </c>
      <c r="W1961" s="77">
        <f>STOCK[[#This Row],[Precio Final]]-STOCK[[#This Row],[Costo total]]</f>
        <v>1.25</v>
      </c>
      <c r="X1961" s="77">
        <f>STOCK[[#This Row],[Ganancia Unitaria]]*STOCK[[#This Row],[Salidas]]</f>
        <v>0</v>
      </c>
      <c r="Y1961" s="77"/>
      <c r="Z1961" s="90"/>
      <c r="AA1961" s="54"/>
      <c r="AB1961" s="54"/>
      <c r="AC1961" s="77"/>
      <c r="AD1961" s="98"/>
    </row>
    <row r="1962" s="53" customFormat="1" ht="50" customHeight="1" spans="1:30">
      <c r="A1962" s="99" t="s">
        <v>3862</v>
      </c>
      <c r="B1962" s="85"/>
      <c r="C1962" s="53" t="s">
        <v>32</v>
      </c>
      <c r="D1962" s="86" t="s">
        <v>2897</v>
      </c>
      <c r="E1962" s="108" t="s">
        <v>3860</v>
      </c>
      <c r="F1962" s="107" t="s">
        <v>46</v>
      </c>
      <c r="G1962" s="77"/>
      <c r="H1962" s="77">
        <f>STOCK[[#This Row],[Precio Final]]</f>
        <v>3</v>
      </c>
      <c r="I1962" s="82">
        <f>STOCK[[#This Row],[Precio Venta Ideal (x1.5)]]</f>
        <v>2.625</v>
      </c>
      <c r="J1962" s="107">
        <v>3</v>
      </c>
      <c r="K1962" s="80">
        <f>SUMIFS(VENTAS[Cantidad],VENTAS[Código del producto Vendido],STOCK[[#This Row],[Code]])</f>
        <v>0</v>
      </c>
      <c r="L1962" s="80">
        <f>STOCK[[#This Row],[Entradas]]-STOCK[[#This Row],[Salidas]]</f>
        <v>3</v>
      </c>
      <c r="M1962" s="77">
        <f>STOCK[[#This Row],[Precio Final]]*10%</f>
        <v>0.3</v>
      </c>
      <c r="N1962" s="54">
        <v>0</v>
      </c>
      <c r="O1962" s="77">
        <v>0</v>
      </c>
      <c r="P1962" s="114">
        <v>0.95</v>
      </c>
      <c r="Q1962" s="77">
        <v>0</v>
      </c>
      <c r="R1962" s="80">
        <v>0</v>
      </c>
      <c r="S1962" s="116">
        <v>0.5</v>
      </c>
      <c r="T1962" s="77">
        <f>STOCK[[#This Row],[Costo Unitario (USD)]]+STOCK[[#This Row],[Costo Envío (USD)]]+STOCK[[#This Row],[Comisión 10%]]</f>
        <v>1.75</v>
      </c>
      <c r="U1962" s="53">
        <f>STOCK[[#This Row],[Costo total]]*1.5</f>
        <v>2.625</v>
      </c>
      <c r="V1962" s="53">
        <v>3</v>
      </c>
      <c r="W1962" s="77">
        <f>STOCK[[#This Row],[Precio Final]]-STOCK[[#This Row],[Costo total]]</f>
        <v>1.25</v>
      </c>
      <c r="X1962" s="77">
        <f>STOCK[[#This Row],[Ganancia Unitaria]]*STOCK[[#This Row],[Salidas]]</f>
        <v>0</v>
      </c>
      <c r="Y1962" s="77"/>
      <c r="Z1962" s="90"/>
      <c r="AA1962" s="54"/>
      <c r="AB1962" s="54"/>
      <c r="AC1962" s="77"/>
      <c r="AD1962" s="98"/>
    </row>
    <row r="1963" s="53" customFormat="1" ht="50" customHeight="1" spans="1:30">
      <c r="A1963" s="99" t="s">
        <v>3863</v>
      </c>
      <c r="B1963" s="85"/>
      <c r="C1963" s="53" t="s">
        <v>32</v>
      </c>
      <c r="D1963" s="86" t="s">
        <v>2897</v>
      </c>
      <c r="E1963" s="108" t="s">
        <v>3860</v>
      </c>
      <c r="F1963" s="107" t="s">
        <v>42</v>
      </c>
      <c r="G1963" s="77"/>
      <c r="H1963" s="77">
        <f>STOCK[[#This Row],[Precio Final]]</f>
        <v>3</v>
      </c>
      <c r="I1963" s="82">
        <f>STOCK[[#This Row],[Precio Venta Ideal (x1.5)]]</f>
        <v>2.625</v>
      </c>
      <c r="J1963" s="107">
        <v>3</v>
      </c>
      <c r="K1963" s="80">
        <f>SUMIFS(VENTAS[Cantidad],VENTAS[Código del producto Vendido],STOCK[[#This Row],[Code]])</f>
        <v>0</v>
      </c>
      <c r="L1963" s="80">
        <f>STOCK[[#This Row],[Entradas]]-STOCK[[#This Row],[Salidas]]</f>
        <v>3</v>
      </c>
      <c r="M1963" s="77">
        <f>STOCK[[#This Row],[Precio Final]]*10%</f>
        <v>0.3</v>
      </c>
      <c r="N1963" s="54">
        <v>0</v>
      </c>
      <c r="O1963" s="77">
        <v>0</v>
      </c>
      <c r="P1963" s="114">
        <v>0.95</v>
      </c>
      <c r="Q1963" s="77">
        <v>0</v>
      </c>
      <c r="R1963" s="80">
        <v>0</v>
      </c>
      <c r="S1963" s="115">
        <v>0.5</v>
      </c>
      <c r="T1963" s="77">
        <f>STOCK[[#This Row],[Costo Unitario (USD)]]+STOCK[[#This Row],[Costo Envío (USD)]]+STOCK[[#This Row],[Comisión 10%]]</f>
        <v>1.75</v>
      </c>
      <c r="U1963" s="53">
        <f>STOCK[[#This Row],[Costo total]]*1.5</f>
        <v>2.625</v>
      </c>
      <c r="V1963" s="53">
        <v>3</v>
      </c>
      <c r="W1963" s="77">
        <f>STOCK[[#This Row],[Precio Final]]-STOCK[[#This Row],[Costo total]]</f>
        <v>1.25</v>
      </c>
      <c r="X1963" s="77">
        <f>STOCK[[#This Row],[Ganancia Unitaria]]*STOCK[[#This Row],[Salidas]]</f>
        <v>0</v>
      </c>
      <c r="Y1963" s="77"/>
      <c r="Z1963" s="90"/>
      <c r="AA1963" s="54"/>
      <c r="AB1963" s="54"/>
      <c r="AC1963" s="77"/>
      <c r="AD1963" s="98"/>
    </row>
    <row r="1964" s="53" customFormat="1" ht="50" customHeight="1" spans="1:30">
      <c r="A1964" s="99" t="s">
        <v>3864</v>
      </c>
      <c r="B1964" s="85"/>
      <c r="C1964" s="53" t="s">
        <v>32</v>
      </c>
      <c r="D1964" s="86" t="s">
        <v>2897</v>
      </c>
      <c r="E1964" s="108" t="s">
        <v>3860</v>
      </c>
      <c r="F1964" s="107" t="s">
        <v>281</v>
      </c>
      <c r="G1964" s="77"/>
      <c r="H1964" s="77">
        <f>STOCK[[#This Row],[Precio Final]]</f>
        <v>3</v>
      </c>
      <c r="I1964" s="82">
        <f>STOCK[[#This Row],[Precio Venta Ideal (x1.5)]]</f>
        <v>2.625</v>
      </c>
      <c r="J1964" s="107">
        <v>3</v>
      </c>
      <c r="K1964" s="80">
        <f>SUMIFS(VENTAS[Cantidad],VENTAS[Código del producto Vendido],STOCK[[#This Row],[Code]])</f>
        <v>0</v>
      </c>
      <c r="L1964" s="80">
        <f>STOCK[[#This Row],[Entradas]]-STOCK[[#This Row],[Salidas]]</f>
        <v>3</v>
      </c>
      <c r="M1964" s="77">
        <f>STOCK[[#This Row],[Precio Final]]*10%</f>
        <v>0.3</v>
      </c>
      <c r="N1964" s="54">
        <v>0</v>
      </c>
      <c r="O1964" s="77">
        <v>0</v>
      </c>
      <c r="P1964" s="114">
        <v>0.95</v>
      </c>
      <c r="Q1964" s="77">
        <v>0</v>
      </c>
      <c r="R1964" s="80">
        <v>0</v>
      </c>
      <c r="S1964" s="116">
        <v>0.5</v>
      </c>
      <c r="T1964" s="77">
        <f>STOCK[[#This Row],[Costo Unitario (USD)]]+STOCK[[#This Row],[Costo Envío (USD)]]+STOCK[[#This Row],[Comisión 10%]]</f>
        <v>1.75</v>
      </c>
      <c r="U1964" s="53">
        <f>STOCK[[#This Row],[Costo total]]*1.5</f>
        <v>2.625</v>
      </c>
      <c r="V1964" s="53">
        <v>3</v>
      </c>
      <c r="W1964" s="77">
        <f>STOCK[[#This Row],[Precio Final]]-STOCK[[#This Row],[Costo total]]</f>
        <v>1.25</v>
      </c>
      <c r="X1964" s="77">
        <f>STOCK[[#This Row],[Ganancia Unitaria]]*STOCK[[#This Row],[Salidas]]</f>
        <v>0</v>
      </c>
      <c r="Y1964" s="77"/>
      <c r="Z1964" s="90"/>
      <c r="AA1964" s="54"/>
      <c r="AB1964" s="54"/>
      <c r="AC1964" s="77"/>
      <c r="AD1964" s="98"/>
    </row>
    <row r="1965" s="53" customFormat="1" ht="50" customHeight="1" spans="1:30">
      <c r="A1965" s="99" t="s">
        <v>3865</v>
      </c>
      <c r="B1965" s="85"/>
      <c r="C1965" s="53" t="s">
        <v>32</v>
      </c>
      <c r="D1965" s="86" t="s">
        <v>2897</v>
      </c>
      <c r="E1965" s="108" t="s">
        <v>3866</v>
      </c>
      <c r="F1965" s="107" t="s">
        <v>62</v>
      </c>
      <c r="G1965" s="77"/>
      <c r="H1965" s="77">
        <f>STOCK[[#This Row],[Precio Final]]</f>
        <v>3</v>
      </c>
      <c r="I1965" s="82">
        <f>STOCK[[#This Row],[Precio Venta Ideal (x1.5)]]</f>
        <v>2.625</v>
      </c>
      <c r="J1965" s="107">
        <v>2</v>
      </c>
      <c r="K1965" s="80">
        <f>SUMIFS(VENTAS[Cantidad],VENTAS[Código del producto Vendido],STOCK[[#This Row],[Code]])</f>
        <v>0</v>
      </c>
      <c r="L1965" s="80">
        <f>STOCK[[#This Row],[Entradas]]-STOCK[[#This Row],[Salidas]]</f>
        <v>2</v>
      </c>
      <c r="M1965" s="77">
        <f>STOCK[[#This Row],[Precio Final]]*10%</f>
        <v>0.3</v>
      </c>
      <c r="N1965" s="54">
        <v>0</v>
      </c>
      <c r="O1965" s="77">
        <v>0</v>
      </c>
      <c r="P1965" s="114">
        <v>0.95</v>
      </c>
      <c r="Q1965" s="77">
        <v>0</v>
      </c>
      <c r="R1965" s="80">
        <v>0</v>
      </c>
      <c r="S1965" s="115">
        <v>0.5</v>
      </c>
      <c r="T1965" s="77">
        <f>STOCK[[#This Row],[Costo Unitario (USD)]]+STOCK[[#This Row],[Costo Envío (USD)]]+STOCK[[#This Row],[Comisión 10%]]</f>
        <v>1.75</v>
      </c>
      <c r="U1965" s="53">
        <f>STOCK[[#This Row],[Costo total]]*1.5</f>
        <v>2.625</v>
      </c>
      <c r="V1965" s="53">
        <v>3</v>
      </c>
      <c r="W1965" s="77">
        <f>STOCK[[#This Row],[Precio Final]]-STOCK[[#This Row],[Costo total]]</f>
        <v>1.25</v>
      </c>
      <c r="X1965" s="77">
        <f>STOCK[[#This Row],[Ganancia Unitaria]]*STOCK[[#This Row],[Salidas]]</f>
        <v>0</v>
      </c>
      <c r="Y1965" s="77"/>
      <c r="Z1965" s="90"/>
      <c r="AA1965" s="54"/>
      <c r="AB1965" s="54"/>
      <c r="AC1965" s="77"/>
      <c r="AD1965" s="98"/>
    </row>
    <row r="1966" s="53" customFormat="1" ht="50" customHeight="1" spans="1:30">
      <c r="A1966" s="99" t="s">
        <v>3867</v>
      </c>
      <c r="B1966" s="85"/>
      <c r="C1966" s="53" t="s">
        <v>32</v>
      </c>
      <c r="D1966" s="86" t="s">
        <v>2897</v>
      </c>
      <c r="E1966" s="108" t="s">
        <v>3866</v>
      </c>
      <c r="F1966" s="107" t="s">
        <v>49</v>
      </c>
      <c r="G1966" s="77"/>
      <c r="H1966" s="77">
        <f>STOCK[[#This Row],[Precio Final]]</f>
        <v>3</v>
      </c>
      <c r="I1966" s="82">
        <f>STOCK[[#This Row],[Precio Venta Ideal (x1.5)]]</f>
        <v>2.625</v>
      </c>
      <c r="J1966" s="107">
        <v>3</v>
      </c>
      <c r="K1966" s="80">
        <f>SUMIFS(VENTAS[Cantidad],VENTAS[Código del producto Vendido],STOCK[[#This Row],[Code]])</f>
        <v>0</v>
      </c>
      <c r="L1966" s="80">
        <f>STOCK[[#This Row],[Entradas]]-STOCK[[#This Row],[Salidas]]</f>
        <v>3</v>
      </c>
      <c r="M1966" s="77">
        <f>STOCK[[#This Row],[Precio Final]]*10%</f>
        <v>0.3</v>
      </c>
      <c r="N1966" s="54">
        <v>0</v>
      </c>
      <c r="O1966" s="77">
        <v>0</v>
      </c>
      <c r="P1966" s="114">
        <v>0.95</v>
      </c>
      <c r="Q1966" s="77">
        <v>0</v>
      </c>
      <c r="R1966" s="80">
        <v>0</v>
      </c>
      <c r="S1966" s="116">
        <v>0.5</v>
      </c>
      <c r="T1966" s="77">
        <f>STOCK[[#This Row],[Costo Unitario (USD)]]+STOCK[[#This Row],[Costo Envío (USD)]]+STOCK[[#This Row],[Comisión 10%]]</f>
        <v>1.75</v>
      </c>
      <c r="U1966" s="53">
        <f>STOCK[[#This Row],[Costo total]]*1.5</f>
        <v>2.625</v>
      </c>
      <c r="V1966" s="53">
        <v>3</v>
      </c>
      <c r="W1966" s="77">
        <f>STOCK[[#This Row],[Precio Final]]-STOCK[[#This Row],[Costo total]]</f>
        <v>1.25</v>
      </c>
      <c r="X1966" s="77">
        <f>STOCK[[#This Row],[Ganancia Unitaria]]*STOCK[[#This Row],[Salidas]]</f>
        <v>0</v>
      </c>
      <c r="Y1966" s="77"/>
      <c r="Z1966" s="90"/>
      <c r="AA1966" s="54"/>
      <c r="AB1966" s="54"/>
      <c r="AC1966" s="77"/>
      <c r="AD1966" s="98"/>
    </row>
    <row r="1967" s="53" customFormat="1" ht="50" customHeight="1" spans="1:30">
      <c r="A1967" s="99" t="s">
        <v>3868</v>
      </c>
      <c r="B1967" s="85"/>
      <c r="C1967" s="53" t="s">
        <v>32</v>
      </c>
      <c r="D1967" s="86" t="s">
        <v>2897</v>
      </c>
      <c r="E1967" s="108" t="s">
        <v>3866</v>
      </c>
      <c r="F1967" s="107" t="s">
        <v>46</v>
      </c>
      <c r="G1967" s="77"/>
      <c r="H1967" s="77">
        <f>STOCK[[#This Row],[Precio Final]]</f>
        <v>3</v>
      </c>
      <c r="I1967" s="82">
        <f>STOCK[[#This Row],[Precio Venta Ideal (x1.5)]]</f>
        <v>2.625</v>
      </c>
      <c r="J1967" s="107">
        <v>3</v>
      </c>
      <c r="K1967" s="80">
        <f>SUMIFS(VENTAS[Cantidad],VENTAS[Código del producto Vendido],STOCK[[#This Row],[Code]])</f>
        <v>0</v>
      </c>
      <c r="L1967" s="80">
        <f>STOCK[[#This Row],[Entradas]]-STOCK[[#This Row],[Salidas]]</f>
        <v>3</v>
      </c>
      <c r="M1967" s="77">
        <f>STOCK[[#This Row],[Precio Final]]*10%</f>
        <v>0.3</v>
      </c>
      <c r="N1967" s="54">
        <v>0</v>
      </c>
      <c r="O1967" s="77">
        <v>0</v>
      </c>
      <c r="P1967" s="114">
        <v>0.95</v>
      </c>
      <c r="Q1967" s="77">
        <v>0</v>
      </c>
      <c r="R1967" s="80">
        <v>0</v>
      </c>
      <c r="S1967" s="115">
        <v>0.5</v>
      </c>
      <c r="T1967" s="77">
        <f>STOCK[[#This Row],[Costo Unitario (USD)]]+STOCK[[#This Row],[Costo Envío (USD)]]+STOCK[[#This Row],[Comisión 10%]]</f>
        <v>1.75</v>
      </c>
      <c r="U1967" s="53">
        <f>STOCK[[#This Row],[Costo total]]*1.5</f>
        <v>2.625</v>
      </c>
      <c r="V1967" s="53">
        <v>3</v>
      </c>
      <c r="W1967" s="77">
        <f>STOCK[[#This Row],[Precio Final]]-STOCK[[#This Row],[Costo total]]</f>
        <v>1.25</v>
      </c>
      <c r="X1967" s="77">
        <f>STOCK[[#This Row],[Ganancia Unitaria]]*STOCK[[#This Row],[Salidas]]</f>
        <v>0</v>
      </c>
      <c r="Y1967" s="77"/>
      <c r="Z1967" s="90"/>
      <c r="AA1967" s="54"/>
      <c r="AB1967" s="54"/>
      <c r="AC1967" s="77"/>
      <c r="AD1967" s="98"/>
    </row>
    <row r="1968" s="53" customFormat="1" ht="50" customHeight="1" spans="1:30">
      <c r="A1968" s="99" t="s">
        <v>3869</v>
      </c>
      <c r="B1968" s="85"/>
      <c r="C1968" s="53" t="s">
        <v>32</v>
      </c>
      <c r="D1968" s="86" t="s">
        <v>2897</v>
      </c>
      <c r="E1968" s="108" t="s">
        <v>3866</v>
      </c>
      <c r="F1968" s="107" t="s">
        <v>42</v>
      </c>
      <c r="G1968" s="77"/>
      <c r="H1968" s="77">
        <f>STOCK[[#This Row],[Precio Final]]</f>
        <v>3</v>
      </c>
      <c r="I1968" s="82">
        <f>STOCK[[#This Row],[Precio Venta Ideal (x1.5)]]</f>
        <v>2.625</v>
      </c>
      <c r="J1968" s="107">
        <v>3</v>
      </c>
      <c r="K1968" s="80">
        <f>SUMIFS(VENTAS[Cantidad],VENTAS[Código del producto Vendido],STOCK[[#This Row],[Code]])</f>
        <v>0</v>
      </c>
      <c r="L1968" s="80">
        <f>STOCK[[#This Row],[Entradas]]-STOCK[[#This Row],[Salidas]]</f>
        <v>3</v>
      </c>
      <c r="M1968" s="77">
        <f>STOCK[[#This Row],[Precio Final]]*10%</f>
        <v>0.3</v>
      </c>
      <c r="N1968" s="54">
        <v>0</v>
      </c>
      <c r="O1968" s="77">
        <v>0</v>
      </c>
      <c r="P1968" s="114">
        <v>0.95</v>
      </c>
      <c r="Q1968" s="77">
        <v>0</v>
      </c>
      <c r="R1968" s="80">
        <v>0</v>
      </c>
      <c r="S1968" s="116">
        <v>0.5</v>
      </c>
      <c r="T1968" s="77">
        <f>STOCK[[#This Row],[Costo Unitario (USD)]]+STOCK[[#This Row],[Costo Envío (USD)]]+STOCK[[#This Row],[Comisión 10%]]</f>
        <v>1.75</v>
      </c>
      <c r="U1968" s="53">
        <f>STOCK[[#This Row],[Costo total]]*1.5</f>
        <v>2.625</v>
      </c>
      <c r="V1968" s="53">
        <v>3</v>
      </c>
      <c r="W1968" s="77">
        <f>STOCK[[#This Row],[Precio Final]]-STOCK[[#This Row],[Costo total]]</f>
        <v>1.25</v>
      </c>
      <c r="X1968" s="77">
        <f>STOCK[[#This Row],[Ganancia Unitaria]]*STOCK[[#This Row],[Salidas]]</f>
        <v>0</v>
      </c>
      <c r="Y1968" s="77"/>
      <c r="Z1968" s="90"/>
      <c r="AA1968" s="54"/>
      <c r="AB1968" s="54"/>
      <c r="AC1968" s="77"/>
      <c r="AD1968" s="98"/>
    </row>
    <row r="1969" s="53" customFormat="1" ht="50" customHeight="1" spans="1:30">
      <c r="A1969" s="99" t="s">
        <v>3870</v>
      </c>
      <c r="B1969" s="85"/>
      <c r="C1969" s="53" t="s">
        <v>32</v>
      </c>
      <c r="D1969" s="86" t="s">
        <v>2897</v>
      </c>
      <c r="E1969" s="108" t="s">
        <v>3866</v>
      </c>
      <c r="F1969" s="107" t="s">
        <v>281</v>
      </c>
      <c r="G1969" s="77"/>
      <c r="H1969" s="77">
        <f>STOCK[[#This Row],[Precio Final]]</f>
        <v>3</v>
      </c>
      <c r="I1969" s="82">
        <f>STOCK[[#This Row],[Precio Venta Ideal (x1.5)]]</f>
        <v>2.625</v>
      </c>
      <c r="J1969" s="107">
        <v>3</v>
      </c>
      <c r="K1969" s="80">
        <f>SUMIFS(VENTAS[Cantidad],VENTAS[Código del producto Vendido],STOCK[[#This Row],[Code]])</f>
        <v>0</v>
      </c>
      <c r="L1969" s="80">
        <f>STOCK[[#This Row],[Entradas]]-STOCK[[#This Row],[Salidas]]</f>
        <v>3</v>
      </c>
      <c r="M1969" s="77">
        <f>STOCK[[#This Row],[Precio Final]]*10%</f>
        <v>0.3</v>
      </c>
      <c r="N1969" s="54">
        <v>0</v>
      </c>
      <c r="O1969" s="77">
        <v>0</v>
      </c>
      <c r="P1969" s="114">
        <v>0.95</v>
      </c>
      <c r="Q1969" s="77">
        <v>0</v>
      </c>
      <c r="R1969" s="80">
        <v>0</v>
      </c>
      <c r="S1969" s="115">
        <v>0.5</v>
      </c>
      <c r="T1969" s="77">
        <f>STOCK[[#This Row],[Costo Unitario (USD)]]+STOCK[[#This Row],[Costo Envío (USD)]]+STOCK[[#This Row],[Comisión 10%]]</f>
        <v>1.75</v>
      </c>
      <c r="U1969" s="53">
        <f>STOCK[[#This Row],[Costo total]]*1.5</f>
        <v>2.625</v>
      </c>
      <c r="V1969" s="53">
        <v>3</v>
      </c>
      <c r="W1969" s="77">
        <f>STOCK[[#This Row],[Precio Final]]-STOCK[[#This Row],[Costo total]]</f>
        <v>1.25</v>
      </c>
      <c r="X1969" s="77">
        <f>STOCK[[#This Row],[Ganancia Unitaria]]*STOCK[[#This Row],[Salidas]]</f>
        <v>0</v>
      </c>
      <c r="Y1969" s="77"/>
      <c r="Z1969" s="90"/>
      <c r="AA1969" s="54"/>
      <c r="AB1969" s="54"/>
      <c r="AC1969" s="77"/>
      <c r="AD1969" s="98"/>
    </row>
    <row r="1970" s="53" customFormat="1" ht="50" customHeight="1" spans="1:30">
      <c r="A1970" s="99" t="s">
        <v>3871</v>
      </c>
      <c r="B1970" s="85"/>
      <c r="C1970" s="53" t="s">
        <v>32</v>
      </c>
      <c r="D1970" s="86" t="s">
        <v>2897</v>
      </c>
      <c r="E1970" s="108" t="s">
        <v>3872</v>
      </c>
      <c r="F1970" s="107" t="s">
        <v>62</v>
      </c>
      <c r="G1970" s="77"/>
      <c r="H1970" s="77">
        <f>STOCK[[#This Row],[Precio Final]]</f>
        <v>3</v>
      </c>
      <c r="I1970" s="82">
        <f>STOCK[[#This Row],[Precio Venta Ideal (x1.5)]]</f>
        <v>2.625</v>
      </c>
      <c r="J1970" s="107">
        <v>2</v>
      </c>
      <c r="K1970" s="80">
        <f>SUMIFS(VENTAS[Cantidad],VENTAS[Código del producto Vendido],STOCK[[#This Row],[Code]])</f>
        <v>0</v>
      </c>
      <c r="L1970" s="80">
        <f>STOCK[[#This Row],[Entradas]]-STOCK[[#This Row],[Salidas]]</f>
        <v>2</v>
      </c>
      <c r="M1970" s="77">
        <f>STOCK[[#This Row],[Precio Final]]*10%</f>
        <v>0.3</v>
      </c>
      <c r="N1970" s="54">
        <v>0</v>
      </c>
      <c r="O1970" s="77">
        <v>0</v>
      </c>
      <c r="P1970" s="114">
        <v>0.95</v>
      </c>
      <c r="Q1970" s="77">
        <v>0</v>
      </c>
      <c r="R1970" s="80">
        <v>0</v>
      </c>
      <c r="S1970" s="116">
        <v>0.5</v>
      </c>
      <c r="T1970" s="77">
        <f>STOCK[[#This Row],[Costo Unitario (USD)]]+STOCK[[#This Row],[Costo Envío (USD)]]+STOCK[[#This Row],[Comisión 10%]]</f>
        <v>1.75</v>
      </c>
      <c r="U1970" s="53">
        <f>STOCK[[#This Row],[Costo total]]*1.5</f>
        <v>2.625</v>
      </c>
      <c r="V1970" s="53">
        <v>3</v>
      </c>
      <c r="W1970" s="77">
        <f>STOCK[[#This Row],[Precio Final]]-STOCK[[#This Row],[Costo total]]</f>
        <v>1.25</v>
      </c>
      <c r="X1970" s="77">
        <f>STOCK[[#This Row],[Ganancia Unitaria]]*STOCK[[#This Row],[Salidas]]</f>
        <v>0</v>
      </c>
      <c r="Y1970" s="77"/>
      <c r="Z1970" s="90"/>
      <c r="AA1970" s="54"/>
      <c r="AB1970" s="54"/>
      <c r="AC1970" s="77"/>
      <c r="AD1970" s="98"/>
    </row>
    <row r="1971" s="53" customFormat="1" ht="50" customHeight="1" spans="1:30">
      <c r="A1971" s="99" t="s">
        <v>3873</v>
      </c>
      <c r="B1971" s="85"/>
      <c r="C1971" s="53" t="s">
        <v>32</v>
      </c>
      <c r="D1971" s="86" t="s">
        <v>2897</v>
      </c>
      <c r="E1971" s="108" t="s">
        <v>3872</v>
      </c>
      <c r="F1971" s="107" t="s">
        <v>49</v>
      </c>
      <c r="G1971" s="77"/>
      <c r="H1971" s="77">
        <f>STOCK[[#This Row],[Precio Final]]</f>
        <v>3</v>
      </c>
      <c r="I1971" s="82">
        <f>STOCK[[#This Row],[Precio Venta Ideal (x1.5)]]</f>
        <v>2.625</v>
      </c>
      <c r="J1971" s="107">
        <v>3</v>
      </c>
      <c r="K1971" s="80">
        <f>SUMIFS(VENTAS[Cantidad],VENTAS[Código del producto Vendido],STOCK[[#This Row],[Code]])</f>
        <v>0</v>
      </c>
      <c r="L1971" s="80">
        <f>STOCK[[#This Row],[Entradas]]-STOCK[[#This Row],[Salidas]]</f>
        <v>3</v>
      </c>
      <c r="M1971" s="77">
        <f>STOCK[[#This Row],[Precio Final]]*10%</f>
        <v>0.3</v>
      </c>
      <c r="N1971" s="54">
        <v>0</v>
      </c>
      <c r="O1971" s="77">
        <v>0</v>
      </c>
      <c r="P1971" s="114">
        <v>0.95</v>
      </c>
      <c r="Q1971" s="77">
        <v>0</v>
      </c>
      <c r="R1971" s="80">
        <v>0</v>
      </c>
      <c r="S1971" s="115">
        <v>0.5</v>
      </c>
      <c r="T1971" s="77">
        <f>STOCK[[#This Row],[Costo Unitario (USD)]]+STOCK[[#This Row],[Costo Envío (USD)]]+STOCK[[#This Row],[Comisión 10%]]</f>
        <v>1.75</v>
      </c>
      <c r="U1971" s="53">
        <f>STOCK[[#This Row],[Costo total]]*1.5</f>
        <v>2.625</v>
      </c>
      <c r="V1971" s="53">
        <v>3</v>
      </c>
      <c r="W1971" s="77">
        <f>STOCK[[#This Row],[Precio Final]]-STOCK[[#This Row],[Costo total]]</f>
        <v>1.25</v>
      </c>
      <c r="X1971" s="77">
        <f>STOCK[[#This Row],[Ganancia Unitaria]]*STOCK[[#This Row],[Salidas]]</f>
        <v>0</v>
      </c>
      <c r="Y1971" s="77"/>
      <c r="Z1971" s="90"/>
      <c r="AA1971" s="54"/>
      <c r="AB1971" s="54"/>
      <c r="AC1971" s="77"/>
      <c r="AD1971" s="98"/>
    </row>
    <row r="1972" s="53" customFormat="1" ht="50" customHeight="1" spans="1:30">
      <c r="A1972" s="99" t="s">
        <v>3874</v>
      </c>
      <c r="B1972" s="85"/>
      <c r="C1972" s="53" t="s">
        <v>32</v>
      </c>
      <c r="D1972" s="86" t="s">
        <v>2897</v>
      </c>
      <c r="E1972" s="108" t="s">
        <v>3872</v>
      </c>
      <c r="F1972" s="107" t="s">
        <v>46</v>
      </c>
      <c r="G1972" s="77"/>
      <c r="H1972" s="77">
        <f>STOCK[[#This Row],[Precio Final]]</f>
        <v>3</v>
      </c>
      <c r="I1972" s="82">
        <f>STOCK[[#This Row],[Precio Venta Ideal (x1.5)]]</f>
        <v>2.625</v>
      </c>
      <c r="J1972" s="107">
        <v>3</v>
      </c>
      <c r="K1972" s="80">
        <f>SUMIFS(VENTAS[Cantidad],VENTAS[Código del producto Vendido],STOCK[[#This Row],[Code]])</f>
        <v>0</v>
      </c>
      <c r="L1972" s="80">
        <f>STOCK[[#This Row],[Entradas]]-STOCK[[#This Row],[Salidas]]</f>
        <v>3</v>
      </c>
      <c r="M1972" s="77">
        <f>STOCK[[#This Row],[Precio Final]]*10%</f>
        <v>0.3</v>
      </c>
      <c r="N1972" s="54">
        <v>0</v>
      </c>
      <c r="O1972" s="77">
        <v>0</v>
      </c>
      <c r="P1972" s="114">
        <v>0.95</v>
      </c>
      <c r="Q1972" s="77">
        <v>0</v>
      </c>
      <c r="R1972" s="80">
        <v>0</v>
      </c>
      <c r="S1972" s="116">
        <v>0.5</v>
      </c>
      <c r="T1972" s="77">
        <f>STOCK[[#This Row],[Costo Unitario (USD)]]+STOCK[[#This Row],[Costo Envío (USD)]]+STOCK[[#This Row],[Comisión 10%]]</f>
        <v>1.75</v>
      </c>
      <c r="U1972" s="53">
        <f>STOCK[[#This Row],[Costo total]]*1.5</f>
        <v>2.625</v>
      </c>
      <c r="V1972" s="53">
        <v>3</v>
      </c>
      <c r="W1972" s="77">
        <f>STOCK[[#This Row],[Precio Final]]-STOCK[[#This Row],[Costo total]]</f>
        <v>1.25</v>
      </c>
      <c r="X1972" s="77">
        <f>STOCK[[#This Row],[Ganancia Unitaria]]*STOCK[[#This Row],[Salidas]]</f>
        <v>0</v>
      </c>
      <c r="Y1972" s="77"/>
      <c r="Z1972" s="90"/>
      <c r="AA1972" s="54"/>
      <c r="AB1972" s="54"/>
      <c r="AC1972" s="77"/>
      <c r="AD1972" s="98"/>
    </row>
    <row r="1973" s="53" customFormat="1" ht="50" customHeight="1" spans="1:30">
      <c r="A1973" s="99" t="s">
        <v>3875</v>
      </c>
      <c r="B1973" s="85"/>
      <c r="C1973" s="53" t="s">
        <v>32</v>
      </c>
      <c r="D1973" s="86" t="s">
        <v>2897</v>
      </c>
      <c r="E1973" s="108" t="s">
        <v>3872</v>
      </c>
      <c r="F1973" s="107" t="s">
        <v>42</v>
      </c>
      <c r="G1973" s="77"/>
      <c r="H1973" s="77">
        <f>STOCK[[#This Row],[Precio Final]]</f>
        <v>3</v>
      </c>
      <c r="I1973" s="82">
        <f>STOCK[[#This Row],[Precio Venta Ideal (x1.5)]]</f>
        <v>2.625</v>
      </c>
      <c r="J1973" s="107">
        <v>3</v>
      </c>
      <c r="K1973" s="80">
        <f>SUMIFS(VENTAS[Cantidad],VENTAS[Código del producto Vendido],STOCK[[#This Row],[Code]])</f>
        <v>0</v>
      </c>
      <c r="L1973" s="80">
        <f>STOCK[[#This Row],[Entradas]]-STOCK[[#This Row],[Salidas]]</f>
        <v>3</v>
      </c>
      <c r="M1973" s="77">
        <f>STOCK[[#This Row],[Precio Final]]*10%</f>
        <v>0.3</v>
      </c>
      <c r="N1973" s="54">
        <v>0</v>
      </c>
      <c r="O1973" s="77">
        <v>0</v>
      </c>
      <c r="P1973" s="114">
        <v>0.95</v>
      </c>
      <c r="Q1973" s="77">
        <v>0</v>
      </c>
      <c r="R1973" s="80">
        <v>0</v>
      </c>
      <c r="S1973" s="115">
        <v>0.5</v>
      </c>
      <c r="T1973" s="77">
        <f>STOCK[[#This Row],[Costo Unitario (USD)]]+STOCK[[#This Row],[Costo Envío (USD)]]+STOCK[[#This Row],[Comisión 10%]]</f>
        <v>1.75</v>
      </c>
      <c r="U1973" s="53">
        <f>STOCK[[#This Row],[Costo total]]*1.5</f>
        <v>2.625</v>
      </c>
      <c r="V1973" s="53">
        <v>3</v>
      </c>
      <c r="W1973" s="77">
        <f>STOCK[[#This Row],[Precio Final]]-STOCK[[#This Row],[Costo total]]</f>
        <v>1.25</v>
      </c>
      <c r="X1973" s="77">
        <f>STOCK[[#This Row],[Ganancia Unitaria]]*STOCK[[#This Row],[Salidas]]</f>
        <v>0</v>
      </c>
      <c r="Y1973" s="77"/>
      <c r="Z1973" s="90"/>
      <c r="AA1973" s="54"/>
      <c r="AB1973" s="54"/>
      <c r="AC1973" s="77"/>
      <c r="AD1973" s="98"/>
    </row>
    <row r="1974" s="53" customFormat="1" ht="50" customHeight="1" spans="1:30">
      <c r="A1974" s="99" t="s">
        <v>3876</v>
      </c>
      <c r="B1974" s="85"/>
      <c r="C1974" s="53" t="s">
        <v>32</v>
      </c>
      <c r="D1974" s="86" t="s">
        <v>2897</v>
      </c>
      <c r="E1974" s="108" t="s">
        <v>3872</v>
      </c>
      <c r="F1974" s="107" t="s">
        <v>281</v>
      </c>
      <c r="G1974" s="77"/>
      <c r="H1974" s="77">
        <f>STOCK[[#This Row],[Precio Final]]</f>
        <v>3</v>
      </c>
      <c r="I1974" s="82">
        <f>STOCK[[#This Row],[Precio Venta Ideal (x1.5)]]</f>
        <v>2.625</v>
      </c>
      <c r="J1974" s="107">
        <v>3</v>
      </c>
      <c r="K1974" s="80">
        <f>SUMIFS(VENTAS[Cantidad],VENTAS[Código del producto Vendido],STOCK[[#This Row],[Code]])</f>
        <v>0</v>
      </c>
      <c r="L1974" s="80">
        <f>STOCK[[#This Row],[Entradas]]-STOCK[[#This Row],[Salidas]]</f>
        <v>3</v>
      </c>
      <c r="M1974" s="77">
        <f>STOCK[[#This Row],[Precio Final]]*10%</f>
        <v>0.3</v>
      </c>
      <c r="N1974" s="54">
        <v>0</v>
      </c>
      <c r="O1974" s="77">
        <v>0</v>
      </c>
      <c r="P1974" s="114">
        <v>0.95</v>
      </c>
      <c r="Q1974" s="77">
        <v>0</v>
      </c>
      <c r="R1974" s="80">
        <v>0</v>
      </c>
      <c r="S1974" s="116">
        <v>0.5</v>
      </c>
      <c r="T1974" s="77">
        <f>STOCK[[#This Row],[Costo Unitario (USD)]]+STOCK[[#This Row],[Costo Envío (USD)]]+STOCK[[#This Row],[Comisión 10%]]</f>
        <v>1.75</v>
      </c>
      <c r="U1974" s="53">
        <f>STOCK[[#This Row],[Costo total]]*1.5</f>
        <v>2.625</v>
      </c>
      <c r="V1974" s="53">
        <v>3</v>
      </c>
      <c r="W1974" s="77">
        <f>STOCK[[#This Row],[Precio Final]]-STOCK[[#This Row],[Costo total]]</f>
        <v>1.25</v>
      </c>
      <c r="X1974" s="77">
        <f>STOCK[[#This Row],[Ganancia Unitaria]]*STOCK[[#This Row],[Salidas]]</f>
        <v>0</v>
      </c>
      <c r="Y1974" s="77"/>
      <c r="Z1974" s="90"/>
      <c r="AA1974" s="54"/>
      <c r="AB1974" s="54"/>
      <c r="AC1974" s="77"/>
      <c r="AD1974" s="98"/>
    </row>
    <row r="1975" s="53" customFormat="1" ht="50" customHeight="1" spans="1:30">
      <c r="A1975" s="99" t="s">
        <v>3877</v>
      </c>
      <c r="B1975" s="85"/>
      <c r="C1975" s="53" t="s">
        <v>32</v>
      </c>
      <c r="D1975" s="86" t="s">
        <v>2897</v>
      </c>
      <c r="E1975" s="108" t="s">
        <v>3878</v>
      </c>
      <c r="F1975" s="107" t="s">
        <v>62</v>
      </c>
      <c r="G1975" s="77"/>
      <c r="H1975" s="77">
        <f>STOCK[[#This Row],[Precio Final]]</f>
        <v>3</v>
      </c>
      <c r="I1975" s="82">
        <f>STOCK[[#This Row],[Precio Venta Ideal (x1.5)]]</f>
        <v>2.625</v>
      </c>
      <c r="J1975" s="107">
        <v>2</v>
      </c>
      <c r="K1975" s="80">
        <f>SUMIFS(VENTAS[Cantidad],VENTAS[Código del producto Vendido],STOCK[[#This Row],[Code]])</f>
        <v>0</v>
      </c>
      <c r="L1975" s="80">
        <f>STOCK[[#This Row],[Entradas]]-STOCK[[#This Row],[Salidas]]</f>
        <v>2</v>
      </c>
      <c r="M1975" s="77">
        <f>STOCK[[#This Row],[Precio Final]]*10%</f>
        <v>0.3</v>
      </c>
      <c r="N1975" s="54">
        <v>0</v>
      </c>
      <c r="O1975" s="77">
        <v>0</v>
      </c>
      <c r="P1975" s="114">
        <v>0.95</v>
      </c>
      <c r="Q1975" s="77">
        <v>0</v>
      </c>
      <c r="R1975" s="80">
        <v>0</v>
      </c>
      <c r="S1975" s="115">
        <v>0.5</v>
      </c>
      <c r="T1975" s="77">
        <f>STOCK[[#This Row],[Costo Unitario (USD)]]+STOCK[[#This Row],[Costo Envío (USD)]]+STOCK[[#This Row],[Comisión 10%]]</f>
        <v>1.75</v>
      </c>
      <c r="U1975" s="53">
        <f>STOCK[[#This Row],[Costo total]]*1.5</f>
        <v>2.625</v>
      </c>
      <c r="V1975" s="53">
        <v>3</v>
      </c>
      <c r="W1975" s="77">
        <f>STOCK[[#This Row],[Precio Final]]-STOCK[[#This Row],[Costo total]]</f>
        <v>1.25</v>
      </c>
      <c r="X1975" s="77">
        <f>STOCK[[#This Row],[Ganancia Unitaria]]*STOCK[[#This Row],[Salidas]]</f>
        <v>0</v>
      </c>
      <c r="Y1975" s="77"/>
      <c r="Z1975" s="90"/>
      <c r="AA1975" s="54"/>
      <c r="AB1975" s="54"/>
      <c r="AC1975" s="77"/>
      <c r="AD1975" s="98"/>
    </row>
    <row r="1976" s="53" customFormat="1" ht="50" customHeight="1" spans="1:30">
      <c r="A1976" s="99" t="s">
        <v>3879</v>
      </c>
      <c r="B1976" s="85"/>
      <c r="C1976" s="53" t="s">
        <v>32</v>
      </c>
      <c r="D1976" s="86" t="s">
        <v>2897</v>
      </c>
      <c r="E1976" s="108" t="s">
        <v>3878</v>
      </c>
      <c r="F1976" s="107" t="s">
        <v>49</v>
      </c>
      <c r="G1976" s="77"/>
      <c r="H1976" s="77">
        <f>STOCK[[#This Row],[Precio Final]]</f>
        <v>3</v>
      </c>
      <c r="I1976" s="82">
        <f>STOCK[[#This Row],[Precio Venta Ideal (x1.5)]]</f>
        <v>2.625</v>
      </c>
      <c r="J1976" s="107">
        <v>3</v>
      </c>
      <c r="K1976" s="80">
        <f>SUMIFS(VENTAS[Cantidad],VENTAS[Código del producto Vendido],STOCK[[#This Row],[Code]])</f>
        <v>0</v>
      </c>
      <c r="L1976" s="80">
        <f>STOCK[[#This Row],[Entradas]]-STOCK[[#This Row],[Salidas]]</f>
        <v>3</v>
      </c>
      <c r="M1976" s="77">
        <f>STOCK[[#This Row],[Precio Final]]*10%</f>
        <v>0.3</v>
      </c>
      <c r="N1976" s="54">
        <v>0</v>
      </c>
      <c r="O1976" s="77">
        <v>0</v>
      </c>
      <c r="P1976" s="114">
        <v>0.95</v>
      </c>
      <c r="Q1976" s="77">
        <v>0</v>
      </c>
      <c r="R1976" s="80">
        <v>0</v>
      </c>
      <c r="S1976" s="116">
        <v>0.5</v>
      </c>
      <c r="T1976" s="77">
        <f>STOCK[[#This Row],[Costo Unitario (USD)]]+STOCK[[#This Row],[Costo Envío (USD)]]+STOCK[[#This Row],[Comisión 10%]]</f>
        <v>1.75</v>
      </c>
      <c r="U1976" s="53">
        <f>STOCK[[#This Row],[Costo total]]*1.5</f>
        <v>2.625</v>
      </c>
      <c r="V1976" s="53">
        <v>3</v>
      </c>
      <c r="W1976" s="77">
        <f>STOCK[[#This Row],[Precio Final]]-STOCK[[#This Row],[Costo total]]</f>
        <v>1.25</v>
      </c>
      <c r="X1976" s="77">
        <f>STOCK[[#This Row],[Ganancia Unitaria]]*STOCK[[#This Row],[Salidas]]</f>
        <v>0</v>
      </c>
      <c r="Y1976" s="77"/>
      <c r="Z1976" s="90"/>
      <c r="AA1976" s="54"/>
      <c r="AB1976" s="54"/>
      <c r="AC1976" s="77"/>
      <c r="AD1976" s="98"/>
    </row>
    <row r="1977" s="53" customFormat="1" ht="50" customHeight="1" spans="1:30">
      <c r="A1977" s="99" t="s">
        <v>3880</v>
      </c>
      <c r="B1977" s="85"/>
      <c r="C1977" s="53" t="s">
        <v>32</v>
      </c>
      <c r="D1977" s="86" t="s">
        <v>2897</v>
      </c>
      <c r="E1977" s="108" t="s">
        <v>3878</v>
      </c>
      <c r="F1977" s="107" t="s">
        <v>46</v>
      </c>
      <c r="G1977" s="77"/>
      <c r="H1977" s="77">
        <f>STOCK[[#This Row],[Precio Final]]</f>
        <v>3</v>
      </c>
      <c r="I1977" s="82">
        <f>STOCK[[#This Row],[Precio Venta Ideal (x1.5)]]</f>
        <v>2.625</v>
      </c>
      <c r="J1977" s="107">
        <v>3</v>
      </c>
      <c r="K1977" s="80">
        <f>SUMIFS(VENTAS[Cantidad],VENTAS[Código del producto Vendido],STOCK[[#This Row],[Code]])</f>
        <v>0</v>
      </c>
      <c r="L1977" s="80">
        <f>STOCK[[#This Row],[Entradas]]-STOCK[[#This Row],[Salidas]]</f>
        <v>3</v>
      </c>
      <c r="M1977" s="77">
        <f>STOCK[[#This Row],[Precio Final]]*10%</f>
        <v>0.3</v>
      </c>
      <c r="N1977" s="54">
        <v>0</v>
      </c>
      <c r="O1977" s="77">
        <v>0</v>
      </c>
      <c r="P1977" s="114">
        <v>0.95</v>
      </c>
      <c r="Q1977" s="77">
        <v>0</v>
      </c>
      <c r="R1977" s="80">
        <v>0</v>
      </c>
      <c r="S1977" s="115">
        <v>0.5</v>
      </c>
      <c r="T1977" s="77">
        <f>STOCK[[#This Row],[Costo Unitario (USD)]]+STOCK[[#This Row],[Costo Envío (USD)]]+STOCK[[#This Row],[Comisión 10%]]</f>
        <v>1.75</v>
      </c>
      <c r="U1977" s="53">
        <f>STOCK[[#This Row],[Costo total]]*1.5</f>
        <v>2.625</v>
      </c>
      <c r="V1977" s="53">
        <v>3</v>
      </c>
      <c r="W1977" s="77">
        <f>STOCK[[#This Row],[Precio Final]]-STOCK[[#This Row],[Costo total]]</f>
        <v>1.25</v>
      </c>
      <c r="X1977" s="77">
        <f>STOCK[[#This Row],[Ganancia Unitaria]]*STOCK[[#This Row],[Salidas]]</f>
        <v>0</v>
      </c>
      <c r="Y1977" s="77"/>
      <c r="Z1977" s="90"/>
      <c r="AA1977" s="54"/>
      <c r="AB1977" s="54"/>
      <c r="AC1977" s="77"/>
      <c r="AD1977" s="98"/>
    </row>
    <row r="1978" s="53" customFormat="1" ht="50" customHeight="1" spans="1:30">
      <c r="A1978" s="99" t="s">
        <v>3881</v>
      </c>
      <c r="B1978" s="85"/>
      <c r="C1978" s="53" t="s">
        <v>32</v>
      </c>
      <c r="D1978" s="86" t="s">
        <v>2897</v>
      </c>
      <c r="E1978" s="108" t="s">
        <v>3878</v>
      </c>
      <c r="F1978" s="107" t="s">
        <v>42</v>
      </c>
      <c r="G1978" s="77"/>
      <c r="H1978" s="77">
        <f>STOCK[[#This Row],[Precio Final]]</f>
        <v>3</v>
      </c>
      <c r="I1978" s="82">
        <f>STOCK[[#This Row],[Precio Venta Ideal (x1.5)]]</f>
        <v>2.625</v>
      </c>
      <c r="J1978" s="107">
        <v>3</v>
      </c>
      <c r="K1978" s="80">
        <f>SUMIFS(VENTAS[Cantidad],VENTAS[Código del producto Vendido],STOCK[[#This Row],[Code]])</f>
        <v>0</v>
      </c>
      <c r="L1978" s="80">
        <f>STOCK[[#This Row],[Entradas]]-STOCK[[#This Row],[Salidas]]</f>
        <v>3</v>
      </c>
      <c r="M1978" s="77">
        <f>STOCK[[#This Row],[Precio Final]]*10%</f>
        <v>0.3</v>
      </c>
      <c r="N1978" s="54">
        <v>0</v>
      </c>
      <c r="O1978" s="77">
        <v>0</v>
      </c>
      <c r="P1978" s="114">
        <v>0.95</v>
      </c>
      <c r="Q1978" s="77">
        <v>0</v>
      </c>
      <c r="R1978" s="80">
        <v>0</v>
      </c>
      <c r="S1978" s="116">
        <v>0.5</v>
      </c>
      <c r="T1978" s="77">
        <f>STOCK[[#This Row],[Costo Unitario (USD)]]+STOCK[[#This Row],[Costo Envío (USD)]]+STOCK[[#This Row],[Comisión 10%]]</f>
        <v>1.75</v>
      </c>
      <c r="U1978" s="53">
        <f>STOCK[[#This Row],[Costo total]]*1.5</f>
        <v>2.625</v>
      </c>
      <c r="V1978" s="53">
        <v>3</v>
      </c>
      <c r="W1978" s="77">
        <f>STOCK[[#This Row],[Precio Final]]-STOCK[[#This Row],[Costo total]]</f>
        <v>1.25</v>
      </c>
      <c r="X1978" s="77">
        <f>STOCK[[#This Row],[Ganancia Unitaria]]*STOCK[[#This Row],[Salidas]]</f>
        <v>0</v>
      </c>
      <c r="Y1978" s="77"/>
      <c r="Z1978" s="90"/>
      <c r="AA1978" s="54"/>
      <c r="AB1978" s="54"/>
      <c r="AC1978" s="77"/>
      <c r="AD1978" s="98"/>
    </row>
    <row r="1979" s="53" customFormat="1" ht="50" customHeight="1" spans="1:30">
      <c r="A1979" s="99" t="s">
        <v>3882</v>
      </c>
      <c r="B1979" s="85"/>
      <c r="C1979" s="53" t="s">
        <v>32</v>
      </c>
      <c r="D1979" s="86" t="s">
        <v>2897</v>
      </c>
      <c r="E1979" s="108" t="s">
        <v>3878</v>
      </c>
      <c r="F1979" s="107" t="s">
        <v>281</v>
      </c>
      <c r="G1979" s="77"/>
      <c r="H1979" s="77">
        <f>STOCK[[#This Row],[Precio Final]]</f>
        <v>3</v>
      </c>
      <c r="I1979" s="82">
        <f>STOCK[[#This Row],[Precio Venta Ideal (x1.5)]]</f>
        <v>2.625</v>
      </c>
      <c r="J1979" s="107">
        <v>3</v>
      </c>
      <c r="K1979" s="80">
        <f>SUMIFS(VENTAS[Cantidad],VENTAS[Código del producto Vendido],STOCK[[#This Row],[Code]])</f>
        <v>0</v>
      </c>
      <c r="L1979" s="80">
        <f>STOCK[[#This Row],[Entradas]]-STOCK[[#This Row],[Salidas]]</f>
        <v>3</v>
      </c>
      <c r="M1979" s="77">
        <f>STOCK[[#This Row],[Precio Final]]*10%</f>
        <v>0.3</v>
      </c>
      <c r="N1979" s="54">
        <v>0</v>
      </c>
      <c r="O1979" s="77">
        <v>0</v>
      </c>
      <c r="P1979" s="114">
        <v>0.95</v>
      </c>
      <c r="Q1979" s="77">
        <v>0</v>
      </c>
      <c r="R1979" s="80">
        <v>0</v>
      </c>
      <c r="S1979" s="115">
        <v>0.5</v>
      </c>
      <c r="T1979" s="77">
        <f>STOCK[[#This Row],[Costo Unitario (USD)]]+STOCK[[#This Row],[Costo Envío (USD)]]+STOCK[[#This Row],[Comisión 10%]]</f>
        <v>1.75</v>
      </c>
      <c r="U1979" s="53">
        <f>STOCK[[#This Row],[Costo total]]*1.5</f>
        <v>2.625</v>
      </c>
      <c r="V1979" s="53">
        <v>3</v>
      </c>
      <c r="W1979" s="77">
        <f>STOCK[[#This Row],[Precio Final]]-STOCK[[#This Row],[Costo total]]</f>
        <v>1.25</v>
      </c>
      <c r="X1979" s="77">
        <f>STOCK[[#This Row],[Ganancia Unitaria]]*STOCK[[#This Row],[Salidas]]</f>
        <v>0</v>
      </c>
      <c r="Y1979" s="77"/>
      <c r="Z1979" s="90"/>
      <c r="AA1979" s="54"/>
      <c r="AB1979" s="54"/>
      <c r="AC1979" s="77"/>
      <c r="AD1979" s="98"/>
    </row>
    <row r="1980" s="53" customFormat="1" ht="50" customHeight="1" spans="1:30">
      <c r="A1980" s="99" t="s">
        <v>3883</v>
      </c>
      <c r="B1980" s="85"/>
      <c r="C1980" s="53" t="s">
        <v>32</v>
      </c>
      <c r="D1980" s="86" t="s">
        <v>2897</v>
      </c>
      <c r="E1980" s="108" t="s">
        <v>3884</v>
      </c>
      <c r="F1980" s="107" t="s">
        <v>62</v>
      </c>
      <c r="G1980" s="77"/>
      <c r="H1980" s="77">
        <f>STOCK[[#This Row],[Precio Final]]</f>
        <v>3</v>
      </c>
      <c r="I1980" s="82">
        <f>STOCK[[#This Row],[Precio Venta Ideal (x1.5)]]</f>
        <v>2.55</v>
      </c>
      <c r="J1980" s="107">
        <v>4</v>
      </c>
      <c r="K1980" s="80">
        <f>SUMIFS(VENTAS[Cantidad],VENTAS[Código del producto Vendido],STOCK[[#This Row],[Code]])</f>
        <v>0</v>
      </c>
      <c r="L1980" s="80">
        <f>STOCK[[#This Row],[Entradas]]-STOCK[[#This Row],[Salidas]]</f>
        <v>4</v>
      </c>
      <c r="M1980" s="77">
        <f>STOCK[[#This Row],[Precio Final]]*10%</f>
        <v>0.3</v>
      </c>
      <c r="N1980" s="54">
        <v>0</v>
      </c>
      <c r="O1980" s="77">
        <v>0</v>
      </c>
      <c r="P1980" s="114">
        <v>0.9</v>
      </c>
      <c r="Q1980" s="77">
        <v>0</v>
      </c>
      <c r="R1980" s="80">
        <v>0</v>
      </c>
      <c r="S1980" s="116">
        <v>0.5</v>
      </c>
      <c r="T1980" s="77">
        <f>STOCK[[#This Row],[Costo Unitario (USD)]]+STOCK[[#This Row],[Costo Envío (USD)]]+STOCK[[#This Row],[Comisión 10%]]</f>
        <v>1.7</v>
      </c>
      <c r="U1980" s="53">
        <f>STOCK[[#This Row],[Costo total]]*1.5</f>
        <v>2.55</v>
      </c>
      <c r="V1980" s="53">
        <v>3</v>
      </c>
      <c r="W1980" s="77">
        <f>STOCK[[#This Row],[Precio Final]]-STOCK[[#This Row],[Costo total]]</f>
        <v>1.3</v>
      </c>
      <c r="X1980" s="77">
        <f>STOCK[[#This Row],[Ganancia Unitaria]]*STOCK[[#This Row],[Salidas]]</f>
        <v>0</v>
      </c>
      <c r="Y1980" s="77"/>
      <c r="Z1980" s="90"/>
      <c r="AA1980" s="54"/>
      <c r="AB1980" s="54"/>
      <c r="AC1980" s="77"/>
      <c r="AD1980" s="98"/>
    </row>
    <row r="1981" s="53" customFormat="1" ht="50" customHeight="1" spans="1:30">
      <c r="A1981" s="99" t="s">
        <v>3885</v>
      </c>
      <c r="B1981" s="85"/>
      <c r="C1981" s="53" t="s">
        <v>32</v>
      </c>
      <c r="D1981" s="86" t="s">
        <v>2897</v>
      </c>
      <c r="E1981" s="108" t="s">
        <v>3884</v>
      </c>
      <c r="F1981" s="107" t="s">
        <v>49</v>
      </c>
      <c r="G1981" s="77"/>
      <c r="H1981" s="77">
        <f>STOCK[[#This Row],[Precio Final]]</f>
        <v>3</v>
      </c>
      <c r="I1981" s="82">
        <f>STOCK[[#This Row],[Precio Venta Ideal (x1.5)]]</f>
        <v>2.55</v>
      </c>
      <c r="J1981" s="107">
        <v>4</v>
      </c>
      <c r="K1981" s="80">
        <f>SUMIFS(VENTAS[Cantidad],VENTAS[Código del producto Vendido],STOCK[[#This Row],[Code]])</f>
        <v>0</v>
      </c>
      <c r="L1981" s="80">
        <f>STOCK[[#This Row],[Entradas]]-STOCK[[#This Row],[Salidas]]</f>
        <v>4</v>
      </c>
      <c r="M1981" s="77">
        <f>STOCK[[#This Row],[Precio Final]]*10%</f>
        <v>0.3</v>
      </c>
      <c r="N1981" s="54">
        <v>0</v>
      </c>
      <c r="O1981" s="77">
        <v>0</v>
      </c>
      <c r="P1981" s="114">
        <v>0.9</v>
      </c>
      <c r="Q1981" s="77">
        <v>0</v>
      </c>
      <c r="R1981" s="80">
        <v>0</v>
      </c>
      <c r="S1981" s="115">
        <v>0.5</v>
      </c>
      <c r="T1981" s="77">
        <f>STOCK[[#This Row],[Costo Unitario (USD)]]+STOCK[[#This Row],[Costo Envío (USD)]]+STOCK[[#This Row],[Comisión 10%]]</f>
        <v>1.7</v>
      </c>
      <c r="U1981" s="53">
        <f>STOCK[[#This Row],[Costo total]]*1.5</f>
        <v>2.55</v>
      </c>
      <c r="V1981" s="53">
        <v>3</v>
      </c>
      <c r="W1981" s="77">
        <f>STOCK[[#This Row],[Precio Final]]-STOCK[[#This Row],[Costo total]]</f>
        <v>1.3</v>
      </c>
      <c r="X1981" s="77">
        <f>STOCK[[#This Row],[Ganancia Unitaria]]*STOCK[[#This Row],[Salidas]]</f>
        <v>0</v>
      </c>
      <c r="Y1981" s="77"/>
      <c r="Z1981" s="90"/>
      <c r="AA1981" s="54"/>
      <c r="AB1981" s="54"/>
      <c r="AC1981" s="77"/>
      <c r="AD1981" s="98"/>
    </row>
    <row r="1982" s="53" customFormat="1" ht="50" customHeight="1" spans="1:30">
      <c r="A1982" s="99" t="s">
        <v>3886</v>
      </c>
      <c r="B1982" s="85"/>
      <c r="C1982" s="53" t="s">
        <v>32</v>
      </c>
      <c r="D1982" s="86" t="s">
        <v>2897</v>
      </c>
      <c r="E1982" s="108" t="s">
        <v>3884</v>
      </c>
      <c r="F1982" s="107" t="s">
        <v>46</v>
      </c>
      <c r="G1982" s="77"/>
      <c r="H1982" s="77">
        <f>STOCK[[#This Row],[Precio Final]]</f>
        <v>3</v>
      </c>
      <c r="I1982" s="82">
        <f>STOCK[[#This Row],[Precio Venta Ideal (x1.5)]]</f>
        <v>2.55</v>
      </c>
      <c r="J1982" s="107">
        <v>4</v>
      </c>
      <c r="K1982" s="80">
        <f>SUMIFS(VENTAS[Cantidad],VENTAS[Código del producto Vendido],STOCK[[#This Row],[Code]])</f>
        <v>0</v>
      </c>
      <c r="L1982" s="80">
        <f>STOCK[[#This Row],[Entradas]]-STOCK[[#This Row],[Salidas]]</f>
        <v>4</v>
      </c>
      <c r="M1982" s="77">
        <f>STOCK[[#This Row],[Precio Final]]*10%</f>
        <v>0.3</v>
      </c>
      <c r="N1982" s="54">
        <v>0</v>
      </c>
      <c r="O1982" s="77">
        <v>0</v>
      </c>
      <c r="P1982" s="114">
        <v>0.9</v>
      </c>
      <c r="Q1982" s="77">
        <v>0</v>
      </c>
      <c r="R1982" s="80">
        <v>0</v>
      </c>
      <c r="S1982" s="116">
        <v>0.5</v>
      </c>
      <c r="T1982" s="77">
        <f>STOCK[[#This Row],[Costo Unitario (USD)]]+STOCK[[#This Row],[Costo Envío (USD)]]+STOCK[[#This Row],[Comisión 10%]]</f>
        <v>1.7</v>
      </c>
      <c r="U1982" s="53">
        <f>STOCK[[#This Row],[Costo total]]*1.5</f>
        <v>2.55</v>
      </c>
      <c r="V1982" s="53">
        <v>3</v>
      </c>
      <c r="W1982" s="77">
        <f>STOCK[[#This Row],[Precio Final]]-STOCK[[#This Row],[Costo total]]</f>
        <v>1.3</v>
      </c>
      <c r="X1982" s="77">
        <f>STOCK[[#This Row],[Ganancia Unitaria]]*STOCK[[#This Row],[Salidas]]</f>
        <v>0</v>
      </c>
      <c r="Y1982" s="77"/>
      <c r="Z1982" s="90"/>
      <c r="AA1982" s="54"/>
      <c r="AB1982" s="54"/>
      <c r="AC1982" s="77"/>
      <c r="AD1982" s="98"/>
    </row>
    <row r="1983" s="53" customFormat="1" ht="50" customHeight="1" spans="1:30">
      <c r="A1983" s="99" t="s">
        <v>3887</v>
      </c>
      <c r="B1983" s="85"/>
      <c r="C1983" s="53" t="s">
        <v>32</v>
      </c>
      <c r="D1983" s="86" t="s">
        <v>2897</v>
      </c>
      <c r="E1983" s="108" t="s">
        <v>3888</v>
      </c>
      <c r="F1983" s="107" t="s">
        <v>62</v>
      </c>
      <c r="G1983" s="77"/>
      <c r="H1983" s="77">
        <f>STOCK[[#This Row],[Precio Final]]</f>
        <v>3</v>
      </c>
      <c r="I1983" s="82">
        <f>STOCK[[#This Row],[Precio Venta Ideal (x1.5)]]</f>
        <v>2.55</v>
      </c>
      <c r="J1983" s="107">
        <v>4</v>
      </c>
      <c r="K1983" s="80">
        <f>SUMIFS(VENTAS[Cantidad],VENTAS[Código del producto Vendido],STOCK[[#This Row],[Code]])</f>
        <v>0</v>
      </c>
      <c r="L1983" s="80">
        <f>STOCK[[#This Row],[Entradas]]-STOCK[[#This Row],[Salidas]]</f>
        <v>4</v>
      </c>
      <c r="M1983" s="77">
        <f>STOCK[[#This Row],[Precio Final]]*10%</f>
        <v>0.3</v>
      </c>
      <c r="N1983" s="54">
        <v>0</v>
      </c>
      <c r="O1983" s="77">
        <v>0</v>
      </c>
      <c r="P1983" s="114">
        <v>0.9</v>
      </c>
      <c r="Q1983" s="77">
        <v>0</v>
      </c>
      <c r="R1983" s="80">
        <v>0</v>
      </c>
      <c r="S1983" s="115">
        <v>0.5</v>
      </c>
      <c r="T1983" s="77">
        <f>STOCK[[#This Row],[Costo Unitario (USD)]]+STOCK[[#This Row],[Costo Envío (USD)]]+STOCK[[#This Row],[Comisión 10%]]</f>
        <v>1.7</v>
      </c>
      <c r="U1983" s="53">
        <f>STOCK[[#This Row],[Costo total]]*1.5</f>
        <v>2.55</v>
      </c>
      <c r="V1983" s="53">
        <v>3</v>
      </c>
      <c r="W1983" s="77">
        <f>STOCK[[#This Row],[Precio Final]]-STOCK[[#This Row],[Costo total]]</f>
        <v>1.3</v>
      </c>
      <c r="X1983" s="77">
        <f>STOCK[[#This Row],[Ganancia Unitaria]]*STOCK[[#This Row],[Salidas]]</f>
        <v>0</v>
      </c>
      <c r="Y1983" s="77"/>
      <c r="Z1983" s="90"/>
      <c r="AA1983" s="54"/>
      <c r="AB1983" s="54"/>
      <c r="AC1983" s="77"/>
      <c r="AD1983" s="98"/>
    </row>
    <row r="1984" s="53" customFormat="1" ht="50" customHeight="1" spans="1:30">
      <c r="A1984" s="99" t="s">
        <v>3889</v>
      </c>
      <c r="B1984" s="85"/>
      <c r="C1984" s="53" t="s">
        <v>32</v>
      </c>
      <c r="D1984" s="86" t="s">
        <v>2897</v>
      </c>
      <c r="E1984" s="108" t="s">
        <v>3888</v>
      </c>
      <c r="F1984" s="107" t="s">
        <v>49</v>
      </c>
      <c r="G1984" s="77"/>
      <c r="H1984" s="77">
        <f>STOCK[[#This Row],[Precio Final]]</f>
        <v>3</v>
      </c>
      <c r="I1984" s="82">
        <f>STOCK[[#This Row],[Precio Venta Ideal (x1.5)]]</f>
        <v>2.55</v>
      </c>
      <c r="J1984" s="107">
        <v>4</v>
      </c>
      <c r="K1984" s="80">
        <f>SUMIFS(VENTAS[Cantidad],VENTAS[Código del producto Vendido],STOCK[[#This Row],[Code]])</f>
        <v>0</v>
      </c>
      <c r="L1984" s="80">
        <f>STOCK[[#This Row],[Entradas]]-STOCK[[#This Row],[Salidas]]</f>
        <v>4</v>
      </c>
      <c r="M1984" s="77">
        <f>STOCK[[#This Row],[Precio Final]]*10%</f>
        <v>0.3</v>
      </c>
      <c r="N1984" s="54">
        <v>0</v>
      </c>
      <c r="O1984" s="77">
        <v>0</v>
      </c>
      <c r="P1984" s="114">
        <v>0.9</v>
      </c>
      <c r="Q1984" s="77">
        <v>0</v>
      </c>
      <c r="R1984" s="80">
        <v>0</v>
      </c>
      <c r="S1984" s="116">
        <v>0.5</v>
      </c>
      <c r="T1984" s="77">
        <f>STOCK[[#This Row],[Costo Unitario (USD)]]+STOCK[[#This Row],[Costo Envío (USD)]]+STOCK[[#This Row],[Comisión 10%]]</f>
        <v>1.7</v>
      </c>
      <c r="U1984" s="53">
        <f>STOCK[[#This Row],[Costo total]]*1.5</f>
        <v>2.55</v>
      </c>
      <c r="V1984" s="53">
        <v>3</v>
      </c>
      <c r="W1984" s="77">
        <f>STOCK[[#This Row],[Precio Final]]-STOCK[[#This Row],[Costo total]]</f>
        <v>1.3</v>
      </c>
      <c r="X1984" s="77">
        <f>STOCK[[#This Row],[Ganancia Unitaria]]*STOCK[[#This Row],[Salidas]]</f>
        <v>0</v>
      </c>
      <c r="Y1984" s="77"/>
      <c r="Z1984" s="90"/>
      <c r="AA1984" s="54"/>
      <c r="AB1984" s="54"/>
      <c r="AC1984" s="77"/>
      <c r="AD1984" s="98"/>
    </row>
    <row r="1985" s="53" customFormat="1" ht="50" customHeight="1" spans="1:30">
      <c r="A1985" s="99" t="s">
        <v>3890</v>
      </c>
      <c r="B1985" s="85"/>
      <c r="C1985" s="53" t="s">
        <v>32</v>
      </c>
      <c r="D1985" s="86" t="s">
        <v>2897</v>
      </c>
      <c r="E1985" s="108" t="s">
        <v>3888</v>
      </c>
      <c r="F1985" s="107" t="s">
        <v>46</v>
      </c>
      <c r="G1985" s="77"/>
      <c r="H1985" s="77">
        <f>STOCK[[#This Row],[Precio Final]]</f>
        <v>3</v>
      </c>
      <c r="I1985" s="82">
        <f>STOCK[[#This Row],[Precio Venta Ideal (x1.5)]]</f>
        <v>2.55</v>
      </c>
      <c r="J1985" s="107">
        <v>4</v>
      </c>
      <c r="K1985" s="80">
        <f>SUMIFS(VENTAS[Cantidad],VENTAS[Código del producto Vendido],STOCK[[#This Row],[Code]])</f>
        <v>0</v>
      </c>
      <c r="L1985" s="80">
        <f>STOCK[[#This Row],[Entradas]]-STOCK[[#This Row],[Salidas]]</f>
        <v>4</v>
      </c>
      <c r="M1985" s="77">
        <f>STOCK[[#This Row],[Precio Final]]*10%</f>
        <v>0.3</v>
      </c>
      <c r="N1985" s="54">
        <v>0</v>
      </c>
      <c r="O1985" s="77">
        <v>0</v>
      </c>
      <c r="P1985" s="114">
        <v>0.9</v>
      </c>
      <c r="Q1985" s="77">
        <v>0</v>
      </c>
      <c r="R1985" s="80">
        <v>0</v>
      </c>
      <c r="S1985" s="115">
        <v>0.5</v>
      </c>
      <c r="T1985" s="77">
        <f>STOCK[[#This Row],[Costo Unitario (USD)]]+STOCK[[#This Row],[Costo Envío (USD)]]+STOCK[[#This Row],[Comisión 10%]]</f>
        <v>1.7</v>
      </c>
      <c r="U1985" s="53">
        <f>STOCK[[#This Row],[Costo total]]*1.5</f>
        <v>2.55</v>
      </c>
      <c r="V1985" s="53">
        <v>3</v>
      </c>
      <c r="W1985" s="77">
        <f>STOCK[[#This Row],[Precio Final]]-STOCK[[#This Row],[Costo total]]</f>
        <v>1.3</v>
      </c>
      <c r="X1985" s="77">
        <f>STOCK[[#This Row],[Ganancia Unitaria]]*STOCK[[#This Row],[Salidas]]</f>
        <v>0</v>
      </c>
      <c r="Y1985" s="77"/>
      <c r="Z1985" s="90"/>
      <c r="AA1985" s="54"/>
      <c r="AB1985" s="54"/>
      <c r="AC1985" s="77"/>
      <c r="AD1985" s="98"/>
    </row>
    <row r="1986" s="53" customFormat="1" ht="50" customHeight="1" spans="1:30">
      <c r="A1986" s="99" t="s">
        <v>3891</v>
      </c>
      <c r="B1986" s="85"/>
      <c r="C1986" s="53" t="s">
        <v>32</v>
      </c>
      <c r="D1986" s="86" t="s">
        <v>2897</v>
      </c>
      <c r="E1986" s="108" t="s">
        <v>3892</v>
      </c>
      <c r="F1986" s="107" t="s">
        <v>62</v>
      </c>
      <c r="G1986" s="77"/>
      <c r="H1986" s="77">
        <f>STOCK[[#This Row],[Precio Final]]</f>
        <v>3</v>
      </c>
      <c r="I1986" s="82">
        <f>STOCK[[#This Row],[Precio Venta Ideal (x1.5)]]</f>
        <v>2.55</v>
      </c>
      <c r="J1986" s="107">
        <v>4</v>
      </c>
      <c r="K1986" s="80">
        <f>SUMIFS(VENTAS[Cantidad],VENTAS[Código del producto Vendido],STOCK[[#This Row],[Code]])</f>
        <v>0</v>
      </c>
      <c r="L1986" s="80">
        <f>STOCK[[#This Row],[Entradas]]-STOCK[[#This Row],[Salidas]]</f>
        <v>4</v>
      </c>
      <c r="M1986" s="77">
        <f>STOCK[[#This Row],[Precio Final]]*10%</f>
        <v>0.3</v>
      </c>
      <c r="N1986" s="54">
        <v>0</v>
      </c>
      <c r="O1986" s="77">
        <v>0</v>
      </c>
      <c r="P1986" s="114">
        <v>0.9</v>
      </c>
      <c r="Q1986" s="77">
        <v>0</v>
      </c>
      <c r="R1986" s="80">
        <v>0</v>
      </c>
      <c r="S1986" s="116">
        <v>0.5</v>
      </c>
      <c r="T1986" s="77">
        <f>STOCK[[#This Row],[Costo Unitario (USD)]]+STOCK[[#This Row],[Costo Envío (USD)]]+STOCK[[#This Row],[Comisión 10%]]</f>
        <v>1.7</v>
      </c>
      <c r="U1986" s="53">
        <f>STOCK[[#This Row],[Costo total]]*1.5</f>
        <v>2.55</v>
      </c>
      <c r="V1986" s="53">
        <v>3</v>
      </c>
      <c r="W1986" s="77">
        <f>STOCK[[#This Row],[Precio Final]]-STOCK[[#This Row],[Costo total]]</f>
        <v>1.3</v>
      </c>
      <c r="X1986" s="77">
        <f>STOCK[[#This Row],[Ganancia Unitaria]]*STOCK[[#This Row],[Salidas]]</f>
        <v>0</v>
      </c>
      <c r="Y1986" s="77"/>
      <c r="Z1986" s="90"/>
      <c r="AA1986" s="54"/>
      <c r="AB1986" s="54"/>
      <c r="AC1986" s="77"/>
      <c r="AD1986" s="98"/>
    </row>
    <row r="1987" s="53" customFormat="1" ht="50" customHeight="1" spans="1:30">
      <c r="A1987" s="99" t="s">
        <v>3893</v>
      </c>
      <c r="B1987" s="85"/>
      <c r="C1987" s="53" t="s">
        <v>32</v>
      </c>
      <c r="D1987" s="86" t="s">
        <v>2897</v>
      </c>
      <c r="E1987" s="108" t="s">
        <v>3892</v>
      </c>
      <c r="F1987" s="107" t="s">
        <v>49</v>
      </c>
      <c r="G1987" s="77"/>
      <c r="H1987" s="77">
        <f>STOCK[[#This Row],[Precio Final]]</f>
        <v>3</v>
      </c>
      <c r="I1987" s="82">
        <f>STOCK[[#This Row],[Precio Venta Ideal (x1.5)]]</f>
        <v>2.55</v>
      </c>
      <c r="J1987" s="107">
        <v>4</v>
      </c>
      <c r="K1987" s="80">
        <f>SUMIFS(VENTAS[Cantidad],VENTAS[Código del producto Vendido],STOCK[[#This Row],[Code]])</f>
        <v>0</v>
      </c>
      <c r="L1987" s="80">
        <f>STOCK[[#This Row],[Entradas]]-STOCK[[#This Row],[Salidas]]</f>
        <v>4</v>
      </c>
      <c r="M1987" s="77">
        <f>STOCK[[#This Row],[Precio Final]]*10%</f>
        <v>0.3</v>
      </c>
      <c r="N1987" s="54">
        <v>0</v>
      </c>
      <c r="O1987" s="77">
        <v>0</v>
      </c>
      <c r="P1987" s="114">
        <v>0.9</v>
      </c>
      <c r="Q1987" s="77">
        <v>0</v>
      </c>
      <c r="R1987" s="80">
        <v>0</v>
      </c>
      <c r="S1987" s="115">
        <v>0.5</v>
      </c>
      <c r="T1987" s="77">
        <f>STOCK[[#This Row],[Costo Unitario (USD)]]+STOCK[[#This Row],[Costo Envío (USD)]]+STOCK[[#This Row],[Comisión 10%]]</f>
        <v>1.7</v>
      </c>
      <c r="U1987" s="53">
        <f>STOCK[[#This Row],[Costo total]]*1.5</f>
        <v>2.55</v>
      </c>
      <c r="V1987" s="53">
        <v>3</v>
      </c>
      <c r="W1987" s="77">
        <f>STOCK[[#This Row],[Precio Final]]-STOCK[[#This Row],[Costo total]]</f>
        <v>1.3</v>
      </c>
      <c r="X1987" s="77">
        <f>STOCK[[#This Row],[Ganancia Unitaria]]*STOCK[[#This Row],[Salidas]]</f>
        <v>0</v>
      </c>
      <c r="Y1987" s="77"/>
      <c r="Z1987" s="90"/>
      <c r="AA1987" s="54"/>
      <c r="AB1987" s="54"/>
      <c r="AC1987" s="77"/>
      <c r="AD1987" s="98"/>
    </row>
    <row r="1988" s="53" customFormat="1" ht="50" customHeight="1" spans="1:30">
      <c r="A1988" s="99" t="s">
        <v>3894</v>
      </c>
      <c r="B1988" s="85"/>
      <c r="C1988" s="53" t="s">
        <v>32</v>
      </c>
      <c r="D1988" s="86" t="s">
        <v>2897</v>
      </c>
      <c r="E1988" s="108" t="s">
        <v>3892</v>
      </c>
      <c r="F1988" s="107" t="s">
        <v>46</v>
      </c>
      <c r="G1988" s="77"/>
      <c r="H1988" s="77">
        <f>STOCK[[#This Row],[Precio Final]]</f>
        <v>3</v>
      </c>
      <c r="I1988" s="82">
        <f>STOCK[[#This Row],[Precio Venta Ideal (x1.5)]]</f>
        <v>2.55</v>
      </c>
      <c r="J1988" s="107">
        <v>4</v>
      </c>
      <c r="K1988" s="80">
        <f>SUMIFS(VENTAS[Cantidad],VENTAS[Código del producto Vendido],STOCK[[#This Row],[Code]])</f>
        <v>0</v>
      </c>
      <c r="L1988" s="80">
        <f>STOCK[[#This Row],[Entradas]]-STOCK[[#This Row],[Salidas]]</f>
        <v>4</v>
      </c>
      <c r="M1988" s="77">
        <f>STOCK[[#This Row],[Precio Final]]*10%</f>
        <v>0.3</v>
      </c>
      <c r="N1988" s="54">
        <v>0</v>
      </c>
      <c r="O1988" s="77">
        <v>0</v>
      </c>
      <c r="P1988" s="114">
        <v>0.9</v>
      </c>
      <c r="Q1988" s="77">
        <v>0</v>
      </c>
      <c r="R1988" s="80">
        <v>0</v>
      </c>
      <c r="S1988" s="116">
        <v>0.5</v>
      </c>
      <c r="T1988" s="77">
        <f>STOCK[[#This Row],[Costo Unitario (USD)]]+STOCK[[#This Row],[Costo Envío (USD)]]+STOCK[[#This Row],[Comisión 10%]]</f>
        <v>1.7</v>
      </c>
      <c r="U1988" s="53">
        <f>STOCK[[#This Row],[Costo total]]*1.5</f>
        <v>2.55</v>
      </c>
      <c r="V1988" s="53">
        <v>3</v>
      </c>
      <c r="W1988" s="77">
        <f>STOCK[[#This Row],[Precio Final]]-STOCK[[#This Row],[Costo total]]</f>
        <v>1.3</v>
      </c>
      <c r="X1988" s="77">
        <f>STOCK[[#This Row],[Ganancia Unitaria]]*STOCK[[#This Row],[Salidas]]</f>
        <v>0</v>
      </c>
      <c r="Y1988" s="77"/>
      <c r="Z1988" s="90"/>
      <c r="AA1988" s="54"/>
      <c r="AB1988" s="54"/>
      <c r="AC1988" s="77"/>
      <c r="AD1988" s="98"/>
    </row>
    <row r="1989" s="53" customFormat="1" ht="50" customHeight="1" spans="1:30">
      <c r="A1989" s="99" t="s">
        <v>3895</v>
      </c>
      <c r="B1989" s="85"/>
      <c r="C1989" s="53" t="s">
        <v>32</v>
      </c>
      <c r="D1989" s="86" t="s">
        <v>2897</v>
      </c>
      <c r="E1989" s="108" t="s">
        <v>3896</v>
      </c>
      <c r="F1989" s="107" t="s">
        <v>62</v>
      </c>
      <c r="G1989" s="77"/>
      <c r="H1989" s="77">
        <f>STOCK[[#This Row],[Precio Final]]</f>
        <v>3</v>
      </c>
      <c r="I1989" s="82">
        <f>STOCK[[#This Row],[Precio Venta Ideal (x1.5)]]</f>
        <v>2.55</v>
      </c>
      <c r="J1989" s="107">
        <v>4</v>
      </c>
      <c r="K1989" s="80">
        <f>SUMIFS(VENTAS[Cantidad],VENTAS[Código del producto Vendido],STOCK[[#This Row],[Code]])</f>
        <v>0</v>
      </c>
      <c r="L1989" s="80">
        <f>STOCK[[#This Row],[Entradas]]-STOCK[[#This Row],[Salidas]]</f>
        <v>4</v>
      </c>
      <c r="M1989" s="77">
        <f>STOCK[[#This Row],[Precio Final]]*10%</f>
        <v>0.3</v>
      </c>
      <c r="N1989" s="54">
        <v>0</v>
      </c>
      <c r="O1989" s="77">
        <v>0</v>
      </c>
      <c r="P1989" s="114">
        <v>0.9</v>
      </c>
      <c r="Q1989" s="77">
        <v>0</v>
      </c>
      <c r="R1989" s="80">
        <v>0</v>
      </c>
      <c r="S1989" s="115">
        <v>0.5</v>
      </c>
      <c r="T1989" s="77">
        <f>STOCK[[#This Row],[Costo Unitario (USD)]]+STOCK[[#This Row],[Costo Envío (USD)]]+STOCK[[#This Row],[Comisión 10%]]</f>
        <v>1.7</v>
      </c>
      <c r="U1989" s="53">
        <f>STOCK[[#This Row],[Costo total]]*1.5</f>
        <v>2.55</v>
      </c>
      <c r="V1989" s="53">
        <v>3</v>
      </c>
      <c r="W1989" s="77">
        <f>STOCK[[#This Row],[Precio Final]]-STOCK[[#This Row],[Costo total]]</f>
        <v>1.3</v>
      </c>
      <c r="X1989" s="77">
        <f>STOCK[[#This Row],[Ganancia Unitaria]]*STOCK[[#This Row],[Salidas]]</f>
        <v>0</v>
      </c>
      <c r="Y1989" s="77"/>
      <c r="Z1989" s="90"/>
      <c r="AA1989" s="54"/>
      <c r="AB1989" s="54"/>
      <c r="AC1989" s="77"/>
      <c r="AD1989" s="98"/>
    </row>
    <row r="1990" s="53" customFormat="1" ht="50" customHeight="1" spans="1:30">
      <c r="A1990" s="99" t="s">
        <v>3897</v>
      </c>
      <c r="B1990" s="85"/>
      <c r="C1990" s="53" t="s">
        <v>32</v>
      </c>
      <c r="D1990" s="86" t="s">
        <v>2897</v>
      </c>
      <c r="E1990" s="108" t="s">
        <v>3896</v>
      </c>
      <c r="F1990" s="107" t="s">
        <v>49</v>
      </c>
      <c r="G1990" s="77"/>
      <c r="H1990" s="77">
        <f>STOCK[[#This Row],[Precio Final]]</f>
        <v>3</v>
      </c>
      <c r="I1990" s="82">
        <f>STOCK[[#This Row],[Precio Venta Ideal (x1.5)]]</f>
        <v>2.55</v>
      </c>
      <c r="J1990" s="107">
        <v>4</v>
      </c>
      <c r="K1990" s="80">
        <f>SUMIFS(VENTAS[Cantidad],VENTAS[Código del producto Vendido],STOCK[[#This Row],[Code]])</f>
        <v>0</v>
      </c>
      <c r="L1990" s="80">
        <f>STOCK[[#This Row],[Entradas]]-STOCK[[#This Row],[Salidas]]</f>
        <v>4</v>
      </c>
      <c r="M1990" s="77">
        <f>STOCK[[#This Row],[Precio Final]]*10%</f>
        <v>0.3</v>
      </c>
      <c r="N1990" s="54">
        <v>0</v>
      </c>
      <c r="O1990" s="77">
        <v>0</v>
      </c>
      <c r="P1990" s="114">
        <v>0.9</v>
      </c>
      <c r="Q1990" s="77">
        <v>0</v>
      </c>
      <c r="R1990" s="80">
        <v>0</v>
      </c>
      <c r="S1990" s="116">
        <v>0.5</v>
      </c>
      <c r="T1990" s="77">
        <f>STOCK[[#This Row],[Costo Unitario (USD)]]+STOCK[[#This Row],[Costo Envío (USD)]]+STOCK[[#This Row],[Comisión 10%]]</f>
        <v>1.7</v>
      </c>
      <c r="U1990" s="53">
        <f>STOCK[[#This Row],[Costo total]]*1.5</f>
        <v>2.55</v>
      </c>
      <c r="V1990" s="53">
        <v>3</v>
      </c>
      <c r="W1990" s="77">
        <f>STOCK[[#This Row],[Precio Final]]-STOCK[[#This Row],[Costo total]]</f>
        <v>1.3</v>
      </c>
      <c r="X1990" s="77">
        <f>STOCK[[#This Row],[Ganancia Unitaria]]*STOCK[[#This Row],[Salidas]]</f>
        <v>0</v>
      </c>
      <c r="Y1990" s="77"/>
      <c r="Z1990" s="90"/>
      <c r="AA1990" s="54"/>
      <c r="AB1990" s="54"/>
      <c r="AC1990" s="77"/>
      <c r="AD1990" s="98"/>
    </row>
    <row r="1991" s="53" customFormat="1" ht="50" customHeight="1" spans="1:30">
      <c r="A1991" s="99" t="s">
        <v>3898</v>
      </c>
      <c r="B1991" s="85"/>
      <c r="C1991" s="53" t="s">
        <v>32</v>
      </c>
      <c r="D1991" s="86" t="s">
        <v>2897</v>
      </c>
      <c r="E1991" s="108" t="s">
        <v>3896</v>
      </c>
      <c r="F1991" s="107" t="s">
        <v>46</v>
      </c>
      <c r="G1991" s="77"/>
      <c r="H1991" s="77">
        <f>STOCK[[#This Row],[Precio Final]]</f>
        <v>3</v>
      </c>
      <c r="I1991" s="82">
        <f>STOCK[[#This Row],[Precio Venta Ideal (x1.5)]]</f>
        <v>2.55</v>
      </c>
      <c r="J1991" s="107">
        <v>4</v>
      </c>
      <c r="K1991" s="80">
        <f>SUMIFS(VENTAS[Cantidad],VENTAS[Código del producto Vendido],STOCK[[#This Row],[Code]])</f>
        <v>0</v>
      </c>
      <c r="L1991" s="80">
        <f>STOCK[[#This Row],[Entradas]]-STOCK[[#This Row],[Salidas]]</f>
        <v>4</v>
      </c>
      <c r="M1991" s="77">
        <f>STOCK[[#This Row],[Precio Final]]*10%</f>
        <v>0.3</v>
      </c>
      <c r="N1991" s="54">
        <v>0</v>
      </c>
      <c r="O1991" s="77">
        <v>0</v>
      </c>
      <c r="P1991" s="114">
        <v>0.9</v>
      </c>
      <c r="Q1991" s="77">
        <v>0</v>
      </c>
      <c r="R1991" s="80">
        <v>0</v>
      </c>
      <c r="S1991" s="115">
        <v>0.5</v>
      </c>
      <c r="T1991" s="77">
        <f>STOCK[[#This Row],[Costo Unitario (USD)]]+STOCK[[#This Row],[Costo Envío (USD)]]+STOCK[[#This Row],[Comisión 10%]]</f>
        <v>1.7</v>
      </c>
      <c r="U1991" s="53">
        <f>STOCK[[#This Row],[Costo total]]*1.5</f>
        <v>2.55</v>
      </c>
      <c r="V1991" s="53">
        <v>3</v>
      </c>
      <c r="W1991" s="77">
        <f>STOCK[[#This Row],[Precio Final]]-STOCK[[#This Row],[Costo total]]</f>
        <v>1.3</v>
      </c>
      <c r="X1991" s="77">
        <f>STOCK[[#This Row],[Ganancia Unitaria]]*STOCK[[#This Row],[Salidas]]</f>
        <v>0</v>
      </c>
      <c r="Y1991" s="77"/>
      <c r="Z1991" s="90"/>
      <c r="AA1991" s="54"/>
      <c r="AB1991" s="54"/>
      <c r="AC1991" s="77"/>
      <c r="AD1991" s="98"/>
    </row>
    <row r="1992" s="53" customFormat="1" ht="50" customHeight="1" spans="1:30">
      <c r="A1992" s="99" t="s">
        <v>3899</v>
      </c>
      <c r="B1992" s="85"/>
      <c r="C1992" s="53" t="s">
        <v>32</v>
      </c>
      <c r="D1992" s="86" t="s">
        <v>2897</v>
      </c>
      <c r="E1992" s="108" t="s">
        <v>3900</v>
      </c>
      <c r="F1992" s="107" t="s">
        <v>62</v>
      </c>
      <c r="G1992" s="77"/>
      <c r="H1992" s="77">
        <f>STOCK[[#This Row],[Precio Final]]</f>
        <v>3</v>
      </c>
      <c r="I1992" s="82">
        <f>STOCK[[#This Row],[Precio Venta Ideal (x1.5)]]</f>
        <v>2.55</v>
      </c>
      <c r="J1992" s="107">
        <v>4</v>
      </c>
      <c r="K1992" s="80">
        <f>SUMIFS(VENTAS[Cantidad],VENTAS[Código del producto Vendido],STOCK[[#This Row],[Code]])</f>
        <v>0</v>
      </c>
      <c r="L1992" s="80">
        <f>STOCK[[#This Row],[Entradas]]-STOCK[[#This Row],[Salidas]]</f>
        <v>4</v>
      </c>
      <c r="M1992" s="77">
        <f>STOCK[[#This Row],[Precio Final]]*10%</f>
        <v>0.3</v>
      </c>
      <c r="N1992" s="54">
        <v>0</v>
      </c>
      <c r="O1992" s="77">
        <v>0</v>
      </c>
      <c r="P1992" s="114">
        <v>0.9</v>
      </c>
      <c r="Q1992" s="77">
        <v>0</v>
      </c>
      <c r="R1992" s="80">
        <v>0</v>
      </c>
      <c r="S1992" s="116">
        <v>0.5</v>
      </c>
      <c r="T1992" s="77">
        <f>STOCK[[#This Row],[Costo Unitario (USD)]]+STOCK[[#This Row],[Costo Envío (USD)]]+STOCK[[#This Row],[Comisión 10%]]</f>
        <v>1.7</v>
      </c>
      <c r="U1992" s="53">
        <f>STOCK[[#This Row],[Costo total]]*1.5</f>
        <v>2.55</v>
      </c>
      <c r="V1992" s="53">
        <v>3</v>
      </c>
      <c r="W1992" s="77">
        <f>STOCK[[#This Row],[Precio Final]]-STOCK[[#This Row],[Costo total]]</f>
        <v>1.3</v>
      </c>
      <c r="X1992" s="77">
        <f>STOCK[[#This Row],[Ganancia Unitaria]]*STOCK[[#This Row],[Salidas]]</f>
        <v>0</v>
      </c>
      <c r="Y1992" s="77"/>
      <c r="Z1992" s="90"/>
      <c r="AA1992" s="54"/>
      <c r="AB1992" s="54"/>
      <c r="AC1992" s="77"/>
      <c r="AD1992" s="98"/>
    </row>
    <row r="1993" s="53" customFormat="1" ht="50" customHeight="1" spans="1:30">
      <c r="A1993" s="99" t="s">
        <v>3901</v>
      </c>
      <c r="B1993" s="85"/>
      <c r="C1993" s="53" t="s">
        <v>32</v>
      </c>
      <c r="D1993" s="86" t="s">
        <v>2897</v>
      </c>
      <c r="E1993" s="108" t="s">
        <v>3900</v>
      </c>
      <c r="F1993" s="107" t="s">
        <v>49</v>
      </c>
      <c r="G1993" s="77"/>
      <c r="H1993" s="77">
        <f>STOCK[[#This Row],[Precio Final]]</f>
        <v>3</v>
      </c>
      <c r="I1993" s="82">
        <f>STOCK[[#This Row],[Precio Venta Ideal (x1.5)]]</f>
        <v>2.55</v>
      </c>
      <c r="J1993" s="107">
        <v>4</v>
      </c>
      <c r="K1993" s="80">
        <f>SUMIFS(VENTAS[Cantidad],VENTAS[Código del producto Vendido],STOCK[[#This Row],[Code]])</f>
        <v>0</v>
      </c>
      <c r="L1993" s="80">
        <f>STOCK[[#This Row],[Entradas]]-STOCK[[#This Row],[Salidas]]</f>
        <v>4</v>
      </c>
      <c r="M1993" s="77">
        <f>STOCK[[#This Row],[Precio Final]]*10%</f>
        <v>0.3</v>
      </c>
      <c r="N1993" s="54">
        <v>0</v>
      </c>
      <c r="O1993" s="77">
        <v>0</v>
      </c>
      <c r="P1993" s="114">
        <v>0.9</v>
      </c>
      <c r="Q1993" s="77">
        <v>0</v>
      </c>
      <c r="R1993" s="80">
        <v>0</v>
      </c>
      <c r="S1993" s="115">
        <v>0.5</v>
      </c>
      <c r="T1993" s="77">
        <f>STOCK[[#This Row],[Costo Unitario (USD)]]+STOCK[[#This Row],[Costo Envío (USD)]]+STOCK[[#This Row],[Comisión 10%]]</f>
        <v>1.7</v>
      </c>
      <c r="U1993" s="53">
        <f>STOCK[[#This Row],[Costo total]]*1.5</f>
        <v>2.55</v>
      </c>
      <c r="V1993" s="53">
        <v>3</v>
      </c>
      <c r="W1993" s="77">
        <f>STOCK[[#This Row],[Precio Final]]-STOCK[[#This Row],[Costo total]]</f>
        <v>1.3</v>
      </c>
      <c r="X1993" s="77">
        <f>STOCK[[#This Row],[Ganancia Unitaria]]*STOCK[[#This Row],[Salidas]]</f>
        <v>0</v>
      </c>
      <c r="Y1993" s="77"/>
      <c r="Z1993" s="90"/>
      <c r="AA1993" s="54"/>
      <c r="AB1993" s="54"/>
      <c r="AC1993" s="77"/>
      <c r="AD1993" s="98"/>
    </row>
    <row r="1994" s="53" customFormat="1" ht="50" customHeight="1" spans="1:30">
      <c r="A1994" s="99" t="s">
        <v>3902</v>
      </c>
      <c r="B1994" s="85"/>
      <c r="C1994" s="53" t="s">
        <v>32</v>
      </c>
      <c r="D1994" s="86" t="s">
        <v>2897</v>
      </c>
      <c r="E1994" s="108" t="s">
        <v>3900</v>
      </c>
      <c r="F1994" s="107" t="s">
        <v>46</v>
      </c>
      <c r="G1994" s="77"/>
      <c r="H1994" s="77">
        <f>STOCK[[#This Row],[Precio Final]]</f>
        <v>3</v>
      </c>
      <c r="I1994" s="82">
        <f>STOCK[[#This Row],[Precio Venta Ideal (x1.5)]]</f>
        <v>2.55</v>
      </c>
      <c r="J1994" s="107">
        <v>4</v>
      </c>
      <c r="K1994" s="80">
        <f>SUMIFS(VENTAS[Cantidad],VENTAS[Código del producto Vendido],STOCK[[#This Row],[Code]])</f>
        <v>0</v>
      </c>
      <c r="L1994" s="80">
        <f>STOCK[[#This Row],[Entradas]]-STOCK[[#This Row],[Salidas]]</f>
        <v>4</v>
      </c>
      <c r="M1994" s="77">
        <f>STOCK[[#This Row],[Precio Final]]*10%</f>
        <v>0.3</v>
      </c>
      <c r="N1994" s="54">
        <v>0</v>
      </c>
      <c r="O1994" s="77">
        <v>0</v>
      </c>
      <c r="P1994" s="114">
        <v>0.9</v>
      </c>
      <c r="Q1994" s="77">
        <v>0</v>
      </c>
      <c r="R1994" s="80">
        <v>0</v>
      </c>
      <c r="S1994" s="116">
        <v>0.5</v>
      </c>
      <c r="T1994" s="77">
        <f>STOCK[[#This Row],[Costo Unitario (USD)]]+STOCK[[#This Row],[Costo Envío (USD)]]+STOCK[[#This Row],[Comisión 10%]]</f>
        <v>1.7</v>
      </c>
      <c r="U1994" s="53">
        <f>STOCK[[#This Row],[Costo total]]*1.5</f>
        <v>2.55</v>
      </c>
      <c r="V1994" s="53">
        <v>3</v>
      </c>
      <c r="W1994" s="77">
        <f>STOCK[[#This Row],[Precio Final]]-STOCK[[#This Row],[Costo total]]</f>
        <v>1.3</v>
      </c>
      <c r="X1994" s="77">
        <f>STOCK[[#This Row],[Ganancia Unitaria]]*STOCK[[#This Row],[Salidas]]</f>
        <v>0</v>
      </c>
      <c r="Y1994" s="77"/>
      <c r="Z1994" s="90"/>
      <c r="AA1994" s="54"/>
      <c r="AB1994" s="54"/>
      <c r="AC1994" s="77"/>
      <c r="AD1994" s="98"/>
    </row>
    <row r="1995" s="53" customFormat="1" ht="50" customHeight="1" spans="1:30">
      <c r="A1995" s="99" t="s">
        <v>3903</v>
      </c>
      <c r="B1995" s="85"/>
      <c r="C1995" s="53" t="s">
        <v>32</v>
      </c>
      <c r="D1995" s="86" t="s">
        <v>2897</v>
      </c>
      <c r="E1995" s="108" t="s">
        <v>3904</v>
      </c>
      <c r="F1995" s="107" t="s">
        <v>62</v>
      </c>
      <c r="G1995" s="77"/>
      <c r="H1995" s="77">
        <f>STOCK[[#This Row],[Precio Final]]</f>
        <v>3</v>
      </c>
      <c r="I1995" s="82">
        <f>STOCK[[#This Row],[Precio Venta Ideal (x1.5)]]</f>
        <v>2.7</v>
      </c>
      <c r="J1995" s="107">
        <v>2</v>
      </c>
      <c r="K1995" s="80">
        <f>SUMIFS(VENTAS[Cantidad],VENTAS[Código del producto Vendido],STOCK[[#This Row],[Code]])</f>
        <v>0</v>
      </c>
      <c r="L1995" s="80">
        <f>STOCK[[#This Row],[Entradas]]-STOCK[[#This Row],[Salidas]]</f>
        <v>2</v>
      </c>
      <c r="M1995" s="77">
        <f>STOCK[[#This Row],[Precio Final]]*10%</f>
        <v>0.3</v>
      </c>
      <c r="N1995" s="54">
        <v>0</v>
      </c>
      <c r="O1995" s="77">
        <v>0</v>
      </c>
      <c r="P1995" s="114">
        <v>1</v>
      </c>
      <c r="Q1995" s="77">
        <v>0</v>
      </c>
      <c r="R1995" s="80">
        <v>0</v>
      </c>
      <c r="S1995" s="115">
        <v>0.5</v>
      </c>
      <c r="T1995" s="77">
        <f>STOCK[[#This Row],[Costo Unitario (USD)]]+STOCK[[#This Row],[Costo Envío (USD)]]+STOCK[[#This Row],[Comisión 10%]]</f>
        <v>1.8</v>
      </c>
      <c r="U1995" s="53">
        <f>STOCK[[#This Row],[Costo total]]*1.5</f>
        <v>2.7</v>
      </c>
      <c r="V1995" s="53">
        <v>3</v>
      </c>
      <c r="W1995" s="77">
        <f>STOCK[[#This Row],[Precio Final]]-STOCK[[#This Row],[Costo total]]</f>
        <v>1.2</v>
      </c>
      <c r="X1995" s="77">
        <f>STOCK[[#This Row],[Ganancia Unitaria]]*STOCK[[#This Row],[Salidas]]</f>
        <v>0</v>
      </c>
      <c r="Y1995" s="77"/>
      <c r="Z1995" s="90"/>
      <c r="AA1995" s="54"/>
      <c r="AB1995" s="54"/>
      <c r="AC1995" s="77"/>
      <c r="AD1995" s="98"/>
    </row>
    <row r="1996" s="53" customFormat="1" ht="50" customHeight="1" spans="1:30">
      <c r="A1996" s="99" t="s">
        <v>3905</v>
      </c>
      <c r="B1996" s="85"/>
      <c r="C1996" s="53" t="s">
        <v>32</v>
      </c>
      <c r="D1996" s="86" t="s">
        <v>2897</v>
      </c>
      <c r="E1996" s="108" t="s">
        <v>3904</v>
      </c>
      <c r="F1996" s="107" t="s">
        <v>49</v>
      </c>
      <c r="G1996" s="77"/>
      <c r="H1996" s="77">
        <f>STOCK[[#This Row],[Precio Final]]</f>
        <v>3</v>
      </c>
      <c r="I1996" s="82">
        <f>STOCK[[#This Row],[Precio Venta Ideal (x1.5)]]</f>
        <v>2.7</v>
      </c>
      <c r="J1996" s="107">
        <v>2</v>
      </c>
      <c r="K1996" s="80">
        <f>SUMIFS(VENTAS[Cantidad],VENTAS[Código del producto Vendido],STOCK[[#This Row],[Code]])</f>
        <v>0</v>
      </c>
      <c r="L1996" s="80">
        <f>STOCK[[#This Row],[Entradas]]-STOCK[[#This Row],[Salidas]]</f>
        <v>2</v>
      </c>
      <c r="M1996" s="77">
        <f>STOCK[[#This Row],[Precio Final]]*10%</f>
        <v>0.3</v>
      </c>
      <c r="N1996" s="54">
        <v>0</v>
      </c>
      <c r="O1996" s="77">
        <v>0</v>
      </c>
      <c r="P1996" s="114">
        <v>1</v>
      </c>
      <c r="Q1996" s="77">
        <v>0</v>
      </c>
      <c r="R1996" s="80">
        <v>0</v>
      </c>
      <c r="S1996" s="116">
        <v>0.5</v>
      </c>
      <c r="T1996" s="77">
        <f>STOCK[[#This Row],[Costo Unitario (USD)]]+STOCK[[#This Row],[Costo Envío (USD)]]+STOCK[[#This Row],[Comisión 10%]]</f>
        <v>1.8</v>
      </c>
      <c r="U1996" s="53">
        <f>STOCK[[#This Row],[Costo total]]*1.5</f>
        <v>2.7</v>
      </c>
      <c r="V1996" s="53">
        <v>3</v>
      </c>
      <c r="W1996" s="77">
        <f>STOCK[[#This Row],[Precio Final]]-STOCK[[#This Row],[Costo total]]</f>
        <v>1.2</v>
      </c>
      <c r="X1996" s="77">
        <f>STOCK[[#This Row],[Ganancia Unitaria]]*STOCK[[#This Row],[Salidas]]</f>
        <v>0</v>
      </c>
      <c r="Y1996" s="77"/>
      <c r="Z1996" s="90"/>
      <c r="AA1996" s="54"/>
      <c r="AB1996" s="54"/>
      <c r="AC1996" s="77"/>
      <c r="AD1996" s="98"/>
    </row>
    <row r="1997" s="53" customFormat="1" ht="50" customHeight="1" spans="1:30">
      <c r="A1997" s="99" t="s">
        <v>3906</v>
      </c>
      <c r="B1997" s="85"/>
      <c r="C1997" s="53" t="s">
        <v>32</v>
      </c>
      <c r="D1997" s="86" t="s">
        <v>2897</v>
      </c>
      <c r="E1997" s="108" t="s">
        <v>3904</v>
      </c>
      <c r="F1997" s="107" t="s">
        <v>46</v>
      </c>
      <c r="G1997" s="77"/>
      <c r="H1997" s="77">
        <f>STOCK[[#This Row],[Precio Final]]</f>
        <v>3</v>
      </c>
      <c r="I1997" s="82">
        <f>STOCK[[#This Row],[Precio Venta Ideal (x1.5)]]</f>
        <v>2.7</v>
      </c>
      <c r="J1997" s="107">
        <v>3</v>
      </c>
      <c r="K1997" s="80">
        <f>SUMIFS(VENTAS[Cantidad],VENTAS[Código del producto Vendido],STOCK[[#This Row],[Code]])</f>
        <v>0</v>
      </c>
      <c r="L1997" s="80">
        <f>STOCK[[#This Row],[Entradas]]-STOCK[[#This Row],[Salidas]]</f>
        <v>3</v>
      </c>
      <c r="M1997" s="77">
        <f>STOCK[[#This Row],[Precio Final]]*10%</f>
        <v>0.3</v>
      </c>
      <c r="N1997" s="54">
        <v>0</v>
      </c>
      <c r="O1997" s="77">
        <v>0</v>
      </c>
      <c r="P1997" s="114">
        <v>1</v>
      </c>
      <c r="Q1997" s="77">
        <v>0</v>
      </c>
      <c r="R1997" s="80">
        <v>0</v>
      </c>
      <c r="S1997" s="115">
        <v>0.5</v>
      </c>
      <c r="T1997" s="77">
        <f>STOCK[[#This Row],[Costo Unitario (USD)]]+STOCK[[#This Row],[Costo Envío (USD)]]+STOCK[[#This Row],[Comisión 10%]]</f>
        <v>1.8</v>
      </c>
      <c r="U1997" s="53">
        <f>STOCK[[#This Row],[Costo total]]*1.5</f>
        <v>2.7</v>
      </c>
      <c r="V1997" s="53">
        <v>3</v>
      </c>
      <c r="W1997" s="77">
        <f>STOCK[[#This Row],[Precio Final]]-STOCK[[#This Row],[Costo total]]</f>
        <v>1.2</v>
      </c>
      <c r="X1997" s="77">
        <f>STOCK[[#This Row],[Ganancia Unitaria]]*STOCK[[#This Row],[Salidas]]</f>
        <v>0</v>
      </c>
      <c r="Y1997" s="77"/>
      <c r="Z1997" s="90"/>
      <c r="AA1997" s="54"/>
      <c r="AB1997" s="54"/>
      <c r="AC1997" s="77"/>
      <c r="AD1997" s="98"/>
    </row>
    <row r="1998" s="53" customFormat="1" ht="50" customHeight="1" spans="1:30">
      <c r="A1998" s="99" t="s">
        <v>3907</v>
      </c>
      <c r="B1998" s="85"/>
      <c r="C1998" s="53" t="s">
        <v>32</v>
      </c>
      <c r="D1998" s="86" t="s">
        <v>2897</v>
      </c>
      <c r="E1998" s="108" t="s">
        <v>3904</v>
      </c>
      <c r="F1998" s="107" t="s">
        <v>42</v>
      </c>
      <c r="G1998" s="77"/>
      <c r="H1998" s="77">
        <f>STOCK[[#This Row],[Precio Final]]</f>
        <v>3</v>
      </c>
      <c r="I1998" s="82">
        <f>STOCK[[#This Row],[Precio Venta Ideal (x1.5)]]</f>
        <v>2.7</v>
      </c>
      <c r="J1998" s="107">
        <v>3</v>
      </c>
      <c r="K1998" s="80">
        <f>SUMIFS(VENTAS[Cantidad],VENTAS[Código del producto Vendido],STOCK[[#This Row],[Code]])</f>
        <v>0</v>
      </c>
      <c r="L1998" s="80">
        <f>STOCK[[#This Row],[Entradas]]-STOCK[[#This Row],[Salidas]]</f>
        <v>3</v>
      </c>
      <c r="M1998" s="77">
        <f>STOCK[[#This Row],[Precio Final]]*10%</f>
        <v>0.3</v>
      </c>
      <c r="N1998" s="54">
        <v>0</v>
      </c>
      <c r="O1998" s="77">
        <v>0</v>
      </c>
      <c r="P1998" s="114">
        <v>1</v>
      </c>
      <c r="Q1998" s="77">
        <v>0</v>
      </c>
      <c r="R1998" s="80">
        <v>0</v>
      </c>
      <c r="S1998" s="116">
        <v>0.5</v>
      </c>
      <c r="T1998" s="77">
        <f>STOCK[[#This Row],[Costo Unitario (USD)]]+STOCK[[#This Row],[Costo Envío (USD)]]+STOCK[[#This Row],[Comisión 10%]]</f>
        <v>1.8</v>
      </c>
      <c r="U1998" s="53">
        <f>STOCK[[#This Row],[Costo total]]*1.5</f>
        <v>2.7</v>
      </c>
      <c r="V1998" s="53">
        <v>3</v>
      </c>
      <c r="W1998" s="77">
        <f>STOCK[[#This Row],[Precio Final]]-STOCK[[#This Row],[Costo total]]</f>
        <v>1.2</v>
      </c>
      <c r="X1998" s="77">
        <f>STOCK[[#This Row],[Ganancia Unitaria]]*STOCK[[#This Row],[Salidas]]</f>
        <v>0</v>
      </c>
      <c r="Y1998" s="77"/>
      <c r="Z1998" s="90"/>
      <c r="AA1998" s="54"/>
      <c r="AB1998" s="54"/>
      <c r="AC1998" s="77"/>
      <c r="AD1998" s="98"/>
    </row>
    <row r="1999" s="53" customFormat="1" ht="50" customHeight="1" spans="1:30">
      <c r="A1999" s="99" t="s">
        <v>3908</v>
      </c>
      <c r="B1999" s="85"/>
      <c r="C1999" s="53" t="s">
        <v>32</v>
      </c>
      <c r="D1999" s="86" t="s">
        <v>2897</v>
      </c>
      <c r="E1999" s="108" t="s">
        <v>3909</v>
      </c>
      <c r="F1999" s="107" t="s">
        <v>62</v>
      </c>
      <c r="G1999" s="77"/>
      <c r="H1999" s="77">
        <f>STOCK[[#This Row],[Precio Final]]</f>
        <v>3</v>
      </c>
      <c r="I1999" s="82">
        <f>STOCK[[#This Row],[Precio Venta Ideal (x1.5)]]</f>
        <v>2.7</v>
      </c>
      <c r="J1999" s="107">
        <v>2</v>
      </c>
      <c r="K1999" s="80">
        <f>SUMIFS(VENTAS[Cantidad],VENTAS[Código del producto Vendido],STOCK[[#This Row],[Code]])</f>
        <v>0</v>
      </c>
      <c r="L1999" s="80">
        <f>STOCK[[#This Row],[Entradas]]-STOCK[[#This Row],[Salidas]]</f>
        <v>2</v>
      </c>
      <c r="M1999" s="77">
        <f>STOCK[[#This Row],[Precio Final]]*10%</f>
        <v>0.3</v>
      </c>
      <c r="N1999" s="54">
        <v>0</v>
      </c>
      <c r="O1999" s="77">
        <v>0</v>
      </c>
      <c r="P1999" s="114">
        <v>1</v>
      </c>
      <c r="Q1999" s="77">
        <v>0</v>
      </c>
      <c r="R1999" s="80">
        <v>0</v>
      </c>
      <c r="S1999" s="115">
        <v>0.5</v>
      </c>
      <c r="T1999" s="77">
        <f>STOCK[[#This Row],[Costo Unitario (USD)]]+STOCK[[#This Row],[Costo Envío (USD)]]+STOCK[[#This Row],[Comisión 10%]]</f>
        <v>1.8</v>
      </c>
      <c r="U1999" s="53">
        <f>STOCK[[#This Row],[Costo total]]*1.5</f>
        <v>2.7</v>
      </c>
      <c r="V1999" s="53">
        <v>3</v>
      </c>
      <c r="W1999" s="77">
        <f>STOCK[[#This Row],[Precio Final]]-STOCK[[#This Row],[Costo total]]</f>
        <v>1.2</v>
      </c>
      <c r="X1999" s="77">
        <f>STOCK[[#This Row],[Ganancia Unitaria]]*STOCK[[#This Row],[Salidas]]</f>
        <v>0</v>
      </c>
      <c r="Y1999" s="77"/>
      <c r="Z1999" s="90"/>
      <c r="AA1999" s="54"/>
      <c r="AB1999" s="54"/>
      <c r="AC1999" s="77"/>
      <c r="AD1999" s="98"/>
    </row>
    <row r="2000" s="53" customFormat="1" ht="50" customHeight="1" spans="1:30">
      <c r="A2000" s="99" t="s">
        <v>3910</v>
      </c>
      <c r="B2000" s="85"/>
      <c r="C2000" s="53" t="s">
        <v>32</v>
      </c>
      <c r="D2000" s="86" t="s">
        <v>2897</v>
      </c>
      <c r="E2000" s="108" t="s">
        <v>3909</v>
      </c>
      <c r="F2000" s="107" t="s">
        <v>49</v>
      </c>
      <c r="G2000" s="77"/>
      <c r="H2000" s="77">
        <f>STOCK[[#This Row],[Precio Final]]</f>
        <v>3</v>
      </c>
      <c r="I2000" s="82">
        <f>STOCK[[#This Row],[Precio Venta Ideal (x1.5)]]</f>
        <v>2.7</v>
      </c>
      <c r="J2000" s="107">
        <v>2</v>
      </c>
      <c r="K2000" s="80">
        <f>SUMIFS(VENTAS[Cantidad],VENTAS[Código del producto Vendido],STOCK[[#This Row],[Code]])</f>
        <v>0</v>
      </c>
      <c r="L2000" s="80">
        <f>STOCK[[#This Row],[Entradas]]-STOCK[[#This Row],[Salidas]]</f>
        <v>2</v>
      </c>
      <c r="M2000" s="77">
        <f>STOCK[[#This Row],[Precio Final]]*10%</f>
        <v>0.3</v>
      </c>
      <c r="N2000" s="54">
        <v>0</v>
      </c>
      <c r="O2000" s="77">
        <v>0</v>
      </c>
      <c r="P2000" s="114">
        <v>1</v>
      </c>
      <c r="Q2000" s="77">
        <v>0</v>
      </c>
      <c r="R2000" s="80">
        <v>0</v>
      </c>
      <c r="S2000" s="116">
        <v>0.5</v>
      </c>
      <c r="T2000" s="77">
        <f>STOCK[[#This Row],[Costo Unitario (USD)]]+STOCK[[#This Row],[Costo Envío (USD)]]+STOCK[[#This Row],[Comisión 10%]]</f>
        <v>1.8</v>
      </c>
      <c r="U2000" s="53">
        <f>STOCK[[#This Row],[Costo total]]*1.5</f>
        <v>2.7</v>
      </c>
      <c r="V2000" s="53">
        <v>3</v>
      </c>
      <c r="W2000" s="77">
        <f>STOCK[[#This Row],[Precio Final]]-STOCK[[#This Row],[Costo total]]</f>
        <v>1.2</v>
      </c>
      <c r="X2000" s="77">
        <f>STOCK[[#This Row],[Ganancia Unitaria]]*STOCK[[#This Row],[Salidas]]</f>
        <v>0</v>
      </c>
      <c r="Y2000" s="77"/>
      <c r="Z2000" s="90"/>
      <c r="AA2000" s="54"/>
      <c r="AB2000" s="54"/>
      <c r="AC2000" s="77"/>
      <c r="AD2000" s="98"/>
    </row>
    <row r="2001" s="53" customFormat="1" ht="50" customHeight="1" spans="1:30">
      <c r="A2001" s="99" t="s">
        <v>3911</v>
      </c>
      <c r="B2001" s="85"/>
      <c r="C2001" s="53" t="s">
        <v>32</v>
      </c>
      <c r="D2001" s="86" t="s">
        <v>2897</v>
      </c>
      <c r="E2001" s="108" t="s">
        <v>3909</v>
      </c>
      <c r="F2001" s="107" t="s">
        <v>46</v>
      </c>
      <c r="G2001" s="77"/>
      <c r="H2001" s="77">
        <f>STOCK[[#This Row],[Precio Final]]</f>
        <v>3</v>
      </c>
      <c r="I2001" s="82">
        <f>STOCK[[#This Row],[Precio Venta Ideal (x1.5)]]</f>
        <v>2.7</v>
      </c>
      <c r="J2001" s="107">
        <v>3</v>
      </c>
      <c r="K2001" s="80">
        <f>SUMIFS(VENTAS[Cantidad],VENTAS[Código del producto Vendido],STOCK[[#This Row],[Code]])</f>
        <v>0</v>
      </c>
      <c r="L2001" s="80">
        <f>STOCK[[#This Row],[Entradas]]-STOCK[[#This Row],[Salidas]]</f>
        <v>3</v>
      </c>
      <c r="M2001" s="77">
        <f>STOCK[[#This Row],[Precio Final]]*10%</f>
        <v>0.3</v>
      </c>
      <c r="N2001" s="54">
        <v>0</v>
      </c>
      <c r="O2001" s="77">
        <v>0</v>
      </c>
      <c r="P2001" s="114">
        <v>1</v>
      </c>
      <c r="Q2001" s="77">
        <v>0</v>
      </c>
      <c r="R2001" s="80">
        <v>0</v>
      </c>
      <c r="S2001" s="115">
        <v>0.5</v>
      </c>
      <c r="T2001" s="77">
        <f>STOCK[[#This Row],[Costo Unitario (USD)]]+STOCK[[#This Row],[Costo Envío (USD)]]+STOCK[[#This Row],[Comisión 10%]]</f>
        <v>1.8</v>
      </c>
      <c r="U2001" s="53">
        <f>STOCK[[#This Row],[Costo total]]*1.5</f>
        <v>2.7</v>
      </c>
      <c r="V2001" s="53">
        <v>3</v>
      </c>
      <c r="W2001" s="77">
        <f>STOCK[[#This Row],[Precio Final]]-STOCK[[#This Row],[Costo total]]</f>
        <v>1.2</v>
      </c>
      <c r="X2001" s="77">
        <f>STOCK[[#This Row],[Ganancia Unitaria]]*STOCK[[#This Row],[Salidas]]</f>
        <v>0</v>
      </c>
      <c r="Y2001" s="77"/>
      <c r="Z2001" s="90"/>
      <c r="AA2001" s="54"/>
      <c r="AB2001" s="54"/>
      <c r="AC2001" s="77"/>
      <c r="AD2001" s="98"/>
    </row>
    <row r="2002" s="53" customFormat="1" ht="50" customHeight="1" spans="1:30">
      <c r="A2002" s="99" t="s">
        <v>3912</v>
      </c>
      <c r="B2002" s="85"/>
      <c r="C2002" s="53" t="s">
        <v>32</v>
      </c>
      <c r="D2002" s="86" t="s">
        <v>2897</v>
      </c>
      <c r="E2002" s="108" t="s">
        <v>3909</v>
      </c>
      <c r="F2002" s="107" t="s">
        <v>42</v>
      </c>
      <c r="G2002" s="77"/>
      <c r="H2002" s="77">
        <f>STOCK[[#This Row],[Precio Final]]</f>
        <v>3</v>
      </c>
      <c r="I2002" s="82">
        <f>STOCK[[#This Row],[Precio Venta Ideal (x1.5)]]</f>
        <v>2.7</v>
      </c>
      <c r="J2002" s="107">
        <v>3</v>
      </c>
      <c r="K2002" s="80">
        <f>SUMIFS(VENTAS[Cantidad],VENTAS[Código del producto Vendido],STOCK[[#This Row],[Code]])</f>
        <v>0</v>
      </c>
      <c r="L2002" s="80">
        <f>STOCK[[#This Row],[Entradas]]-STOCK[[#This Row],[Salidas]]</f>
        <v>3</v>
      </c>
      <c r="M2002" s="77">
        <f>STOCK[[#This Row],[Precio Final]]*10%</f>
        <v>0.3</v>
      </c>
      <c r="N2002" s="54">
        <v>0</v>
      </c>
      <c r="O2002" s="77">
        <v>0</v>
      </c>
      <c r="P2002" s="114">
        <v>1</v>
      </c>
      <c r="Q2002" s="77">
        <v>0</v>
      </c>
      <c r="R2002" s="80">
        <v>0</v>
      </c>
      <c r="S2002" s="116">
        <v>0.5</v>
      </c>
      <c r="T2002" s="77">
        <f>STOCK[[#This Row],[Costo Unitario (USD)]]+STOCK[[#This Row],[Costo Envío (USD)]]+STOCK[[#This Row],[Comisión 10%]]</f>
        <v>1.8</v>
      </c>
      <c r="U2002" s="53">
        <f>STOCK[[#This Row],[Costo total]]*1.5</f>
        <v>2.7</v>
      </c>
      <c r="V2002" s="53">
        <v>3</v>
      </c>
      <c r="W2002" s="77">
        <f>STOCK[[#This Row],[Precio Final]]-STOCK[[#This Row],[Costo total]]</f>
        <v>1.2</v>
      </c>
      <c r="X2002" s="77">
        <f>STOCK[[#This Row],[Ganancia Unitaria]]*STOCK[[#This Row],[Salidas]]</f>
        <v>0</v>
      </c>
      <c r="Y2002" s="77"/>
      <c r="Z2002" s="90"/>
      <c r="AA2002" s="54"/>
      <c r="AB2002" s="54"/>
      <c r="AC2002" s="77"/>
      <c r="AD2002" s="98"/>
    </row>
    <row r="2003" s="53" customFormat="1" ht="50" customHeight="1" spans="1:30">
      <c r="A2003" s="99" t="s">
        <v>3913</v>
      </c>
      <c r="B2003" s="85"/>
      <c r="C2003" s="53" t="s">
        <v>32</v>
      </c>
      <c r="D2003" s="86" t="s">
        <v>2897</v>
      </c>
      <c r="E2003" s="108" t="s">
        <v>3914</v>
      </c>
      <c r="F2003" s="107" t="s">
        <v>62</v>
      </c>
      <c r="G2003" s="77"/>
      <c r="H2003" s="77">
        <f>STOCK[[#This Row],[Precio Final]]</f>
        <v>3</v>
      </c>
      <c r="I2003" s="82">
        <f>STOCK[[#This Row],[Precio Venta Ideal (x1.5)]]</f>
        <v>2.7</v>
      </c>
      <c r="J2003" s="107">
        <v>2</v>
      </c>
      <c r="K2003" s="80">
        <f>SUMIFS(VENTAS[Cantidad],VENTAS[Código del producto Vendido],STOCK[[#This Row],[Code]])</f>
        <v>0</v>
      </c>
      <c r="L2003" s="80">
        <f>STOCK[[#This Row],[Entradas]]-STOCK[[#This Row],[Salidas]]</f>
        <v>2</v>
      </c>
      <c r="M2003" s="77">
        <f>STOCK[[#This Row],[Precio Final]]*10%</f>
        <v>0.3</v>
      </c>
      <c r="N2003" s="54">
        <v>0</v>
      </c>
      <c r="O2003" s="77">
        <v>0</v>
      </c>
      <c r="P2003" s="114">
        <v>1</v>
      </c>
      <c r="Q2003" s="77">
        <v>0</v>
      </c>
      <c r="R2003" s="80">
        <v>0</v>
      </c>
      <c r="S2003" s="115">
        <v>0.5</v>
      </c>
      <c r="T2003" s="77">
        <f>STOCK[[#This Row],[Costo Unitario (USD)]]+STOCK[[#This Row],[Costo Envío (USD)]]+STOCK[[#This Row],[Comisión 10%]]</f>
        <v>1.8</v>
      </c>
      <c r="U2003" s="53">
        <f>STOCK[[#This Row],[Costo total]]*1.5</f>
        <v>2.7</v>
      </c>
      <c r="V2003" s="53">
        <v>3</v>
      </c>
      <c r="W2003" s="77">
        <f>STOCK[[#This Row],[Precio Final]]-STOCK[[#This Row],[Costo total]]</f>
        <v>1.2</v>
      </c>
      <c r="X2003" s="77">
        <f>STOCK[[#This Row],[Ganancia Unitaria]]*STOCK[[#This Row],[Salidas]]</f>
        <v>0</v>
      </c>
      <c r="Y2003" s="77"/>
      <c r="Z2003" s="90"/>
      <c r="AA2003" s="54"/>
      <c r="AB2003" s="54"/>
      <c r="AC2003" s="77"/>
      <c r="AD2003" s="98"/>
    </row>
    <row r="2004" s="53" customFormat="1" ht="50" customHeight="1" spans="1:30">
      <c r="A2004" s="99" t="s">
        <v>3915</v>
      </c>
      <c r="B2004" s="85"/>
      <c r="C2004" s="53" t="s">
        <v>32</v>
      </c>
      <c r="D2004" s="86" t="s">
        <v>2897</v>
      </c>
      <c r="E2004" s="108" t="s">
        <v>3914</v>
      </c>
      <c r="F2004" s="107" t="s">
        <v>49</v>
      </c>
      <c r="G2004" s="77"/>
      <c r="H2004" s="77">
        <f>STOCK[[#This Row],[Precio Final]]</f>
        <v>3</v>
      </c>
      <c r="I2004" s="82">
        <f>STOCK[[#This Row],[Precio Venta Ideal (x1.5)]]</f>
        <v>2.7</v>
      </c>
      <c r="J2004" s="107">
        <v>2</v>
      </c>
      <c r="K2004" s="80">
        <f>SUMIFS(VENTAS[Cantidad],VENTAS[Código del producto Vendido],STOCK[[#This Row],[Code]])</f>
        <v>0</v>
      </c>
      <c r="L2004" s="80">
        <f>STOCK[[#This Row],[Entradas]]-STOCK[[#This Row],[Salidas]]</f>
        <v>2</v>
      </c>
      <c r="M2004" s="77">
        <f>STOCK[[#This Row],[Precio Final]]*10%</f>
        <v>0.3</v>
      </c>
      <c r="N2004" s="54">
        <v>0</v>
      </c>
      <c r="O2004" s="77">
        <v>0</v>
      </c>
      <c r="P2004" s="114">
        <v>1</v>
      </c>
      <c r="Q2004" s="77">
        <v>0</v>
      </c>
      <c r="R2004" s="80">
        <v>0</v>
      </c>
      <c r="S2004" s="116">
        <v>0.5</v>
      </c>
      <c r="T2004" s="77">
        <f>STOCK[[#This Row],[Costo Unitario (USD)]]+STOCK[[#This Row],[Costo Envío (USD)]]+STOCK[[#This Row],[Comisión 10%]]</f>
        <v>1.8</v>
      </c>
      <c r="U2004" s="53">
        <f>STOCK[[#This Row],[Costo total]]*1.5</f>
        <v>2.7</v>
      </c>
      <c r="V2004" s="53">
        <v>3</v>
      </c>
      <c r="W2004" s="77">
        <f>STOCK[[#This Row],[Precio Final]]-STOCK[[#This Row],[Costo total]]</f>
        <v>1.2</v>
      </c>
      <c r="X2004" s="77">
        <f>STOCK[[#This Row],[Ganancia Unitaria]]*STOCK[[#This Row],[Salidas]]</f>
        <v>0</v>
      </c>
      <c r="Y2004" s="77"/>
      <c r="Z2004" s="90"/>
      <c r="AA2004" s="54"/>
      <c r="AB2004" s="54"/>
      <c r="AC2004" s="77"/>
      <c r="AD2004" s="98"/>
    </row>
    <row r="2005" s="53" customFormat="1" ht="50" customHeight="1" spans="1:30">
      <c r="A2005" s="99" t="s">
        <v>3916</v>
      </c>
      <c r="B2005" s="85"/>
      <c r="C2005" s="53" t="s">
        <v>32</v>
      </c>
      <c r="D2005" s="86" t="s">
        <v>2897</v>
      </c>
      <c r="E2005" s="108" t="s">
        <v>3914</v>
      </c>
      <c r="F2005" s="107" t="s">
        <v>46</v>
      </c>
      <c r="G2005" s="77"/>
      <c r="H2005" s="77">
        <f>STOCK[[#This Row],[Precio Final]]</f>
        <v>3</v>
      </c>
      <c r="I2005" s="82">
        <f>STOCK[[#This Row],[Precio Venta Ideal (x1.5)]]</f>
        <v>2.7</v>
      </c>
      <c r="J2005" s="107">
        <v>3</v>
      </c>
      <c r="K2005" s="80">
        <f>SUMIFS(VENTAS[Cantidad],VENTAS[Código del producto Vendido],STOCK[[#This Row],[Code]])</f>
        <v>0</v>
      </c>
      <c r="L2005" s="80">
        <f>STOCK[[#This Row],[Entradas]]-STOCK[[#This Row],[Salidas]]</f>
        <v>3</v>
      </c>
      <c r="M2005" s="77">
        <f>STOCK[[#This Row],[Precio Final]]*10%</f>
        <v>0.3</v>
      </c>
      <c r="N2005" s="54">
        <v>0</v>
      </c>
      <c r="O2005" s="77">
        <v>0</v>
      </c>
      <c r="P2005" s="114">
        <v>1</v>
      </c>
      <c r="Q2005" s="77">
        <v>0</v>
      </c>
      <c r="R2005" s="80">
        <v>0</v>
      </c>
      <c r="S2005" s="115">
        <v>0.5</v>
      </c>
      <c r="T2005" s="77">
        <f>STOCK[[#This Row],[Costo Unitario (USD)]]+STOCK[[#This Row],[Costo Envío (USD)]]+STOCK[[#This Row],[Comisión 10%]]</f>
        <v>1.8</v>
      </c>
      <c r="U2005" s="53">
        <f>STOCK[[#This Row],[Costo total]]*1.5</f>
        <v>2.7</v>
      </c>
      <c r="V2005" s="53">
        <v>3</v>
      </c>
      <c r="W2005" s="77">
        <f>STOCK[[#This Row],[Precio Final]]-STOCK[[#This Row],[Costo total]]</f>
        <v>1.2</v>
      </c>
      <c r="X2005" s="77">
        <f>STOCK[[#This Row],[Ganancia Unitaria]]*STOCK[[#This Row],[Salidas]]</f>
        <v>0</v>
      </c>
      <c r="Y2005" s="77"/>
      <c r="Z2005" s="90"/>
      <c r="AA2005" s="54"/>
      <c r="AB2005" s="54"/>
      <c r="AC2005" s="77"/>
      <c r="AD2005" s="98"/>
    </row>
    <row r="2006" s="53" customFormat="1" ht="50" customHeight="1" spans="1:30">
      <c r="A2006" s="99" t="s">
        <v>3917</v>
      </c>
      <c r="B2006" s="85"/>
      <c r="C2006" s="53" t="s">
        <v>32</v>
      </c>
      <c r="D2006" s="86" t="s">
        <v>2897</v>
      </c>
      <c r="E2006" s="108" t="s">
        <v>3914</v>
      </c>
      <c r="F2006" s="107" t="s">
        <v>42</v>
      </c>
      <c r="G2006" s="77"/>
      <c r="H2006" s="77">
        <f>STOCK[[#This Row],[Precio Final]]</f>
        <v>3</v>
      </c>
      <c r="I2006" s="82">
        <f>STOCK[[#This Row],[Precio Venta Ideal (x1.5)]]</f>
        <v>2.7</v>
      </c>
      <c r="J2006" s="107">
        <v>3</v>
      </c>
      <c r="K2006" s="80">
        <f>SUMIFS(VENTAS[Cantidad],VENTAS[Código del producto Vendido],STOCK[[#This Row],[Code]])</f>
        <v>0</v>
      </c>
      <c r="L2006" s="80">
        <f>STOCK[[#This Row],[Entradas]]-STOCK[[#This Row],[Salidas]]</f>
        <v>3</v>
      </c>
      <c r="M2006" s="77">
        <f>STOCK[[#This Row],[Precio Final]]*10%</f>
        <v>0.3</v>
      </c>
      <c r="N2006" s="54">
        <v>0</v>
      </c>
      <c r="O2006" s="77">
        <v>0</v>
      </c>
      <c r="P2006" s="114">
        <v>1</v>
      </c>
      <c r="Q2006" s="77">
        <v>0</v>
      </c>
      <c r="R2006" s="80">
        <v>0</v>
      </c>
      <c r="S2006" s="116">
        <v>0.5</v>
      </c>
      <c r="T2006" s="77">
        <f>STOCK[[#This Row],[Costo Unitario (USD)]]+STOCK[[#This Row],[Costo Envío (USD)]]+STOCK[[#This Row],[Comisión 10%]]</f>
        <v>1.8</v>
      </c>
      <c r="U2006" s="53">
        <f>STOCK[[#This Row],[Costo total]]*1.5</f>
        <v>2.7</v>
      </c>
      <c r="V2006" s="53">
        <v>3</v>
      </c>
      <c r="W2006" s="77">
        <f>STOCK[[#This Row],[Precio Final]]-STOCK[[#This Row],[Costo total]]</f>
        <v>1.2</v>
      </c>
      <c r="X2006" s="77">
        <f>STOCK[[#This Row],[Ganancia Unitaria]]*STOCK[[#This Row],[Salidas]]</f>
        <v>0</v>
      </c>
      <c r="Y2006" s="77"/>
      <c r="Z2006" s="90"/>
      <c r="AA2006" s="54"/>
      <c r="AB2006" s="54"/>
      <c r="AC2006" s="77"/>
      <c r="AD2006" s="98"/>
    </row>
    <row r="2007" s="53" customFormat="1" ht="50" customHeight="1" spans="1:30">
      <c r="A2007" s="99" t="s">
        <v>3918</v>
      </c>
      <c r="B2007" s="85"/>
      <c r="C2007" s="53" t="s">
        <v>32</v>
      </c>
      <c r="D2007" s="86" t="s">
        <v>2897</v>
      </c>
      <c r="E2007" s="108" t="s">
        <v>3919</v>
      </c>
      <c r="F2007" s="107" t="s">
        <v>62</v>
      </c>
      <c r="G2007" s="77"/>
      <c r="H2007" s="77">
        <f>STOCK[[#This Row],[Precio Final]]</f>
        <v>3</v>
      </c>
      <c r="I2007" s="82">
        <f>STOCK[[#This Row],[Precio Venta Ideal (x1.5)]]</f>
        <v>2.7</v>
      </c>
      <c r="J2007" s="107">
        <v>2</v>
      </c>
      <c r="K2007" s="80">
        <f>SUMIFS(VENTAS[Cantidad],VENTAS[Código del producto Vendido],STOCK[[#This Row],[Code]])</f>
        <v>0</v>
      </c>
      <c r="L2007" s="80">
        <f>STOCK[[#This Row],[Entradas]]-STOCK[[#This Row],[Salidas]]</f>
        <v>2</v>
      </c>
      <c r="M2007" s="77">
        <f>STOCK[[#This Row],[Precio Final]]*10%</f>
        <v>0.3</v>
      </c>
      <c r="N2007" s="54">
        <v>0</v>
      </c>
      <c r="O2007" s="77">
        <v>0</v>
      </c>
      <c r="P2007" s="114">
        <v>1</v>
      </c>
      <c r="Q2007" s="77">
        <v>0</v>
      </c>
      <c r="R2007" s="80">
        <v>0</v>
      </c>
      <c r="S2007" s="115">
        <v>0.5</v>
      </c>
      <c r="T2007" s="77">
        <f>STOCK[[#This Row],[Costo Unitario (USD)]]+STOCK[[#This Row],[Costo Envío (USD)]]+STOCK[[#This Row],[Comisión 10%]]</f>
        <v>1.8</v>
      </c>
      <c r="U2007" s="53">
        <f>STOCK[[#This Row],[Costo total]]*1.5</f>
        <v>2.7</v>
      </c>
      <c r="V2007" s="53">
        <v>3</v>
      </c>
      <c r="W2007" s="77">
        <f>STOCK[[#This Row],[Precio Final]]-STOCK[[#This Row],[Costo total]]</f>
        <v>1.2</v>
      </c>
      <c r="X2007" s="77">
        <f>STOCK[[#This Row],[Ganancia Unitaria]]*STOCK[[#This Row],[Salidas]]</f>
        <v>0</v>
      </c>
      <c r="Y2007" s="77"/>
      <c r="Z2007" s="90"/>
      <c r="AA2007" s="54"/>
      <c r="AB2007" s="54"/>
      <c r="AC2007" s="77"/>
      <c r="AD2007" s="98"/>
    </row>
    <row r="2008" s="53" customFormat="1" ht="50" customHeight="1" spans="1:30">
      <c r="A2008" s="99" t="s">
        <v>3920</v>
      </c>
      <c r="B2008" s="85"/>
      <c r="C2008" s="53" t="s">
        <v>32</v>
      </c>
      <c r="D2008" s="86" t="s">
        <v>2897</v>
      </c>
      <c r="E2008" s="108" t="s">
        <v>3919</v>
      </c>
      <c r="F2008" s="107" t="s">
        <v>49</v>
      </c>
      <c r="G2008" s="77"/>
      <c r="H2008" s="77">
        <f>STOCK[[#This Row],[Precio Final]]</f>
        <v>3</v>
      </c>
      <c r="I2008" s="82">
        <f>STOCK[[#This Row],[Precio Venta Ideal (x1.5)]]</f>
        <v>2.7</v>
      </c>
      <c r="J2008" s="107">
        <v>2</v>
      </c>
      <c r="K2008" s="80">
        <f>SUMIFS(VENTAS[Cantidad],VENTAS[Código del producto Vendido],STOCK[[#This Row],[Code]])</f>
        <v>0</v>
      </c>
      <c r="L2008" s="80">
        <f>STOCK[[#This Row],[Entradas]]-STOCK[[#This Row],[Salidas]]</f>
        <v>2</v>
      </c>
      <c r="M2008" s="77">
        <f>STOCK[[#This Row],[Precio Final]]*10%</f>
        <v>0.3</v>
      </c>
      <c r="N2008" s="54">
        <v>0</v>
      </c>
      <c r="O2008" s="77">
        <v>0</v>
      </c>
      <c r="P2008" s="114">
        <v>1</v>
      </c>
      <c r="Q2008" s="77">
        <v>0</v>
      </c>
      <c r="R2008" s="80">
        <v>0</v>
      </c>
      <c r="S2008" s="116">
        <v>0.5</v>
      </c>
      <c r="T2008" s="77">
        <f>STOCK[[#This Row],[Costo Unitario (USD)]]+STOCK[[#This Row],[Costo Envío (USD)]]+STOCK[[#This Row],[Comisión 10%]]</f>
        <v>1.8</v>
      </c>
      <c r="U2008" s="53">
        <f>STOCK[[#This Row],[Costo total]]*1.5</f>
        <v>2.7</v>
      </c>
      <c r="V2008" s="53">
        <v>3</v>
      </c>
      <c r="W2008" s="77">
        <f>STOCK[[#This Row],[Precio Final]]-STOCK[[#This Row],[Costo total]]</f>
        <v>1.2</v>
      </c>
      <c r="X2008" s="77">
        <f>STOCK[[#This Row],[Ganancia Unitaria]]*STOCK[[#This Row],[Salidas]]</f>
        <v>0</v>
      </c>
      <c r="Y2008" s="77"/>
      <c r="Z2008" s="90"/>
      <c r="AA2008" s="54"/>
      <c r="AB2008" s="54"/>
      <c r="AC2008" s="77"/>
      <c r="AD2008" s="98"/>
    </row>
    <row r="2009" s="53" customFormat="1" ht="50" customHeight="1" spans="1:30">
      <c r="A2009" s="99" t="s">
        <v>3921</v>
      </c>
      <c r="B2009" s="85"/>
      <c r="C2009" s="53" t="s">
        <v>32</v>
      </c>
      <c r="D2009" s="86" t="s">
        <v>2897</v>
      </c>
      <c r="E2009" s="108" t="s">
        <v>3919</v>
      </c>
      <c r="F2009" s="107" t="s">
        <v>46</v>
      </c>
      <c r="G2009" s="77"/>
      <c r="H2009" s="77">
        <f>STOCK[[#This Row],[Precio Final]]</f>
        <v>3</v>
      </c>
      <c r="I2009" s="82">
        <f>STOCK[[#This Row],[Precio Venta Ideal (x1.5)]]</f>
        <v>2.7</v>
      </c>
      <c r="J2009" s="107">
        <v>3</v>
      </c>
      <c r="K2009" s="80">
        <f>SUMIFS(VENTAS[Cantidad],VENTAS[Código del producto Vendido],STOCK[[#This Row],[Code]])</f>
        <v>0</v>
      </c>
      <c r="L2009" s="80">
        <f>STOCK[[#This Row],[Entradas]]-STOCK[[#This Row],[Salidas]]</f>
        <v>3</v>
      </c>
      <c r="M2009" s="77">
        <f>STOCK[[#This Row],[Precio Final]]*10%</f>
        <v>0.3</v>
      </c>
      <c r="N2009" s="54">
        <v>0</v>
      </c>
      <c r="O2009" s="77">
        <v>0</v>
      </c>
      <c r="P2009" s="114">
        <v>1</v>
      </c>
      <c r="Q2009" s="77">
        <v>0</v>
      </c>
      <c r="R2009" s="80">
        <v>0</v>
      </c>
      <c r="S2009" s="115">
        <v>0.5</v>
      </c>
      <c r="T2009" s="77">
        <f>STOCK[[#This Row],[Costo Unitario (USD)]]+STOCK[[#This Row],[Costo Envío (USD)]]+STOCK[[#This Row],[Comisión 10%]]</f>
        <v>1.8</v>
      </c>
      <c r="U2009" s="53">
        <f>STOCK[[#This Row],[Costo total]]*1.5</f>
        <v>2.7</v>
      </c>
      <c r="V2009" s="53">
        <v>3</v>
      </c>
      <c r="W2009" s="77">
        <f>STOCK[[#This Row],[Precio Final]]-STOCK[[#This Row],[Costo total]]</f>
        <v>1.2</v>
      </c>
      <c r="X2009" s="77">
        <f>STOCK[[#This Row],[Ganancia Unitaria]]*STOCK[[#This Row],[Salidas]]</f>
        <v>0</v>
      </c>
      <c r="Y2009" s="77"/>
      <c r="Z2009" s="90"/>
      <c r="AA2009" s="54"/>
      <c r="AB2009" s="54"/>
      <c r="AC2009" s="77"/>
      <c r="AD2009" s="98"/>
    </row>
    <row r="2010" s="53" customFormat="1" ht="50" customHeight="1" spans="1:30">
      <c r="A2010" s="99" t="s">
        <v>3922</v>
      </c>
      <c r="B2010" s="85"/>
      <c r="C2010" s="53" t="s">
        <v>32</v>
      </c>
      <c r="D2010" s="86" t="s">
        <v>2897</v>
      </c>
      <c r="E2010" s="108" t="s">
        <v>3919</v>
      </c>
      <c r="F2010" s="107" t="s">
        <v>42</v>
      </c>
      <c r="G2010" s="77"/>
      <c r="H2010" s="77">
        <f>STOCK[[#This Row],[Precio Final]]</f>
        <v>3</v>
      </c>
      <c r="I2010" s="82">
        <f>STOCK[[#This Row],[Precio Venta Ideal (x1.5)]]</f>
        <v>2.7</v>
      </c>
      <c r="J2010" s="107">
        <v>3</v>
      </c>
      <c r="K2010" s="80">
        <f>SUMIFS(VENTAS[Cantidad],VENTAS[Código del producto Vendido],STOCK[[#This Row],[Code]])</f>
        <v>0</v>
      </c>
      <c r="L2010" s="80">
        <f>STOCK[[#This Row],[Entradas]]-STOCK[[#This Row],[Salidas]]</f>
        <v>3</v>
      </c>
      <c r="M2010" s="77">
        <f>STOCK[[#This Row],[Precio Final]]*10%</f>
        <v>0.3</v>
      </c>
      <c r="N2010" s="54">
        <v>0</v>
      </c>
      <c r="O2010" s="77">
        <v>0</v>
      </c>
      <c r="P2010" s="114">
        <v>1</v>
      </c>
      <c r="Q2010" s="77">
        <v>0</v>
      </c>
      <c r="R2010" s="80">
        <v>0</v>
      </c>
      <c r="S2010" s="116">
        <v>0.5</v>
      </c>
      <c r="T2010" s="77">
        <f>STOCK[[#This Row],[Costo Unitario (USD)]]+STOCK[[#This Row],[Costo Envío (USD)]]+STOCK[[#This Row],[Comisión 10%]]</f>
        <v>1.8</v>
      </c>
      <c r="U2010" s="53">
        <f>STOCK[[#This Row],[Costo total]]*1.5</f>
        <v>2.7</v>
      </c>
      <c r="V2010" s="53">
        <v>3</v>
      </c>
      <c r="W2010" s="77">
        <f>STOCK[[#This Row],[Precio Final]]-STOCK[[#This Row],[Costo total]]</f>
        <v>1.2</v>
      </c>
      <c r="X2010" s="77">
        <f>STOCK[[#This Row],[Ganancia Unitaria]]*STOCK[[#This Row],[Salidas]]</f>
        <v>0</v>
      </c>
      <c r="Y2010" s="77"/>
      <c r="Z2010" s="90"/>
      <c r="AA2010" s="54"/>
      <c r="AB2010" s="54"/>
      <c r="AC2010" s="77"/>
      <c r="AD2010" s="98"/>
    </row>
    <row r="2011" s="53" customFormat="1" ht="50" customHeight="1" spans="1:30">
      <c r="A2011" s="99" t="s">
        <v>3923</v>
      </c>
      <c r="B2011" s="85"/>
      <c r="C2011" s="53" t="s">
        <v>32</v>
      </c>
      <c r="D2011" s="86" t="s">
        <v>2897</v>
      </c>
      <c r="E2011" s="108" t="s">
        <v>3924</v>
      </c>
      <c r="F2011" s="107" t="s">
        <v>62</v>
      </c>
      <c r="G2011" s="77"/>
      <c r="H2011" s="77">
        <f>STOCK[[#This Row],[Precio Final]]</f>
        <v>3</v>
      </c>
      <c r="I2011" s="82">
        <f>STOCK[[#This Row],[Precio Venta Ideal (x1.5)]]</f>
        <v>2.7</v>
      </c>
      <c r="J2011" s="89">
        <v>3</v>
      </c>
      <c r="K2011" s="80">
        <f>SUMIFS(VENTAS[Cantidad],VENTAS[Código del producto Vendido],STOCK[[#This Row],[Code]])</f>
        <v>0</v>
      </c>
      <c r="L2011" s="80">
        <f>STOCK[[#This Row],[Entradas]]-STOCK[[#This Row],[Salidas]]</f>
        <v>3</v>
      </c>
      <c r="M2011" s="77">
        <f>STOCK[[#This Row],[Precio Final]]*10%</f>
        <v>0.3</v>
      </c>
      <c r="N2011" s="54">
        <v>0</v>
      </c>
      <c r="O2011" s="77">
        <v>0</v>
      </c>
      <c r="P2011" s="114">
        <v>1</v>
      </c>
      <c r="Q2011" s="77">
        <v>0</v>
      </c>
      <c r="R2011" s="80">
        <v>0</v>
      </c>
      <c r="S2011" s="115">
        <v>0.5</v>
      </c>
      <c r="T2011" s="77">
        <f>STOCK[[#This Row],[Costo Unitario (USD)]]+STOCK[[#This Row],[Costo Envío (USD)]]+STOCK[[#This Row],[Comisión 10%]]</f>
        <v>1.8</v>
      </c>
      <c r="U2011" s="53">
        <f>STOCK[[#This Row],[Costo total]]*1.5</f>
        <v>2.7</v>
      </c>
      <c r="V2011" s="53">
        <v>3</v>
      </c>
      <c r="W2011" s="77">
        <f>STOCK[[#This Row],[Precio Final]]-STOCK[[#This Row],[Costo total]]</f>
        <v>1.2</v>
      </c>
      <c r="X2011" s="77">
        <f>STOCK[[#This Row],[Ganancia Unitaria]]*STOCK[[#This Row],[Salidas]]</f>
        <v>0</v>
      </c>
      <c r="Y2011" s="77"/>
      <c r="Z2011" s="90"/>
      <c r="AA2011" s="54"/>
      <c r="AB2011" s="54"/>
      <c r="AC2011" s="77"/>
      <c r="AD2011" s="98"/>
    </row>
    <row r="2012" s="53" customFormat="1" ht="50" customHeight="1" spans="1:30">
      <c r="A2012" s="99" t="s">
        <v>3925</v>
      </c>
      <c r="B2012" s="85"/>
      <c r="C2012" s="53" t="s">
        <v>32</v>
      </c>
      <c r="D2012" s="86" t="s">
        <v>2897</v>
      </c>
      <c r="E2012" s="108" t="s">
        <v>3924</v>
      </c>
      <c r="F2012" s="107" t="s">
        <v>49</v>
      </c>
      <c r="G2012" s="77"/>
      <c r="H2012" s="77">
        <f>STOCK[[#This Row],[Precio Final]]</f>
        <v>3</v>
      </c>
      <c r="I2012" s="82">
        <f>STOCK[[#This Row],[Precio Venta Ideal (x1.5)]]</f>
        <v>2.7</v>
      </c>
      <c r="J2012" s="89">
        <v>3</v>
      </c>
      <c r="K2012" s="80">
        <f>SUMIFS(VENTAS[Cantidad],VENTAS[Código del producto Vendido],STOCK[[#This Row],[Code]])</f>
        <v>0</v>
      </c>
      <c r="L2012" s="80">
        <f>STOCK[[#This Row],[Entradas]]-STOCK[[#This Row],[Salidas]]</f>
        <v>3</v>
      </c>
      <c r="M2012" s="77">
        <f>STOCK[[#This Row],[Precio Final]]*10%</f>
        <v>0.3</v>
      </c>
      <c r="N2012" s="54">
        <v>0</v>
      </c>
      <c r="O2012" s="77">
        <v>0</v>
      </c>
      <c r="P2012" s="114">
        <v>1</v>
      </c>
      <c r="Q2012" s="77">
        <v>0</v>
      </c>
      <c r="R2012" s="80">
        <v>0</v>
      </c>
      <c r="S2012" s="116">
        <v>0.5</v>
      </c>
      <c r="T2012" s="77">
        <f>STOCK[[#This Row],[Costo Unitario (USD)]]+STOCK[[#This Row],[Costo Envío (USD)]]+STOCK[[#This Row],[Comisión 10%]]</f>
        <v>1.8</v>
      </c>
      <c r="U2012" s="53">
        <f>STOCK[[#This Row],[Costo total]]*1.5</f>
        <v>2.7</v>
      </c>
      <c r="V2012" s="53">
        <v>3</v>
      </c>
      <c r="W2012" s="77">
        <f>STOCK[[#This Row],[Precio Final]]-STOCK[[#This Row],[Costo total]]</f>
        <v>1.2</v>
      </c>
      <c r="X2012" s="77">
        <f>STOCK[[#This Row],[Ganancia Unitaria]]*STOCK[[#This Row],[Salidas]]</f>
        <v>0</v>
      </c>
      <c r="Y2012" s="77"/>
      <c r="Z2012" s="90"/>
      <c r="AA2012" s="54"/>
      <c r="AB2012" s="54"/>
      <c r="AC2012" s="77"/>
      <c r="AD2012" s="98"/>
    </row>
    <row r="2013" s="53" customFormat="1" ht="50" customHeight="1" spans="1:30">
      <c r="A2013" s="99" t="s">
        <v>3926</v>
      </c>
      <c r="B2013" s="85"/>
      <c r="C2013" s="53" t="s">
        <v>32</v>
      </c>
      <c r="D2013" s="86" t="s">
        <v>2897</v>
      </c>
      <c r="E2013" s="108" t="s">
        <v>3924</v>
      </c>
      <c r="F2013" s="107" t="s">
        <v>46</v>
      </c>
      <c r="G2013" s="77"/>
      <c r="H2013" s="77">
        <f>STOCK[[#This Row],[Precio Final]]</f>
        <v>3</v>
      </c>
      <c r="I2013" s="82">
        <f>STOCK[[#This Row],[Precio Venta Ideal (x1.5)]]</f>
        <v>2.7</v>
      </c>
      <c r="J2013" s="89">
        <v>3</v>
      </c>
      <c r="K2013" s="80">
        <f>SUMIFS(VENTAS[Cantidad],VENTAS[Código del producto Vendido],STOCK[[#This Row],[Code]])</f>
        <v>0</v>
      </c>
      <c r="L2013" s="80">
        <f>STOCK[[#This Row],[Entradas]]-STOCK[[#This Row],[Salidas]]</f>
        <v>3</v>
      </c>
      <c r="M2013" s="77">
        <f>STOCK[[#This Row],[Precio Final]]*10%</f>
        <v>0.3</v>
      </c>
      <c r="N2013" s="54">
        <v>0</v>
      </c>
      <c r="O2013" s="77">
        <v>0</v>
      </c>
      <c r="P2013" s="114">
        <v>1</v>
      </c>
      <c r="Q2013" s="77">
        <v>0</v>
      </c>
      <c r="R2013" s="80">
        <v>0</v>
      </c>
      <c r="S2013" s="115">
        <v>0.5</v>
      </c>
      <c r="T2013" s="77">
        <f>STOCK[[#This Row],[Costo Unitario (USD)]]+STOCK[[#This Row],[Costo Envío (USD)]]+STOCK[[#This Row],[Comisión 10%]]</f>
        <v>1.8</v>
      </c>
      <c r="U2013" s="53">
        <f>STOCK[[#This Row],[Costo total]]*1.5</f>
        <v>2.7</v>
      </c>
      <c r="V2013" s="53">
        <v>3</v>
      </c>
      <c r="W2013" s="77">
        <f>STOCK[[#This Row],[Precio Final]]-STOCK[[#This Row],[Costo total]]</f>
        <v>1.2</v>
      </c>
      <c r="X2013" s="77">
        <f>STOCK[[#This Row],[Ganancia Unitaria]]*STOCK[[#This Row],[Salidas]]</f>
        <v>0</v>
      </c>
      <c r="Y2013" s="77"/>
      <c r="Z2013" s="90"/>
      <c r="AA2013" s="54"/>
      <c r="AB2013" s="54"/>
      <c r="AC2013" s="77"/>
      <c r="AD2013" s="98"/>
    </row>
    <row r="2014" s="53" customFormat="1" ht="50" customHeight="1" spans="1:30">
      <c r="A2014" s="99" t="s">
        <v>3927</v>
      </c>
      <c r="B2014" s="85"/>
      <c r="C2014" s="53" t="s">
        <v>32</v>
      </c>
      <c r="D2014" s="86" t="s">
        <v>2897</v>
      </c>
      <c r="E2014" s="108" t="s">
        <v>3924</v>
      </c>
      <c r="F2014" s="107" t="s">
        <v>42</v>
      </c>
      <c r="G2014" s="77"/>
      <c r="H2014" s="77">
        <f>STOCK[[#This Row],[Precio Final]]</f>
        <v>3</v>
      </c>
      <c r="I2014" s="82">
        <f>STOCK[[#This Row],[Precio Venta Ideal (x1.5)]]</f>
        <v>2.7</v>
      </c>
      <c r="J2014" s="89">
        <v>3</v>
      </c>
      <c r="K2014" s="80">
        <f>SUMIFS(VENTAS[Cantidad],VENTAS[Código del producto Vendido],STOCK[[#This Row],[Code]])</f>
        <v>0</v>
      </c>
      <c r="L2014" s="80">
        <f>STOCK[[#This Row],[Entradas]]-STOCK[[#This Row],[Salidas]]</f>
        <v>3</v>
      </c>
      <c r="M2014" s="77">
        <f>STOCK[[#This Row],[Precio Final]]*10%</f>
        <v>0.3</v>
      </c>
      <c r="N2014" s="54">
        <v>0</v>
      </c>
      <c r="O2014" s="77">
        <v>0</v>
      </c>
      <c r="P2014" s="114">
        <v>1</v>
      </c>
      <c r="Q2014" s="77">
        <v>0</v>
      </c>
      <c r="R2014" s="80">
        <v>0</v>
      </c>
      <c r="S2014" s="116">
        <v>0.5</v>
      </c>
      <c r="T2014" s="77">
        <f>STOCK[[#This Row],[Costo Unitario (USD)]]+STOCK[[#This Row],[Costo Envío (USD)]]+STOCK[[#This Row],[Comisión 10%]]</f>
        <v>1.8</v>
      </c>
      <c r="U2014" s="53">
        <f>STOCK[[#This Row],[Costo total]]*1.5</f>
        <v>2.7</v>
      </c>
      <c r="V2014" s="53">
        <v>3</v>
      </c>
      <c r="W2014" s="77">
        <f>STOCK[[#This Row],[Precio Final]]-STOCK[[#This Row],[Costo total]]</f>
        <v>1.2</v>
      </c>
      <c r="X2014" s="77">
        <f>STOCK[[#This Row],[Ganancia Unitaria]]*STOCK[[#This Row],[Salidas]]</f>
        <v>0</v>
      </c>
      <c r="Y2014" s="77"/>
      <c r="Z2014" s="90"/>
      <c r="AA2014" s="54"/>
      <c r="AB2014" s="54"/>
      <c r="AC2014" s="77"/>
      <c r="AD2014" s="98"/>
    </row>
    <row r="2015" s="53" customFormat="1" ht="50" customHeight="1" spans="1:30">
      <c r="A2015" s="99" t="s">
        <v>3928</v>
      </c>
      <c r="B2015" s="85"/>
      <c r="D2015" s="86" t="s">
        <v>488</v>
      </c>
      <c r="E2015" s="87" t="s">
        <v>3929</v>
      </c>
      <c r="F2015" s="99" t="s">
        <v>2817</v>
      </c>
      <c r="G2015" s="77"/>
      <c r="H2015" s="77">
        <f>STOCK[[#This Row],[Precio Final]]</f>
        <v>25</v>
      </c>
      <c r="I2015" s="82">
        <f>STOCK[[#This Row],[Precio Venta Ideal (x1.5)]]</f>
        <v>21.465</v>
      </c>
      <c r="J2015" s="89">
        <v>7</v>
      </c>
      <c r="K2015" s="80">
        <f>SUMIFS(VENTAS[Cantidad],VENTAS[Código del producto Vendido],STOCK[[#This Row],[Code]])</f>
        <v>0</v>
      </c>
      <c r="L2015" s="80">
        <f>STOCK[[#This Row],[Entradas]]-STOCK[[#This Row],[Salidas]]</f>
        <v>7</v>
      </c>
      <c r="M2015" s="77">
        <f>STOCK[[#This Row],[Precio Final]]*10%</f>
        <v>2.5</v>
      </c>
      <c r="N2015" s="54">
        <v>0</v>
      </c>
      <c r="O2015" s="77">
        <v>0</v>
      </c>
      <c r="P2015" s="77">
        <v>9.56</v>
      </c>
      <c r="Q2015" s="77">
        <v>0</v>
      </c>
      <c r="R2015" s="80">
        <v>0</v>
      </c>
      <c r="S2015" s="77">
        <v>2.25</v>
      </c>
      <c r="T2015" s="77">
        <f>STOCK[[#This Row],[Costo Unitario (USD)]]+STOCK[[#This Row],[Costo Envío (USD)]]+STOCK[[#This Row],[Comisión 10%]]</f>
        <v>14.31</v>
      </c>
      <c r="U2015" s="53">
        <f>STOCK[[#This Row],[Costo total]]*1.5</f>
        <v>21.465</v>
      </c>
      <c r="V2015" s="53">
        <v>25</v>
      </c>
      <c r="W2015" s="77">
        <f>STOCK[[#This Row],[Precio Final]]-STOCK[[#This Row],[Costo total]]</f>
        <v>10.69</v>
      </c>
      <c r="X2015" s="77">
        <f>STOCK[[#This Row],[Ganancia Unitaria]]*STOCK[[#This Row],[Salidas]]</f>
        <v>0</v>
      </c>
      <c r="Y2015" s="77" t="s">
        <v>3930</v>
      </c>
      <c r="Z2015" s="90"/>
      <c r="AA2015" s="54"/>
      <c r="AB2015" s="54"/>
      <c r="AC2015" s="77"/>
      <c r="AD2015" s="98"/>
    </row>
    <row r="2016" s="53" customFormat="1" ht="50" customHeight="1" spans="1:30">
      <c r="A2016" s="99" t="s">
        <v>3931</v>
      </c>
      <c r="B2016" s="85"/>
      <c r="D2016" s="86" t="s">
        <v>488</v>
      </c>
      <c r="E2016" s="87" t="s">
        <v>3932</v>
      </c>
      <c r="F2016" s="99" t="s">
        <v>2817</v>
      </c>
      <c r="G2016" s="77"/>
      <c r="H2016" s="77">
        <f>STOCK[[#This Row],[Precio Final]]</f>
        <v>25</v>
      </c>
      <c r="I2016" s="82">
        <f>STOCK[[#This Row],[Precio Venta Ideal (x1.5)]]</f>
        <v>20.91</v>
      </c>
      <c r="J2016" s="89">
        <v>10</v>
      </c>
      <c r="K2016" s="80">
        <f>SUMIFS(VENTAS[Cantidad],VENTAS[Código del producto Vendido],STOCK[[#This Row],[Code]])</f>
        <v>0</v>
      </c>
      <c r="L2016" s="80">
        <f>STOCK[[#This Row],[Entradas]]-STOCK[[#This Row],[Salidas]]</f>
        <v>10</v>
      </c>
      <c r="M2016" s="77">
        <f>STOCK[[#This Row],[Precio Final]]*10%</f>
        <v>2.5</v>
      </c>
      <c r="N2016" s="54">
        <v>0</v>
      </c>
      <c r="O2016" s="77">
        <v>0</v>
      </c>
      <c r="P2016" s="77">
        <v>9.19</v>
      </c>
      <c r="Q2016" s="77">
        <v>0</v>
      </c>
      <c r="R2016" s="80">
        <v>0</v>
      </c>
      <c r="S2016" s="77">
        <v>2.25</v>
      </c>
      <c r="T2016" s="77">
        <f>STOCK[[#This Row],[Costo Unitario (USD)]]+STOCK[[#This Row],[Costo Envío (USD)]]+STOCK[[#This Row],[Comisión 10%]]</f>
        <v>13.94</v>
      </c>
      <c r="U2016" s="53">
        <f>STOCK[[#This Row],[Costo total]]*1.5</f>
        <v>20.91</v>
      </c>
      <c r="V2016" s="53">
        <v>25</v>
      </c>
      <c r="W2016" s="77">
        <f>STOCK[[#This Row],[Precio Final]]-STOCK[[#This Row],[Costo total]]</f>
        <v>11.06</v>
      </c>
      <c r="X2016" s="77">
        <f>STOCK[[#This Row],[Ganancia Unitaria]]*STOCK[[#This Row],[Salidas]]</f>
        <v>0</v>
      </c>
      <c r="Y2016" s="77"/>
      <c r="Z2016" s="90"/>
      <c r="AA2016" s="54"/>
      <c r="AB2016" s="54"/>
      <c r="AC2016" s="77"/>
      <c r="AD2016" s="98"/>
    </row>
    <row r="2017" s="53" customFormat="1" ht="50" customHeight="1" spans="1:30">
      <c r="A2017" s="99" t="s">
        <v>3933</v>
      </c>
      <c r="B2017" s="85"/>
      <c r="D2017" s="86" t="s">
        <v>488</v>
      </c>
      <c r="E2017" s="87" t="s">
        <v>3934</v>
      </c>
      <c r="F2017" s="99" t="s">
        <v>2822</v>
      </c>
      <c r="G2017" s="77"/>
      <c r="H2017" s="77">
        <f>STOCK[[#This Row],[Precio Final]]</f>
        <v>25</v>
      </c>
      <c r="I2017" s="82">
        <f>STOCK[[#This Row],[Precio Venta Ideal (x1.5)]]</f>
        <v>19.35</v>
      </c>
      <c r="J2017" s="89">
        <v>9</v>
      </c>
      <c r="K2017" s="80">
        <f>SUMIFS(VENTAS[Cantidad],VENTAS[Código del producto Vendido],STOCK[[#This Row],[Code]])</f>
        <v>0</v>
      </c>
      <c r="L2017" s="80">
        <f>STOCK[[#This Row],[Entradas]]-STOCK[[#This Row],[Salidas]]</f>
        <v>9</v>
      </c>
      <c r="M2017" s="77">
        <f>STOCK[[#This Row],[Precio Final]]*10%</f>
        <v>2.5</v>
      </c>
      <c r="N2017" s="54">
        <v>0</v>
      </c>
      <c r="O2017" s="77">
        <v>0</v>
      </c>
      <c r="P2017" s="77">
        <v>8.15</v>
      </c>
      <c r="Q2017" s="77">
        <v>0</v>
      </c>
      <c r="R2017" s="80">
        <v>0</v>
      </c>
      <c r="S2017" s="77">
        <v>2.25</v>
      </c>
      <c r="T2017" s="77">
        <f>STOCK[[#This Row],[Costo Unitario (USD)]]+STOCK[[#This Row],[Costo Envío (USD)]]+STOCK[[#This Row],[Comisión 10%]]</f>
        <v>12.9</v>
      </c>
      <c r="U2017" s="53">
        <f>STOCK[[#This Row],[Costo total]]*1.5</f>
        <v>19.35</v>
      </c>
      <c r="V2017" s="53">
        <v>25</v>
      </c>
      <c r="W2017" s="77">
        <f>STOCK[[#This Row],[Precio Final]]-STOCK[[#This Row],[Costo total]]</f>
        <v>12.1</v>
      </c>
      <c r="X2017" s="77">
        <f>STOCK[[#This Row],[Ganancia Unitaria]]*STOCK[[#This Row],[Salidas]]</f>
        <v>0</v>
      </c>
      <c r="Y2017" s="77"/>
      <c r="Z2017" s="90"/>
      <c r="AA2017" s="54"/>
      <c r="AB2017" s="54"/>
      <c r="AC2017" s="77"/>
      <c r="AD2017" s="98"/>
    </row>
    <row r="2018" s="53" customFormat="1" ht="50" customHeight="1" spans="1:30">
      <c r="A2018" s="99" t="s">
        <v>3935</v>
      </c>
      <c r="B2018" s="85"/>
      <c r="D2018" s="86" t="s">
        <v>488</v>
      </c>
      <c r="E2018" s="87" t="s">
        <v>3936</v>
      </c>
      <c r="F2018" s="99" t="s">
        <v>2822</v>
      </c>
      <c r="G2018" s="77"/>
      <c r="H2018" s="77">
        <f>STOCK[[#This Row],[Precio Final]]</f>
        <v>25</v>
      </c>
      <c r="I2018" s="82">
        <f>STOCK[[#This Row],[Precio Venta Ideal (x1.5)]]</f>
        <v>21.69</v>
      </c>
      <c r="J2018" s="89">
        <v>7</v>
      </c>
      <c r="K2018" s="80">
        <f>SUMIFS(VENTAS[Cantidad],VENTAS[Código del producto Vendido],STOCK[[#This Row],[Code]])</f>
        <v>0</v>
      </c>
      <c r="L2018" s="80">
        <f>STOCK[[#This Row],[Entradas]]-STOCK[[#This Row],[Salidas]]</f>
        <v>7</v>
      </c>
      <c r="M2018" s="77">
        <f>STOCK[[#This Row],[Precio Final]]*10%</f>
        <v>2.5</v>
      </c>
      <c r="N2018" s="54">
        <v>0</v>
      </c>
      <c r="O2018" s="77">
        <v>0</v>
      </c>
      <c r="P2018" s="77">
        <v>9.71</v>
      </c>
      <c r="Q2018" s="77">
        <v>0</v>
      </c>
      <c r="R2018" s="80">
        <v>0</v>
      </c>
      <c r="S2018" s="77">
        <v>2.25</v>
      </c>
      <c r="T2018" s="77">
        <f>STOCK[[#This Row],[Costo Unitario (USD)]]+STOCK[[#This Row],[Costo Envío (USD)]]+STOCK[[#This Row],[Comisión 10%]]</f>
        <v>14.46</v>
      </c>
      <c r="U2018" s="53">
        <f>STOCK[[#This Row],[Costo total]]*1.5</f>
        <v>21.69</v>
      </c>
      <c r="V2018" s="53">
        <v>25</v>
      </c>
      <c r="W2018" s="77">
        <f>STOCK[[#This Row],[Precio Final]]-STOCK[[#This Row],[Costo total]]</f>
        <v>10.54</v>
      </c>
      <c r="X2018" s="77">
        <f>STOCK[[#This Row],[Ganancia Unitaria]]*STOCK[[#This Row],[Salidas]]</f>
        <v>0</v>
      </c>
      <c r="Y2018" s="77"/>
      <c r="Z2018" s="90"/>
      <c r="AA2018" s="54"/>
      <c r="AB2018" s="54"/>
      <c r="AC2018" s="77"/>
      <c r="AD2018" s="98"/>
    </row>
    <row r="2019" s="53" customFormat="1" ht="50" customHeight="1" spans="1:30">
      <c r="A2019" s="99" t="s">
        <v>3937</v>
      </c>
      <c r="B2019" s="85"/>
      <c r="D2019" s="86" t="s">
        <v>488</v>
      </c>
      <c r="E2019" s="87" t="s">
        <v>3938</v>
      </c>
      <c r="F2019" s="99" t="s">
        <v>2817</v>
      </c>
      <c r="G2019" s="77"/>
      <c r="H2019" s="77">
        <f>STOCK[[#This Row],[Precio Final]]</f>
        <v>25</v>
      </c>
      <c r="I2019" s="82">
        <f>STOCK[[#This Row],[Precio Venta Ideal (x1.5)]]</f>
        <v>21.675</v>
      </c>
      <c r="J2019" s="89">
        <v>4</v>
      </c>
      <c r="K2019" s="80">
        <f>SUMIFS(VENTAS[Cantidad],VENTAS[Código del producto Vendido],STOCK[[#This Row],[Code]])</f>
        <v>0</v>
      </c>
      <c r="L2019" s="80">
        <f>STOCK[[#This Row],[Entradas]]-STOCK[[#This Row],[Salidas]]</f>
        <v>4</v>
      </c>
      <c r="M2019" s="77">
        <f>STOCK[[#This Row],[Precio Final]]*10%</f>
        <v>2.5</v>
      </c>
      <c r="N2019" s="54">
        <v>0</v>
      </c>
      <c r="O2019" s="77">
        <v>0</v>
      </c>
      <c r="P2019" s="77">
        <v>9.7</v>
      </c>
      <c r="Q2019" s="77">
        <v>0</v>
      </c>
      <c r="R2019" s="80">
        <v>0</v>
      </c>
      <c r="S2019" s="77">
        <v>2.25</v>
      </c>
      <c r="T2019" s="77">
        <f>STOCK[[#This Row],[Costo Unitario (USD)]]+STOCK[[#This Row],[Costo Envío (USD)]]+STOCK[[#This Row],[Comisión 10%]]</f>
        <v>14.45</v>
      </c>
      <c r="U2019" s="53">
        <f>STOCK[[#This Row],[Costo total]]*1.5</f>
        <v>21.675</v>
      </c>
      <c r="V2019" s="53">
        <v>25</v>
      </c>
      <c r="W2019" s="77">
        <f>STOCK[[#This Row],[Precio Final]]-STOCK[[#This Row],[Costo total]]</f>
        <v>10.55</v>
      </c>
      <c r="X2019" s="77">
        <f>STOCK[[#This Row],[Ganancia Unitaria]]*STOCK[[#This Row],[Salidas]]</f>
        <v>0</v>
      </c>
      <c r="Y2019" s="77"/>
      <c r="Z2019" s="90"/>
      <c r="AA2019" s="54"/>
      <c r="AB2019" s="54"/>
      <c r="AC2019" s="77"/>
      <c r="AD2019" s="98"/>
    </row>
    <row r="2020" s="53" customFormat="1" ht="50" customHeight="1" spans="1:30">
      <c r="A2020" s="99" t="s">
        <v>3939</v>
      </c>
      <c r="B2020" s="85"/>
      <c r="D2020" s="86" t="s">
        <v>488</v>
      </c>
      <c r="E2020" s="87" t="s">
        <v>3940</v>
      </c>
      <c r="F2020" s="99" t="s">
        <v>2822</v>
      </c>
      <c r="G2020" s="77"/>
      <c r="H2020" s="77">
        <f>STOCK[[#This Row],[Precio Final]]</f>
        <v>25</v>
      </c>
      <c r="I2020" s="82">
        <f>STOCK[[#This Row],[Precio Venta Ideal (x1.5)]]</f>
        <v>21.015</v>
      </c>
      <c r="J2020" s="89">
        <v>4</v>
      </c>
      <c r="K2020" s="80">
        <f>SUMIFS(VENTAS[Cantidad],VENTAS[Código del producto Vendido],STOCK[[#This Row],[Code]])</f>
        <v>0</v>
      </c>
      <c r="L2020" s="80">
        <f>STOCK[[#This Row],[Entradas]]-STOCK[[#This Row],[Salidas]]</f>
        <v>4</v>
      </c>
      <c r="M2020" s="77">
        <f>STOCK[[#This Row],[Precio Final]]*10%</f>
        <v>2.5</v>
      </c>
      <c r="N2020" s="54">
        <v>0</v>
      </c>
      <c r="O2020" s="77">
        <v>0</v>
      </c>
      <c r="P2020" s="77">
        <v>9.26</v>
      </c>
      <c r="Q2020" s="77">
        <v>0</v>
      </c>
      <c r="R2020" s="80">
        <v>0</v>
      </c>
      <c r="S2020" s="77">
        <v>2.25</v>
      </c>
      <c r="T2020" s="77">
        <f>STOCK[[#This Row],[Costo Unitario (USD)]]+STOCK[[#This Row],[Costo Envío (USD)]]+STOCK[[#This Row],[Comisión 10%]]</f>
        <v>14.01</v>
      </c>
      <c r="U2020" s="53">
        <f>STOCK[[#This Row],[Costo total]]*1.5</f>
        <v>21.015</v>
      </c>
      <c r="V2020" s="53">
        <v>25</v>
      </c>
      <c r="W2020" s="77">
        <f>STOCK[[#This Row],[Precio Final]]-STOCK[[#This Row],[Costo total]]</f>
        <v>10.99</v>
      </c>
      <c r="X2020" s="77">
        <f>STOCK[[#This Row],[Ganancia Unitaria]]*STOCK[[#This Row],[Salidas]]</f>
        <v>0</v>
      </c>
      <c r="Y2020" s="77"/>
      <c r="Z2020" s="90"/>
      <c r="AA2020" s="54"/>
      <c r="AB2020" s="54"/>
      <c r="AC2020" s="77"/>
      <c r="AD2020" s="98"/>
    </row>
    <row r="2021" s="53" customFormat="1" ht="50" customHeight="1" spans="1:30">
      <c r="A2021" s="99" t="s">
        <v>3941</v>
      </c>
      <c r="B2021" s="85"/>
      <c r="D2021" s="86" t="s">
        <v>488</v>
      </c>
      <c r="E2021" s="87" t="s">
        <v>3942</v>
      </c>
      <c r="F2021" s="99" t="s">
        <v>2822</v>
      </c>
      <c r="G2021" s="77"/>
      <c r="H2021" s="77">
        <f>STOCK[[#This Row],[Precio Final]]</f>
        <v>25</v>
      </c>
      <c r="I2021" s="82">
        <f>STOCK[[#This Row],[Precio Venta Ideal (x1.5)]]</f>
        <v>20.955</v>
      </c>
      <c r="J2021" s="89">
        <v>12</v>
      </c>
      <c r="K2021" s="80">
        <f>SUMIFS(VENTAS[Cantidad],VENTAS[Código del producto Vendido],STOCK[[#This Row],[Code]])</f>
        <v>0</v>
      </c>
      <c r="L2021" s="80">
        <f>STOCK[[#This Row],[Entradas]]-STOCK[[#This Row],[Salidas]]</f>
        <v>12</v>
      </c>
      <c r="M2021" s="77">
        <f>STOCK[[#This Row],[Precio Final]]*10%</f>
        <v>2.5</v>
      </c>
      <c r="N2021" s="54">
        <v>0</v>
      </c>
      <c r="O2021" s="77">
        <v>0</v>
      </c>
      <c r="P2021" s="77">
        <v>9.22</v>
      </c>
      <c r="Q2021" s="77">
        <v>0</v>
      </c>
      <c r="R2021" s="80">
        <v>0</v>
      </c>
      <c r="S2021" s="77">
        <v>2.25</v>
      </c>
      <c r="T2021" s="77">
        <f>STOCK[[#This Row],[Costo Unitario (USD)]]+STOCK[[#This Row],[Costo Envío (USD)]]+STOCK[[#This Row],[Comisión 10%]]</f>
        <v>13.97</v>
      </c>
      <c r="U2021" s="53">
        <f>STOCK[[#This Row],[Costo total]]*1.5</f>
        <v>20.955</v>
      </c>
      <c r="V2021" s="53">
        <v>25</v>
      </c>
      <c r="W2021" s="77">
        <f>STOCK[[#This Row],[Precio Final]]-STOCK[[#This Row],[Costo total]]</f>
        <v>11.03</v>
      </c>
      <c r="X2021" s="77">
        <f>STOCK[[#This Row],[Ganancia Unitaria]]*STOCK[[#This Row],[Salidas]]</f>
        <v>0</v>
      </c>
      <c r="Y2021" s="77"/>
      <c r="Z2021" s="90"/>
      <c r="AA2021" s="54"/>
      <c r="AB2021" s="54"/>
      <c r="AC2021" s="77"/>
      <c r="AD2021" s="98"/>
    </row>
    <row r="2022" s="53" customFormat="1" ht="50" customHeight="1" spans="1:30">
      <c r="A2022" s="99" t="s">
        <v>3943</v>
      </c>
      <c r="B2022" s="85"/>
      <c r="D2022" s="86" t="s">
        <v>1226</v>
      </c>
      <c r="E2022" s="87" t="s">
        <v>3944</v>
      </c>
      <c r="F2022" s="99" t="s">
        <v>3945</v>
      </c>
      <c r="G2022" s="77"/>
      <c r="H2022" s="77">
        <f>STOCK[[#This Row],[Precio Final]]</f>
        <v>35</v>
      </c>
      <c r="I2022" s="82">
        <f>STOCK[[#This Row],[Precio Venta Ideal (x1.5)]]</f>
        <v>35.625</v>
      </c>
      <c r="J2022" s="89">
        <v>2</v>
      </c>
      <c r="K2022" s="80">
        <f>SUMIFS(VENTAS[Cantidad],VENTAS[Código del producto Vendido],STOCK[[#This Row],[Code]])</f>
        <v>0</v>
      </c>
      <c r="L2022" s="80">
        <f>STOCK[[#This Row],[Entradas]]-STOCK[[#This Row],[Salidas]]</f>
        <v>2</v>
      </c>
      <c r="M2022" s="77">
        <f>STOCK[[#This Row],[Precio Final]]*10%</f>
        <v>3.5</v>
      </c>
      <c r="N2022" s="54">
        <v>0</v>
      </c>
      <c r="O2022" s="77">
        <v>0</v>
      </c>
      <c r="P2022" s="77">
        <v>18</v>
      </c>
      <c r="Q2022" s="77">
        <v>0</v>
      </c>
      <c r="R2022" s="80">
        <v>0</v>
      </c>
      <c r="S2022" s="77">
        <v>2.25</v>
      </c>
      <c r="T2022" s="77">
        <f>STOCK[[#This Row],[Costo Unitario (USD)]]+STOCK[[#This Row],[Costo Envío (USD)]]+STOCK[[#This Row],[Comisión 10%]]</f>
        <v>23.75</v>
      </c>
      <c r="U2022" s="53">
        <f>STOCK[[#This Row],[Costo total]]*1.5</f>
        <v>35.625</v>
      </c>
      <c r="V2022" s="53">
        <v>35</v>
      </c>
      <c r="W2022" s="77">
        <f>STOCK[[#This Row],[Precio Final]]-STOCK[[#This Row],[Costo total]]</f>
        <v>11.25</v>
      </c>
      <c r="X2022" s="77">
        <f>STOCK[[#This Row],[Ganancia Unitaria]]*STOCK[[#This Row],[Salidas]]</f>
        <v>0</v>
      </c>
      <c r="Y2022" s="77"/>
      <c r="Z2022" s="90"/>
      <c r="AA2022" s="54"/>
      <c r="AB2022" s="54"/>
      <c r="AC2022" s="77"/>
      <c r="AD2022" s="98"/>
    </row>
    <row r="2023" s="53" customFormat="1" ht="50" customHeight="1" spans="1:30">
      <c r="A2023" s="99" t="s">
        <v>3946</v>
      </c>
      <c r="B2023" s="85"/>
      <c r="D2023" s="86" t="s">
        <v>1226</v>
      </c>
      <c r="E2023" s="87" t="s">
        <v>3947</v>
      </c>
      <c r="F2023" s="99" t="s">
        <v>3945</v>
      </c>
      <c r="G2023" s="77"/>
      <c r="H2023" s="77">
        <f>STOCK[[#This Row],[Precio Final]]</f>
        <v>40</v>
      </c>
      <c r="I2023" s="82">
        <f>STOCK[[#This Row],[Precio Venta Ideal (x1.5)]]</f>
        <v>36.375</v>
      </c>
      <c r="J2023" s="89">
        <v>2</v>
      </c>
      <c r="K2023" s="80">
        <f>SUMIFS(VENTAS[Cantidad],VENTAS[Código del producto Vendido],STOCK[[#This Row],[Code]])</f>
        <v>0</v>
      </c>
      <c r="L2023" s="80">
        <f>STOCK[[#This Row],[Entradas]]-STOCK[[#This Row],[Salidas]]</f>
        <v>2</v>
      </c>
      <c r="M2023" s="77">
        <f>STOCK[[#This Row],[Precio Final]]*10%</f>
        <v>4</v>
      </c>
      <c r="N2023" s="54">
        <v>0</v>
      </c>
      <c r="O2023" s="77">
        <v>0</v>
      </c>
      <c r="P2023" s="77">
        <v>18</v>
      </c>
      <c r="Q2023" s="77">
        <v>0</v>
      </c>
      <c r="R2023" s="80">
        <v>0</v>
      </c>
      <c r="S2023" s="77">
        <v>2.25</v>
      </c>
      <c r="T2023" s="77">
        <f>STOCK[[#This Row],[Costo Unitario (USD)]]+STOCK[[#This Row],[Costo Envío (USD)]]+STOCK[[#This Row],[Comisión 10%]]</f>
        <v>24.25</v>
      </c>
      <c r="U2023" s="53">
        <f>STOCK[[#This Row],[Costo total]]*1.5</f>
        <v>36.375</v>
      </c>
      <c r="V2023" s="53">
        <v>40</v>
      </c>
      <c r="W2023" s="77">
        <f>STOCK[[#This Row],[Precio Final]]-STOCK[[#This Row],[Costo total]]</f>
        <v>15.75</v>
      </c>
      <c r="X2023" s="77">
        <f>STOCK[[#This Row],[Ganancia Unitaria]]*STOCK[[#This Row],[Salidas]]</f>
        <v>0</v>
      </c>
      <c r="Y2023" s="77"/>
      <c r="Z2023" s="90"/>
      <c r="AA2023" s="54"/>
      <c r="AB2023" s="54"/>
      <c r="AC2023" s="77"/>
      <c r="AD2023" s="98"/>
    </row>
    <row r="2024" s="53" customFormat="1" ht="50" customHeight="1" spans="1:30">
      <c r="A2024" s="99" t="s">
        <v>3948</v>
      </c>
      <c r="B2024" s="85"/>
      <c r="D2024" s="86" t="s">
        <v>1226</v>
      </c>
      <c r="E2024" s="87" t="s">
        <v>3947</v>
      </c>
      <c r="F2024" s="99" t="s">
        <v>3949</v>
      </c>
      <c r="G2024" s="77"/>
      <c r="H2024" s="77">
        <f>STOCK[[#This Row],[Precio Final]]</f>
        <v>40</v>
      </c>
      <c r="I2024" s="82">
        <f>STOCK[[#This Row],[Precio Venta Ideal (x1.5)]]</f>
        <v>36.375</v>
      </c>
      <c r="J2024" s="89">
        <v>3</v>
      </c>
      <c r="K2024" s="80">
        <f>SUMIFS(VENTAS[Cantidad],VENTAS[Código del producto Vendido],STOCK[[#This Row],[Code]])</f>
        <v>0</v>
      </c>
      <c r="L2024" s="80">
        <f>STOCK[[#This Row],[Entradas]]-STOCK[[#This Row],[Salidas]]</f>
        <v>3</v>
      </c>
      <c r="M2024" s="77">
        <f>STOCK[[#This Row],[Precio Final]]*10%</f>
        <v>4</v>
      </c>
      <c r="N2024" s="54">
        <v>0</v>
      </c>
      <c r="O2024" s="77">
        <v>0</v>
      </c>
      <c r="P2024" s="77">
        <v>18</v>
      </c>
      <c r="Q2024" s="77">
        <v>0</v>
      </c>
      <c r="R2024" s="80">
        <v>0</v>
      </c>
      <c r="S2024" s="77">
        <v>2.25</v>
      </c>
      <c r="T2024" s="77">
        <f>STOCK[[#This Row],[Costo Unitario (USD)]]+STOCK[[#This Row],[Costo Envío (USD)]]+STOCK[[#This Row],[Comisión 10%]]</f>
        <v>24.25</v>
      </c>
      <c r="U2024" s="53">
        <f>STOCK[[#This Row],[Costo total]]*1.5</f>
        <v>36.375</v>
      </c>
      <c r="V2024" s="53">
        <v>40</v>
      </c>
      <c r="W2024" s="77">
        <f>STOCK[[#This Row],[Precio Final]]-STOCK[[#This Row],[Costo total]]</f>
        <v>15.75</v>
      </c>
      <c r="X2024" s="77">
        <f>STOCK[[#This Row],[Ganancia Unitaria]]*STOCK[[#This Row],[Salidas]]</f>
        <v>0</v>
      </c>
      <c r="Y2024" s="77"/>
      <c r="Z2024" s="90"/>
      <c r="AA2024" s="54"/>
      <c r="AB2024" s="54"/>
      <c r="AC2024" s="77"/>
      <c r="AD2024" s="98"/>
    </row>
    <row r="2025" s="53" customFormat="1" ht="50" customHeight="1" spans="1:30">
      <c r="A2025" s="99" t="s">
        <v>3950</v>
      </c>
      <c r="B2025" s="85"/>
      <c r="D2025" s="86" t="s">
        <v>1226</v>
      </c>
      <c r="E2025" s="87" t="s">
        <v>3947</v>
      </c>
      <c r="F2025" s="99" t="s">
        <v>3951</v>
      </c>
      <c r="G2025" s="77"/>
      <c r="H2025" s="77">
        <f>STOCK[[#This Row],[Precio Final]]</f>
        <v>40</v>
      </c>
      <c r="I2025" s="82">
        <f>STOCK[[#This Row],[Precio Venta Ideal (x1.5)]]</f>
        <v>36.375</v>
      </c>
      <c r="J2025" s="89">
        <v>4</v>
      </c>
      <c r="K2025" s="80">
        <f>SUMIFS(VENTAS[Cantidad],VENTAS[Código del producto Vendido],STOCK[[#This Row],[Code]])</f>
        <v>0</v>
      </c>
      <c r="L2025" s="80">
        <f>STOCK[[#This Row],[Entradas]]-STOCK[[#This Row],[Salidas]]</f>
        <v>4</v>
      </c>
      <c r="M2025" s="77">
        <f>STOCK[[#This Row],[Precio Final]]*10%</f>
        <v>4</v>
      </c>
      <c r="N2025" s="54">
        <v>0</v>
      </c>
      <c r="O2025" s="77">
        <v>0</v>
      </c>
      <c r="P2025" s="77">
        <v>18</v>
      </c>
      <c r="Q2025" s="77">
        <v>0</v>
      </c>
      <c r="R2025" s="80">
        <v>0</v>
      </c>
      <c r="S2025" s="77">
        <v>2.25</v>
      </c>
      <c r="T2025" s="77">
        <f>STOCK[[#This Row],[Costo Unitario (USD)]]+STOCK[[#This Row],[Costo Envío (USD)]]+STOCK[[#This Row],[Comisión 10%]]</f>
        <v>24.25</v>
      </c>
      <c r="U2025" s="53">
        <f>STOCK[[#This Row],[Costo total]]*1.5</f>
        <v>36.375</v>
      </c>
      <c r="V2025" s="53">
        <v>40</v>
      </c>
      <c r="W2025" s="77">
        <f>STOCK[[#This Row],[Precio Final]]-STOCK[[#This Row],[Costo total]]</f>
        <v>15.75</v>
      </c>
      <c r="X2025" s="77">
        <f>STOCK[[#This Row],[Ganancia Unitaria]]*STOCK[[#This Row],[Salidas]]</f>
        <v>0</v>
      </c>
      <c r="Y2025" s="77"/>
      <c r="Z2025" s="90"/>
      <c r="AA2025" s="54"/>
      <c r="AB2025" s="54"/>
      <c r="AC2025" s="77"/>
      <c r="AD2025" s="98"/>
    </row>
    <row r="2026" s="53" customFormat="1" ht="50" customHeight="1" spans="1:30">
      <c r="A2026" s="99" t="s">
        <v>3952</v>
      </c>
      <c r="B2026" s="85"/>
      <c r="D2026" s="86" t="s">
        <v>1226</v>
      </c>
      <c r="E2026" s="87" t="s">
        <v>3947</v>
      </c>
      <c r="F2026" s="99" t="s">
        <v>3953</v>
      </c>
      <c r="G2026" s="77"/>
      <c r="H2026" s="77">
        <f>STOCK[[#This Row],[Precio Final]]</f>
        <v>40</v>
      </c>
      <c r="I2026" s="82">
        <f>STOCK[[#This Row],[Precio Venta Ideal (x1.5)]]</f>
        <v>36.375</v>
      </c>
      <c r="J2026" s="89">
        <v>3</v>
      </c>
      <c r="K2026" s="80">
        <f>SUMIFS(VENTAS[Cantidad],VENTAS[Código del producto Vendido],STOCK[[#This Row],[Code]])</f>
        <v>0</v>
      </c>
      <c r="L2026" s="80">
        <f>STOCK[[#This Row],[Entradas]]-STOCK[[#This Row],[Salidas]]</f>
        <v>3</v>
      </c>
      <c r="M2026" s="77">
        <f>STOCK[[#This Row],[Precio Final]]*10%</f>
        <v>4</v>
      </c>
      <c r="N2026" s="54">
        <v>0</v>
      </c>
      <c r="O2026" s="77">
        <v>0</v>
      </c>
      <c r="P2026" s="77">
        <v>18</v>
      </c>
      <c r="Q2026" s="77">
        <v>0</v>
      </c>
      <c r="R2026" s="80">
        <v>0</v>
      </c>
      <c r="S2026" s="77">
        <v>2.25</v>
      </c>
      <c r="T2026" s="77">
        <f>STOCK[[#This Row],[Costo Unitario (USD)]]+STOCK[[#This Row],[Costo Envío (USD)]]+STOCK[[#This Row],[Comisión 10%]]</f>
        <v>24.25</v>
      </c>
      <c r="U2026" s="53">
        <f>STOCK[[#This Row],[Costo total]]*1.5</f>
        <v>36.375</v>
      </c>
      <c r="V2026" s="53">
        <v>40</v>
      </c>
      <c r="W2026" s="77">
        <f>STOCK[[#This Row],[Precio Final]]-STOCK[[#This Row],[Costo total]]</f>
        <v>15.75</v>
      </c>
      <c r="X2026" s="77">
        <f>STOCK[[#This Row],[Ganancia Unitaria]]*STOCK[[#This Row],[Salidas]]</f>
        <v>0</v>
      </c>
      <c r="Y2026" s="77"/>
      <c r="Z2026" s="90"/>
      <c r="AA2026" s="54"/>
      <c r="AB2026" s="54"/>
      <c r="AC2026" s="77"/>
      <c r="AD2026" s="98"/>
    </row>
    <row r="2027" s="53" customFormat="1" ht="50" customHeight="1" spans="1:30">
      <c r="A2027" s="99" t="s">
        <v>3954</v>
      </c>
      <c r="B2027" s="85"/>
      <c r="D2027" s="86" t="s">
        <v>1226</v>
      </c>
      <c r="E2027" s="87" t="s">
        <v>3947</v>
      </c>
      <c r="F2027" s="99" t="s">
        <v>3955</v>
      </c>
      <c r="G2027" s="77"/>
      <c r="H2027" s="77">
        <f>STOCK[[#This Row],[Precio Final]]</f>
        <v>40</v>
      </c>
      <c r="I2027" s="82">
        <f>STOCK[[#This Row],[Precio Venta Ideal (x1.5)]]</f>
        <v>36.375</v>
      </c>
      <c r="J2027" s="89">
        <v>2</v>
      </c>
      <c r="K2027" s="80">
        <f>SUMIFS(VENTAS[Cantidad],VENTAS[Código del producto Vendido],STOCK[[#This Row],[Code]])</f>
        <v>0</v>
      </c>
      <c r="L2027" s="80">
        <f>STOCK[[#This Row],[Entradas]]-STOCK[[#This Row],[Salidas]]</f>
        <v>2</v>
      </c>
      <c r="M2027" s="77">
        <f>STOCK[[#This Row],[Precio Final]]*10%</f>
        <v>4</v>
      </c>
      <c r="N2027" s="54">
        <v>0</v>
      </c>
      <c r="O2027" s="77">
        <v>0</v>
      </c>
      <c r="P2027" s="77">
        <v>18</v>
      </c>
      <c r="Q2027" s="77">
        <v>0</v>
      </c>
      <c r="R2027" s="80">
        <v>0</v>
      </c>
      <c r="S2027" s="77">
        <v>2.25</v>
      </c>
      <c r="T2027" s="77">
        <f>STOCK[[#This Row],[Costo Unitario (USD)]]+STOCK[[#This Row],[Costo Envío (USD)]]+STOCK[[#This Row],[Comisión 10%]]</f>
        <v>24.25</v>
      </c>
      <c r="U2027" s="53">
        <f>STOCK[[#This Row],[Costo total]]*1.5</f>
        <v>36.375</v>
      </c>
      <c r="V2027" s="53">
        <v>40</v>
      </c>
      <c r="W2027" s="77">
        <f>STOCK[[#This Row],[Precio Final]]-STOCK[[#This Row],[Costo total]]</f>
        <v>15.75</v>
      </c>
      <c r="X2027" s="77">
        <f>STOCK[[#This Row],[Ganancia Unitaria]]*STOCK[[#This Row],[Salidas]]</f>
        <v>0</v>
      </c>
      <c r="Y2027" s="77"/>
      <c r="Z2027" s="90"/>
      <c r="AA2027" s="54"/>
      <c r="AB2027" s="54"/>
      <c r="AC2027" s="77"/>
      <c r="AD2027" s="98"/>
    </row>
    <row r="2028" s="53" customFormat="1" ht="50" customHeight="1" spans="1:30">
      <c r="A2028" s="99" t="s">
        <v>3956</v>
      </c>
      <c r="B2028" s="85"/>
      <c r="D2028" s="86" t="s">
        <v>1226</v>
      </c>
      <c r="E2028" s="87" t="s">
        <v>3957</v>
      </c>
      <c r="F2028" s="99" t="s">
        <v>3945</v>
      </c>
      <c r="G2028" s="77"/>
      <c r="H2028" s="77">
        <f>STOCK[[#This Row],[Precio Final]]</f>
        <v>30</v>
      </c>
      <c r="I2028" s="82">
        <f>STOCK[[#This Row],[Precio Venta Ideal (x1.5)]]</f>
        <v>20.625</v>
      </c>
      <c r="J2028" s="89">
        <v>2</v>
      </c>
      <c r="K2028" s="80">
        <f>SUMIFS(VENTAS[Cantidad],VENTAS[Código del producto Vendido],STOCK[[#This Row],[Code]])</f>
        <v>0</v>
      </c>
      <c r="L2028" s="80">
        <f>STOCK[[#This Row],[Entradas]]-STOCK[[#This Row],[Salidas]]</f>
        <v>2</v>
      </c>
      <c r="M2028" s="77">
        <f>STOCK[[#This Row],[Precio Final]]*10%</f>
        <v>3</v>
      </c>
      <c r="N2028" s="54">
        <v>0</v>
      </c>
      <c r="O2028" s="77">
        <v>0</v>
      </c>
      <c r="P2028" s="54">
        <v>8.5</v>
      </c>
      <c r="Q2028" s="77">
        <v>0</v>
      </c>
      <c r="R2028" s="80">
        <v>0</v>
      </c>
      <c r="S2028" s="77">
        <v>2.25</v>
      </c>
      <c r="T2028" s="77">
        <f>STOCK[[#This Row],[Costo Unitario (USD)]]+STOCK[[#This Row],[Costo Envío (USD)]]+STOCK[[#This Row],[Comisión 10%]]</f>
        <v>13.75</v>
      </c>
      <c r="U2028" s="53">
        <f>STOCK[[#This Row],[Costo total]]*1.5</f>
        <v>20.625</v>
      </c>
      <c r="V2028" s="53">
        <v>30</v>
      </c>
      <c r="W2028" s="77">
        <f>STOCK[[#This Row],[Precio Final]]-STOCK[[#This Row],[Costo total]]</f>
        <v>16.25</v>
      </c>
      <c r="X2028" s="77">
        <f>STOCK[[#This Row],[Ganancia Unitaria]]*STOCK[[#This Row],[Salidas]]</f>
        <v>0</v>
      </c>
      <c r="Y2028" s="77"/>
      <c r="Z2028" s="90"/>
      <c r="AA2028" s="54"/>
      <c r="AB2028" s="54"/>
      <c r="AC2028" s="77"/>
      <c r="AD2028" s="98"/>
    </row>
    <row r="2029" s="53" customFormat="1" ht="50" customHeight="1" spans="1:30">
      <c r="A2029" s="99" t="s">
        <v>3958</v>
      </c>
      <c r="B2029" s="117"/>
      <c r="C2029" s="54"/>
      <c r="D2029" s="86" t="s">
        <v>1226</v>
      </c>
      <c r="E2029" s="87" t="s">
        <v>3957</v>
      </c>
      <c r="F2029" s="119" t="s">
        <v>3949</v>
      </c>
      <c r="G2029" s="54"/>
      <c r="H2029" s="77">
        <f>STOCK[[#This Row],[Precio Final]]</f>
        <v>30</v>
      </c>
      <c r="I2029" s="82">
        <f>STOCK[[#This Row],[Precio Venta Ideal (x1.5)]]</f>
        <v>20.625</v>
      </c>
      <c r="J2029" s="121">
        <v>2</v>
      </c>
      <c r="K2029" s="80">
        <f>SUMIFS(VENTAS[Cantidad],VENTAS[Código del producto Vendido],STOCK[[#This Row],[Code]])</f>
        <v>0</v>
      </c>
      <c r="L2029" s="80">
        <f>STOCK[[#This Row],[Entradas]]-STOCK[[#This Row],[Salidas]]</f>
        <v>2</v>
      </c>
      <c r="M2029" s="77">
        <f>STOCK[[#This Row],[Precio Final]]*10%</f>
        <v>3</v>
      </c>
      <c r="N2029" s="54">
        <v>0</v>
      </c>
      <c r="O2029" s="77">
        <v>0</v>
      </c>
      <c r="P2029" s="54">
        <v>8.5</v>
      </c>
      <c r="Q2029" s="77">
        <v>0</v>
      </c>
      <c r="R2029" s="80">
        <v>0</v>
      </c>
      <c r="S2029" s="77">
        <v>2.25</v>
      </c>
      <c r="T2029" s="77">
        <f>STOCK[[#This Row],[Costo Unitario (USD)]]+STOCK[[#This Row],[Costo Envío (USD)]]+STOCK[[#This Row],[Comisión 10%]]</f>
        <v>13.75</v>
      </c>
      <c r="U2029" s="53">
        <f>STOCK[[#This Row],[Costo total]]*1.5</f>
        <v>20.625</v>
      </c>
      <c r="V2029" s="54">
        <v>30</v>
      </c>
      <c r="W2029" s="77">
        <f>STOCK[[#This Row],[Precio Final]]-STOCK[[#This Row],[Costo total]]</f>
        <v>16.25</v>
      </c>
      <c r="X2029" s="77">
        <f>STOCK[[#This Row],[Ganancia Unitaria]]*STOCK[[#This Row],[Salidas]]</f>
        <v>0</v>
      </c>
      <c r="Y2029" s="54"/>
      <c r="Z2029" s="122"/>
      <c r="AA2029" s="54"/>
      <c r="AB2029" s="54"/>
      <c r="AC2029" s="54"/>
      <c r="AD2029" s="98"/>
    </row>
    <row r="2030" s="53" customFormat="1" ht="50" customHeight="1" spans="1:30">
      <c r="A2030" s="99" t="s">
        <v>3959</v>
      </c>
      <c r="B2030" s="117"/>
      <c r="C2030" s="54"/>
      <c r="D2030" s="86" t="s">
        <v>1226</v>
      </c>
      <c r="E2030" s="87" t="s">
        <v>3957</v>
      </c>
      <c r="F2030" s="119" t="s">
        <v>3960</v>
      </c>
      <c r="G2030" s="54"/>
      <c r="H2030" s="77">
        <f>STOCK[[#This Row],[Precio Final]]</f>
        <v>30</v>
      </c>
      <c r="I2030" s="82">
        <f>STOCK[[#This Row],[Precio Venta Ideal (x1.5)]]</f>
        <v>20.625</v>
      </c>
      <c r="J2030" s="121">
        <v>3</v>
      </c>
      <c r="K2030" s="80">
        <f>SUMIFS(VENTAS[Cantidad],VENTAS[Código del producto Vendido],STOCK[[#This Row],[Code]])</f>
        <v>0</v>
      </c>
      <c r="L2030" s="80">
        <f>STOCK[[#This Row],[Entradas]]-STOCK[[#This Row],[Salidas]]</f>
        <v>3</v>
      </c>
      <c r="M2030" s="77">
        <f>STOCK[[#This Row],[Precio Final]]*10%</f>
        <v>3</v>
      </c>
      <c r="N2030" s="54">
        <v>0</v>
      </c>
      <c r="O2030" s="77">
        <v>0</v>
      </c>
      <c r="P2030" s="54">
        <v>8.5</v>
      </c>
      <c r="Q2030" s="77">
        <v>0</v>
      </c>
      <c r="R2030" s="80">
        <v>0</v>
      </c>
      <c r="S2030" s="77">
        <v>2.25</v>
      </c>
      <c r="T2030" s="77">
        <f>STOCK[[#This Row],[Costo Unitario (USD)]]+STOCK[[#This Row],[Costo Envío (USD)]]+STOCK[[#This Row],[Comisión 10%]]</f>
        <v>13.75</v>
      </c>
      <c r="U2030" s="53">
        <f>STOCK[[#This Row],[Costo total]]*1.5</f>
        <v>20.625</v>
      </c>
      <c r="V2030" s="54">
        <v>30</v>
      </c>
      <c r="W2030" s="77">
        <f>STOCK[[#This Row],[Precio Final]]-STOCK[[#This Row],[Costo total]]</f>
        <v>16.25</v>
      </c>
      <c r="X2030" s="77">
        <f>STOCK[[#This Row],[Ganancia Unitaria]]*STOCK[[#This Row],[Salidas]]</f>
        <v>0</v>
      </c>
      <c r="Y2030" s="54"/>
      <c r="Z2030" s="122"/>
      <c r="AA2030" s="54"/>
      <c r="AB2030" s="54"/>
      <c r="AC2030" s="54"/>
      <c r="AD2030" s="98"/>
    </row>
    <row r="2031" s="53" customFormat="1" ht="50" customHeight="1" spans="1:30">
      <c r="A2031" s="99" t="s">
        <v>3961</v>
      </c>
      <c r="B2031" s="117"/>
      <c r="C2031" s="54"/>
      <c r="D2031" s="86" t="s">
        <v>1226</v>
      </c>
      <c r="E2031" s="87" t="s">
        <v>3957</v>
      </c>
      <c r="F2031" s="119" t="s">
        <v>3953</v>
      </c>
      <c r="G2031" s="54"/>
      <c r="H2031" s="77">
        <f>STOCK[[#This Row],[Precio Final]]</f>
        <v>30</v>
      </c>
      <c r="I2031" s="82">
        <f>STOCK[[#This Row],[Precio Venta Ideal (x1.5)]]</f>
        <v>20.625</v>
      </c>
      <c r="J2031" s="121">
        <v>2</v>
      </c>
      <c r="K2031" s="80">
        <f>SUMIFS(VENTAS[Cantidad],VENTAS[Código del producto Vendido],STOCK[[#This Row],[Code]])</f>
        <v>0</v>
      </c>
      <c r="L2031" s="80">
        <f>STOCK[[#This Row],[Entradas]]-STOCK[[#This Row],[Salidas]]</f>
        <v>2</v>
      </c>
      <c r="M2031" s="77">
        <f>STOCK[[#This Row],[Precio Final]]*10%</f>
        <v>3</v>
      </c>
      <c r="N2031" s="54">
        <v>0</v>
      </c>
      <c r="O2031" s="77">
        <v>0</v>
      </c>
      <c r="P2031" s="54">
        <v>8.5</v>
      </c>
      <c r="Q2031" s="77">
        <v>0</v>
      </c>
      <c r="R2031" s="80">
        <v>0</v>
      </c>
      <c r="S2031" s="77">
        <v>2.25</v>
      </c>
      <c r="T2031" s="77">
        <f>STOCK[[#This Row],[Costo Unitario (USD)]]+STOCK[[#This Row],[Costo Envío (USD)]]+STOCK[[#This Row],[Comisión 10%]]</f>
        <v>13.75</v>
      </c>
      <c r="U2031" s="53">
        <f>STOCK[[#This Row],[Costo total]]*1.5</f>
        <v>20.625</v>
      </c>
      <c r="V2031" s="54">
        <v>30</v>
      </c>
      <c r="W2031" s="77">
        <f>STOCK[[#This Row],[Precio Final]]-STOCK[[#This Row],[Costo total]]</f>
        <v>16.25</v>
      </c>
      <c r="X2031" s="77">
        <f>STOCK[[#This Row],[Ganancia Unitaria]]*STOCK[[#This Row],[Salidas]]</f>
        <v>0</v>
      </c>
      <c r="Y2031" s="54"/>
      <c r="Z2031" s="122"/>
      <c r="AA2031" s="54"/>
      <c r="AB2031" s="54"/>
      <c r="AC2031" s="54"/>
      <c r="AD2031" s="98"/>
    </row>
    <row r="2032" s="53" customFormat="1" ht="50" customHeight="1" spans="1:30">
      <c r="A2032" s="99" t="s">
        <v>3962</v>
      </c>
      <c r="B2032" s="117"/>
      <c r="C2032" s="54"/>
      <c r="D2032" s="86" t="s">
        <v>1226</v>
      </c>
      <c r="E2032" s="87" t="s">
        <v>3957</v>
      </c>
      <c r="F2032" s="119" t="s">
        <v>3955</v>
      </c>
      <c r="G2032" s="54"/>
      <c r="H2032" s="77">
        <f>STOCK[[#This Row],[Precio Final]]</f>
        <v>30</v>
      </c>
      <c r="I2032" s="82">
        <f>STOCK[[#This Row],[Precio Venta Ideal (x1.5)]]</f>
        <v>20.625</v>
      </c>
      <c r="J2032" s="121">
        <v>2</v>
      </c>
      <c r="K2032" s="80">
        <f>SUMIFS(VENTAS[Cantidad],VENTAS[Código del producto Vendido],STOCK[[#This Row],[Code]])</f>
        <v>0</v>
      </c>
      <c r="L2032" s="80">
        <f>STOCK[[#This Row],[Entradas]]-STOCK[[#This Row],[Salidas]]</f>
        <v>2</v>
      </c>
      <c r="M2032" s="77">
        <f>STOCK[[#This Row],[Precio Final]]*10%</f>
        <v>3</v>
      </c>
      <c r="N2032" s="54">
        <v>0</v>
      </c>
      <c r="O2032" s="77">
        <v>0</v>
      </c>
      <c r="P2032" s="54">
        <v>8.5</v>
      </c>
      <c r="Q2032" s="77">
        <v>0</v>
      </c>
      <c r="R2032" s="80">
        <v>0</v>
      </c>
      <c r="S2032" s="77">
        <v>2.25</v>
      </c>
      <c r="T2032" s="77">
        <f>STOCK[[#This Row],[Costo Unitario (USD)]]+STOCK[[#This Row],[Costo Envío (USD)]]+STOCK[[#This Row],[Comisión 10%]]</f>
        <v>13.75</v>
      </c>
      <c r="U2032" s="53">
        <f>STOCK[[#This Row],[Costo total]]*1.5</f>
        <v>20.625</v>
      </c>
      <c r="V2032" s="54">
        <v>30</v>
      </c>
      <c r="W2032" s="77">
        <f>STOCK[[#This Row],[Precio Final]]-STOCK[[#This Row],[Costo total]]</f>
        <v>16.25</v>
      </c>
      <c r="X2032" s="77">
        <f>STOCK[[#This Row],[Ganancia Unitaria]]*STOCK[[#This Row],[Salidas]]</f>
        <v>0</v>
      </c>
      <c r="Y2032" s="54"/>
      <c r="Z2032" s="122"/>
      <c r="AA2032" s="54"/>
      <c r="AB2032" s="54"/>
      <c r="AC2032" s="54"/>
      <c r="AD2032" s="98"/>
    </row>
    <row r="2033" s="53" customFormat="1" ht="50" customHeight="1" spans="1:30">
      <c r="A2033" s="99" t="s">
        <v>3963</v>
      </c>
      <c r="B2033" s="117"/>
      <c r="C2033" s="54"/>
      <c r="D2033" s="86" t="s">
        <v>1226</v>
      </c>
      <c r="E2033" s="87" t="s">
        <v>3964</v>
      </c>
      <c r="F2033" s="119" t="s">
        <v>3949</v>
      </c>
      <c r="G2033" s="54"/>
      <c r="H2033" s="77">
        <f>STOCK[[#This Row],[Precio Final]]</f>
        <v>30</v>
      </c>
      <c r="I2033" s="82">
        <f>STOCK[[#This Row],[Precio Venta Ideal (x1.5)]]</f>
        <v>20.625</v>
      </c>
      <c r="J2033" s="121">
        <v>2</v>
      </c>
      <c r="K2033" s="80">
        <f>SUMIFS(VENTAS[Cantidad],VENTAS[Código del producto Vendido],STOCK[[#This Row],[Code]])</f>
        <v>0</v>
      </c>
      <c r="L2033" s="80">
        <f>STOCK[[#This Row],[Entradas]]-STOCK[[#This Row],[Salidas]]</f>
        <v>2</v>
      </c>
      <c r="M2033" s="77">
        <f>STOCK[[#This Row],[Precio Final]]*10%</f>
        <v>3</v>
      </c>
      <c r="N2033" s="54">
        <v>0</v>
      </c>
      <c r="O2033" s="77">
        <v>0</v>
      </c>
      <c r="P2033" s="54">
        <v>8.5</v>
      </c>
      <c r="Q2033" s="77">
        <v>0</v>
      </c>
      <c r="R2033" s="80">
        <v>0</v>
      </c>
      <c r="S2033" s="77">
        <v>2.25</v>
      </c>
      <c r="T2033" s="77">
        <f>STOCK[[#This Row],[Costo Unitario (USD)]]+STOCK[[#This Row],[Costo Envío (USD)]]+STOCK[[#This Row],[Comisión 10%]]</f>
        <v>13.75</v>
      </c>
      <c r="U2033" s="53">
        <f>STOCK[[#This Row],[Costo total]]*1.5</f>
        <v>20.625</v>
      </c>
      <c r="V2033" s="54">
        <v>30</v>
      </c>
      <c r="W2033" s="77">
        <f>STOCK[[#This Row],[Precio Final]]-STOCK[[#This Row],[Costo total]]</f>
        <v>16.25</v>
      </c>
      <c r="X2033" s="77">
        <f>STOCK[[#This Row],[Ganancia Unitaria]]*STOCK[[#This Row],[Salidas]]</f>
        <v>0</v>
      </c>
      <c r="Y2033" s="54"/>
      <c r="Z2033" s="122"/>
      <c r="AA2033" s="54"/>
      <c r="AB2033" s="54"/>
      <c r="AC2033" s="54"/>
      <c r="AD2033" s="98"/>
    </row>
    <row r="2034" s="53" customFormat="1" ht="50" customHeight="1" spans="1:30">
      <c r="A2034" s="99" t="s">
        <v>3965</v>
      </c>
      <c r="B2034" s="117"/>
      <c r="C2034" s="54"/>
      <c r="D2034" s="86" t="s">
        <v>1226</v>
      </c>
      <c r="E2034" s="87" t="s">
        <v>3964</v>
      </c>
      <c r="F2034" s="119" t="s">
        <v>3960</v>
      </c>
      <c r="G2034" s="54"/>
      <c r="H2034" s="77">
        <f>STOCK[[#This Row],[Precio Final]]</f>
        <v>30</v>
      </c>
      <c r="I2034" s="82">
        <f>STOCK[[#This Row],[Precio Venta Ideal (x1.5)]]</f>
        <v>20.625</v>
      </c>
      <c r="J2034" s="121">
        <v>3</v>
      </c>
      <c r="K2034" s="80">
        <f>SUMIFS(VENTAS[Cantidad],VENTAS[Código del producto Vendido],STOCK[[#This Row],[Code]])</f>
        <v>0</v>
      </c>
      <c r="L2034" s="80">
        <f>STOCK[[#This Row],[Entradas]]-STOCK[[#This Row],[Salidas]]</f>
        <v>3</v>
      </c>
      <c r="M2034" s="77">
        <f>STOCK[[#This Row],[Precio Final]]*10%</f>
        <v>3</v>
      </c>
      <c r="N2034" s="54">
        <v>0</v>
      </c>
      <c r="O2034" s="77">
        <v>0</v>
      </c>
      <c r="P2034" s="54">
        <v>8.5</v>
      </c>
      <c r="Q2034" s="77">
        <v>0</v>
      </c>
      <c r="R2034" s="80">
        <v>0</v>
      </c>
      <c r="S2034" s="77">
        <v>2.25</v>
      </c>
      <c r="T2034" s="77">
        <f>STOCK[[#This Row],[Costo Unitario (USD)]]+STOCK[[#This Row],[Costo Envío (USD)]]+STOCK[[#This Row],[Comisión 10%]]</f>
        <v>13.75</v>
      </c>
      <c r="U2034" s="53">
        <f>STOCK[[#This Row],[Costo total]]*1.5</f>
        <v>20.625</v>
      </c>
      <c r="V2034" s="54">
        <v>30</v>
      </c>
      <c r="W2034" s="77">
        <f>STOCK[[#This Row],[Precio Final]]-STOCK[[#This Row],[Costo total]]</f>
        <v>16.25</v>
      </c>
      <c r="X2034" s="77">
        <f>STOCK[[#This Row],[Ganancia Unitaria]]*STOCK[[#This Row],[Salidas]]</f>
        <v>0</v>
      </c>
      <c r="Y2034" s="54"/>
      <c r="Z2034" s="122"/>
      <c r="AA2034" s="54"/>
      <c r="AB2034" s="54"/>
      <c r="AC2034" s="54"/>
      <c r="AD2034" s="98"/>
    </row>
    <row r="2035" s="53" customFormat="1" ht="50" customHeight="1" spans="1:30">
      <c r="A2035" s="99" t="s">
        <v>3966</v>
      </c>
      <c r="B2035" s="117"/>
      <c r="C2035" s="54"/>
      <c r="D2035" s="86" t="s">
        <v>1226</v>
      </c>
      <c r="E2035" s="120" t="s">
        <v>3967</v>
      </c>
      <c r="F2035" s="119" t="s">
        <v>3951</v>
      </c>
      <c r="G2035" s="54"/>
      <c r="H2035" s="77">
        <f>STOCK[[#This Row],[Precio Final]]</f>
        <v>40</v>
      </c>
      <c r="I2035" s="82">
        <f>STOCK[[#This Row],[Precio Venta Ideal (x1.5)]]</f>
        <v>26.625</v>
      </c>
      <c r="J2035" s="121">
        <v>3</v>
      </c>
      <c r="K2035" s="80">
        <f>SUMIFS(VENTAS[Cantidad],VENTAS[Código del producto Vendido],STOCK[[#This Row],[Code]])</f>
        <v>0</v>
      </c>
      <c r="L2035" s="80">
        <f>STOCK[[#This Row],[Entradas]]-STOCK[[#This Row],[Salidas]]</f>
        <v>3</v>
      </c>
      <c r="M2035" s="77">
        <f>STOCK[[#This Row],[Precio Final]]*10%</f>
        <v>4</v>
      </c>
      <c r="N2035" s="54">
        <v>0</v>
      </c>
      <c r="O2035" s="77">
        <v>0</v>
      </c>
      <c r="P2035" s="54">
        <v>11.5</v>
      </c>
      <c r="Q2035" s="77">
        <v>0</v>
      </c>
      <c r="R2035" s="80">
        <v>0</v>
      </c>
      <c r="S2035" s="77">
        <v>2.25</v>
      </c>
      <c r="T2035" s="77">
        <f>STOCK[[#This Row],[Costo Unitario (USD)]]+STOCK[[#This Row],[Costo Envío (USD)]]+STOCK[[#This Row],[Comisión 10%]]</f>
        <v>17.75</v>
      </c>
      <c r="U2035" s="53">
        <f>STOCK[[#This Row],[Costo total]]*1.5</f>
        <v>26.625</v>
      </c>
      <c r="V2035" s="54">
        <v>40</v>
      </c>
      <c r="W2035" s="77">
        <f>STOCK[[#This Row],[Precio Final]]-STOCK[[#This Row],[Costo total]]</f>
        <v>22.25</v>
      </c>
      <c r="X2035" s="77">
        <f>STOCK[[#This Row],[Ganancia Unitaria]]*STOCK[[#This Row],[Salidas]]</f>
        <v>0</v>
      </c>
      <c r="Y2035" s="54"/>
      <c r="Z2035" s="122"/>
      <c r="AA2035" s="54"/>
      <c r="AB2035" s="54"/>
      <c r="AC2035" s="54"/>
      <c r="AD2035" s="98"/>
    </row>
    <row r="2036" s="53" customFormat="1" ht="50" customHeight="1" spans="1:30">
      <c r="A2036" s="99" t="s">
        <v>3968</v>
      </c>
      <c r="B2036" s="117"/>
      <c r="C2036" s="54"/>
      <c r="D2036" s="86" t="s">
        <v>1226</v>
      </c>
      <c r="E2036" s="120" t="s">
        <v>3967</v>
      </c>
      <c r="F2036" s="119" t="s">
        <v>3949</v>
      </c>
      <c r="G2036" s="54"/>
      <c r="H2036" s="77">
        <f>STOCK[[#This Row],[Precio Final]]</f>
        <v>40</v>
      </c>
      <c r="I2036" s="82">
        <f>STOCK[[#This Row],[Precio Venta Ideal (x1.5)]]</f>
        <v>26.625</v>
      </c>
      <c r="J2036" s="121">
        <v>3</v>
      </c>
      <c r="K2036" s="80">
        <f>SUMIFS(VENTAS[Cantidad],VENTAS[Código del producto Vendido],STOCK[[#This Row],[Code]])</f>
        <v>0</v>
      </c>
      <c r="L2036" s="80">
        <f>STOCK[[#This Row],[Entradas]]-STOCK[[#This Row],[Salidas]]</f>
        <v>3</v>
      </c>
      <c r="M2036" s="77">
        <f>STOCK[[#This Row],[Precio Final]]*10%</f>
        <v>4</v>
      </c>
      <c r="N2036" s="54">
        <v>0</v>
      </c>
      <c r="O2036" s="77">
        <v>0</v>
      </c>
      <c r="P2036" s="54">
        <v>11.5</v>
      </c>
      <c r="Q2036" s="77">
        <v>0</v>
      </c>
      <c r="R2036" s="80">
        <v>0</v>
      </c>
      <c r="S2036" s="77">
        <v>2.25</v>
      </c>
      <c r="T2036" s="77">
        <f>STOCK[[#This Row],[Costo Unitario (USD)]]+STOCK[[#This Row],[Costo Envío (USD)]]+STOCK[[#This Row],[Comisión 10%]]</f>
        <v>17.75</v>
      </c>
      <c r="U2036" s="53">
        <f>STOCK[[#This Row],[Costo total]]*1.5</f>
        <v>26.625</v>
      </c>
      <c r="V2036" s="54">
        <v>40</v>
      </c>
      <c r="W2036" s="77">
        <f>STOCK[[#This Row],[Precio Final]]-STOCK[[#This Row],[Costo total]]</f>
        <v>22.25</v>
      </c>
      <c r="X2036" s="77">
        <f>STOCK[[#This Row],[Ganancia Unitaria]]*STOCK[[#This Row],[Salidas]]</f>
        <v>0</v>
      </c>
      <c r="Y2036" s="54"/>
      <c r="Z2036" s="122"/>
      <c r="AA2036" s="54"/>
      <c r="AB2036" s="54"/>
      <c r="AC2036" s="54"/>
      <c r="AD2036" s="98"/>
    </row>
    <row r="2037" s="53" customFormat="1" ht="50" customHeight="1" spans="1:30">
      <c r="A2037" s="99" t="s">
        <v>3969</v>
      </c>
      <c r="B2037" s="117"/>
      <c r="C2037" s="54"/>
      <c r="D2037" s="86" t="s">
        <v>1226</v>
      </c>
      <c r="E2037" s="120" t="s">
        <v>3970</v>
      </c>
      <c r="F2037" s="119" t="s">
        <v>3945</v>
      </c>
      <c r="G2037" s="54"/>
      <c r="H2037" s="77">
        <f>STOCK[[#This Row],[Precio Final]]</f>
        <v>35</v>
      </c>
      <c r="I2037" s="82">
        <f>STOCK[[#This Row],[Precio Venta Ideal (x1.5)]]</f>
        <v>22.875</v>
      </c>
      <c r="J2037" s="121">
        <v>3</v>
      </c>
      <c r="K2037" s="80">
        <f>SUMIFS(VENTAS[Cantidad],VENTAS[Código del producto Vendido],STOCK[[#This Row],[Code]])</f>
        <v>0</v>
      </c>
      <c r="L2037" s="80">
        <f>STOCK[[#This Row],[Entradas]]-STOCK[[#This Row],[Salidas]]</f>
        <v>3</v>
      </c>
      <c r="M2037" s="77">
        <f>STOCK[[#This Row],[Precio Final]]*10%</f>
        <v>3.5</v>
      </c>
      <c r="N2037" s="54">
        <v>0</v>
      </c>
      <c r="O2037" s="77">
        <v>0</v>
      </c>
      <c r="P2037" s="54">
        <v>9.5</v>
      </c>
      <c r="Q2037" s="77">
        <v>0</v>
      </c>
      <c r="R2037" s="80">
        <v>0</v>
      </c>
      <c r="S2037" s="77">
        <v>2.25</v>
      </c>
      <c r="T2037" s="77">
        <f>STOCK[[#This Row],[Costo Unitario (USD)]]+STOCK[[#This Row],[Costo Envío (USD)]]+STOCK[[#This Row],[Comisión 10%]]</f>
        <v>15.25</v>
      </c>
      <c r="U2037" s="53">
        <f>STOCK[[#This Row],[Costo total]]*1.5</f>
        <v>22.875</v>
      </c>
      <c r="V2037" s="54">
        <v>35</v>
      </c>
      <c r="W2037" s="77">
        <f>STOCK[[#This Row],[Precio Final]]-STOCK[[#This Row],[Costo total]]</f>
        <v>19.75</v>
      </c>
      <c r="X2037" s="77">
        <f>STOCK[[#This Row],[Ganancia Unitaria]]*STOCK[[#This Row],[Salidas]]</f>
        <v>0</v>
      </c>
      <c r="Y2037" s="54"/>
      <c r="Z2037" s="122"/>
      <c r="AA2037" s="54"/>
      <c r="AB2037" s="54"/>
      <c r="AC2037" s="54"/>
      <c r="AD2037" s="98"/>
    </row>
    <row r="2038" s="53" customFormat="1" ht="50" customHeight="1" spans="1:30">
      <c r="A2038" s="99" t="s">
        <v>3971</v>
      </c>
      <c r="B2038" s="117"/>
      <c r="C2038" s="54"/>
      <c r="D2038" s="86" t="s">
        <v>1226</v>
      </c>
      <c r="E2038" s="120" t="s">
        <v>3970</v>
      </c>
      <c r="F2038" s="119" t="s">
        <v>3949</v>
      </c>
      <c r="G2038" s="54"/>
      <c r="H2038" s="77">
        <f>STOCK[[#This Row],[Precio Final]]</f>
        <v>35</v>
      </c>
      <c r="I2038" s="82">
        <f>STOCK[[#This Row],[Precio Venta Ideal (x1.5)]]</f>
        <v>22.875</v>
      </c>
      <c r="J2038" s="121">
        <v>3</v>
      </c>
      <c r="K2038" s="80">
        <f>SUMIFS(VENTAS[Cantidad],VENTAS[Código del producto Vendido],STOCK[[#This Row],[Code]])</f>
        <v>0</v>
      </c>
      <c r="L2038" s="80">
        <f>STOCK[[#This Row],[Entradas]]-STOCK[[#This Row],[Salidas]]</f>
        <v>3</v>
      </c>
      <c r="M2038" s="77">
        <f>STOCK[[#This Row],[Precio Final]]*10%</f>
        <v>3.5</v>
      </c>
      <c r="N2038" s="54">
        <v>0</v>
      </c>
      <c r="O2038" s="77">
        <v>0</v>
      </c>
      <c r="P2038" s="54">
        <v>9.5</v>
      </c>
      <c r="Q2038" s="77">
        <v>0</v>
      </c>
      <c r="R2038" s="80">
        <v>0</v>
      </c>
      <c r="S2038" s="77">
        <v>2.25</v>
      </c>
      <c r="T2038" s="77">
        <f>STOCK[[#This Row],[Costo Unitario (USD)]]+STOCK[[#This Row],[Costo Envío (USD)]]+STOCK[[#This Row],[Comisión 10%]]</f>
        <v>15.25</v>
      </c>
      <c r="U2038" s="53">
        <f>STOCK[[#This Row],[Costo total]]*1.5</f>
        <v>22.875</v>
      </c>
      <c r="V2038" s="54">
        <v>35</v>
      </c>
      <c r="W2038" s="77">
        <f>STOCK[[#This Row],[Precio Final]]-STOCK[[#This Row],[Costo total]]</f>
        <v>19.75</v>
      </c>
      <c r="X2038" s="77">
        <f>STOCK[[#This Row],[Ganancia Unitaria]]*STOCK[[#This Row],[Salidas]]</f>
        <v>0</v>
      </c>
      <c r="Y2038" s="54"/>
      <c r="Z2038" s="122"/>
      <c r="AA2038" s="54"/>
      <c r="AB2038" s="54"/>
      <c r="AC2038" s="54"/>
      <c r="AD2038" s="98"/>
    </row>
    <row r="2039" s="53" customFormat="1" ht="50" customHeight="1" spans="1:30">
      <c r="A2039" s="99" t="s">
        <v>3972</v>
      </c>
      <c r="B2039" s="117"/>
      <c r="C2039" s="54"/>
      <c r="D2039" s="86" t="s">
        <v>1226</v>
      </c>
      <c r="E2039" s="120" t="s">
        <v>3970</v>
      </c>
      <c r="F2039" s="119" t="s">
        <v>3960</v>
      </c>
      <c r="G2039" s="54"/>
      <c r="H2039" s="77">
        <f>STOCK[[#This Row],[Precio Final]]</f>
        <v>35</v>
      </c>
      <c r="I2039" s="82">
        <f>STOCK[[#This Row],[Precio Venta Ideal (x1.5)]]</f>
        <v>22.875</v>
      </c>
      <c r="J2039" s="121">
        <v>3</v>
      </c>
      <c r="K2039" s="80">
        <f>SUMIFS(VENTAS[Cantidad],VENTAS[Código del producto Vendido],STOCK[[#This Row],[Code]])</f>
        <v>0</v>
      </c>
      <c r="L2039" s="80">
        <f>STOCK[[#This Row],[Entradas]]-STOCK[[#This Row],[Salidas]]</f>
        <v>3</v>
      </c>
      <c r="M2039" s="77">
        <f>STOCK[[#This Row],[Precio Final]]*10%</f>
        <v>3.5</v>
      </c>
      <c r="N2039" s="54">
        <v>0</v>
      </c>
      <c r="O2039" s="77">
        <v>0</v>
      </c>
      <c r="P2039" s="54">
        <v>9.5</v>
      </c>
      <c r="Q2039" s="77">
        <v>0</v>
      </c>
      <c r="R2039" s="80">
        <v>0</v>
      </c>
      <c r="S2039" s="77">
        <v>2.25</v>
      </c>
      <c r="T2039" s="77">
        <f>STOCK[[#This Row],[Costo Unitario (USD)]]+STOCK[[#This Row],[Costo Envío (USD)]]+STOCK[[#This Row],[Comisión 10%]]</f>
        <v>15.25</v>
      </c>
      <c r="U2039" s="53">
        <f>STOCK[[#This Row],[Costo total]]*1.5</f>
        <v>22.875</v>
      </c>
      <c r="V2039" s="54">
        <v>35</v>
      </c>
      <c r="W2039" s="77">
        <f>STOCK[[#This Row],[Precio Final]]-STOCK[[#This Row],[Costo total]]</f>
        <v>19.75</v>
      </c>
      <c r="X2039" s="77">
        <f>STOCK[[#This Row],[Ganancia Unitaria]]*STOCK[[#This Row],[Salidas]]</f>
        <v>0</v>
      </c>
      <c r="Y2039" s="54"/>
      <c r="Z2039" s="122"/>
      <c r="AA2039" s="54"/>
      <c r="AB2039" s="54"/>
      <c r="AC2039" s="54"/>
      <c r="AD2039" s="98"/>
    </row>
    <row r="2040" s="53" customFormat="1" ht="50" customHeight="1" spans="1:30">
      <c r="A2040" s="99" t="s">
        <v>3973</v>
      </c>
      <c r="B2040" s="117"/>
      <c r="C2040" s="54"/>
      <c r="D2040" s="86" t="s">
        <v>1226</v>
      </c>
      <c r="E2040" s="120" t="s">
        <v>3970</v>
      </c>
      <c r="F2040" s="119" t="s">
        <v>3953</v>
      </c>
      <c r="G2040" s="54"/>
      <c r="H2040" s="77">
        <f>STOCK[[#This Row],[Precio Final]]</f>
        <v>35</v>
      </c>
      <c r="I2040" s="82">
        <f>STOCK[[#This Row],[Precio Venta Ideal (x1.5)]]</f>
        <v>22.875</v>
      </c>
      <c r="J2040" s="121">
        <v>3</v>
      </c>
      <c r="K2040" s="80">
        <f>SUMIFS(VENTAS[Cantidad],VENTAS[Código del producto Vendido],STOCK[[#This Row],[Code]])</f>
        <v>0</v>
      </c>
      <c r="L2040" s="80">
        <f>STOCK[[#This Row],[Entradas]]-STOCK[[#This Row],[Salidas]]</f>
        <v>3</v>
      </c>
      <c r="M2040" s="77">
        <f>STOCK[[#This Row],[Precio Final]]*10%</f>
        <v>3.5</v>
      </c>
      <c r="N2040" s="54">
        <v>0</v>
      </c>
      <c r="O2040" s="77">
        <v>0</v>
      </c>
      <c r="P2040" s="54">
        <v>9.5</v>
      </c>
      <c r="Q2040" s="77">
        <v>0</v>
      </c>
      <c r="R2040" s="80">
        <v>0</v>
      </c>
      <c r="S2040" s="77">
        <v>2.25</v>
      </c>
      <c r="T2040" s="77">
        <f>STOCK[[#This Row],[Costo Unitario (USD)]]+STOCK[[#This Row],[Costo Envío (USD)]]+STOCK[[#This Row],[Comisión 10%]]</f>
        <v>15.25</v>
      </c>
      <c r="U2040" s="53">
        <f>STOCK[[#This Row],[Costo total]]*1.5</f>
        <v>22.875</v>
      </c>
      <c r="V2040" s="54">
        <v>35</v>
      </c>
      <c r="W2040" s="77">
        <f>STOCK[[#This Row],[Precio Final]]-STOCK[[#This Row],[Costo total]]</f>
        <v>19.75</v>
      </c>
      <c r="X2040" s="77">
        <f>STOCK[[#This Row],[Ganancia Unitaria]]*STOCK[[#This Row],[Salidas]]</f>
        <v>0</v>
      </c>
      <c r="Y2040" s="54"/>
      <c r="Z2040" s="122"/>
      <c r="AA2040" s="54"/>
      <c r="AB2040" s="54"/>
      <c r="AC2040" s="54"/>
      <c r="AD2040" s="98"/>
    </row>
    <row r="2041" s="53" customFormat="1" ht="50" customHeight="1" spans="1:30">
      <c r="A2041" s="99" t="s">
        <v>3974</v>
      </c>
      <c r="B2041" s="117"/>
      <c r="C2041" s="54"/>
      <c r="D2041" s="118" t="s">
        <v>174</v>
      </c>
      <c r="E2041" s="120" t="s">
        <v>3975</v>
      </c>
      <c r="F2041" s="119" t="s">
        <v>62</v>
      </c>
      <c r="G2041" s="54"/>
      <c r="H2041" s="77">
        <f>STOCK[[#This Row],[Precio Final]]</f>
        <v>12</v>
      </c>
      <c r="I2041" s="82">
        <f>STOCK[[#This Row],[Precio Venta Ideal (x1.5)]]</f>
        <v>12.555</v>
      </c>
      <c r="J2041" s="121">
        <v>3</v>
      </c>
      <c r="K2041" s="80">
        <f>SUMIFS(VENTAS[Cantidad],VENTAS[Código del producto Vendido],STOCK[[#This Row],[Code]])</f>
        <v>0</v>
      </c>
      <c r="L2041" s="80">
        <f>STOCK[[#This Row],[Entradas]]-STOCK[[#This Row],[Salidas]]</f>
        <v>3</v>
      </c>
      <c r="M2041" s="77">
        <f>STOCK[[#This Row],[Precio Final]]*10%</f>
        <v>1.2</v>
      </c>
      <c r="N2041" s="54">
        <v>0</v>
      </c>
      <c r="O2041" s="77">
        <v>0</v>
      </c>
      <c r="P2041" s="54">
        <v>4.92</v>
      </c>
      <c r="Q2041" s="77">
        <v>0</v>
      </c>
      <c r="R2041" s="80">
        <v>0</v>
      </c>
      <c r="S2041" s="77">
        <v>2.25</v>
      </c>
      <c r="T2041" s="77">
        <f>STOCK[[#This Row],[Costo Unitario (USD)]]+STOCK[[#This Row],[Costo Envío (USD)]]+STOCK[[#This Row],[Comisión 10%]]</f>
        <v>8.37</v>
      </c>
      <c r="U2041" s="53">
        <f>STOCK[[#This Row],[Costo total]]*1.5</f>
        <v>12.555</v>
      </c>
      <c r="V2041" s="54">
        <v>12</v>
      </c>
      <c r="W2041" s="77">
        <f>STOCK[[#This Row],[Precio Final]]-STOCK[[#This Row],[Costo total]]</f>
        <v>3.63</v>
      </c>
      <c r="X2041" s="77">
        <f>STOCK[[#This Row],[Ganancia Unitaria]]*STOCK[[#This Row],[Salidas]]</f>
        <v>0</v>
      </c>
      <c r="Y2041" s="54"/>
      <c r="Z2041" s="122"/>
      <c r="AA2041" s="54"/>
      <c r="AB2041" s="54"/>
      <c r="AC2041" s="54"/>
      <c r="AD2041" s="98"/>
    </row>
    <row r="2042" s="53" customFormat="1" ht="50" customHeight="1" spans="1:30">
      <c r="A2042" s="99" t="s">
        <v>3976</v>
      </c>
      <c r="B2042" s="117"/>
      <c r="C2042" s="54"/>
      <c r="D2042" s="118" t="s">
        <v>174</v>
      </c>
      <c r="E2042" s="120" t="s">
        <v>3975</v>
      </c>
      <c r="F2042" s="119" t="s">
        <v>49</v>
      </c>
      <c r="G2042" s="54"/>
      <c r="H2042" s="77">
        <f>STOCK[[#This Row],[Precio Final]]</f>
        <v>12</v>
      </c>
      <c r="I2042" s="82">
        <f>STOCK[[#This Row],[Precio Venta Ideal (x1.5)]]</f>
        <v>12.555</v>
      </c>
      <c r="J2042" s="121">
        <v>3</v>
      </c>
      <c r="K2042" s="80">
        <f>SUMIFS(VENTAS[Cantidad],VENTAS[Código del producto Vendido],STOCK[[#This Row],[Code]])</f>
        <v>0</v>
      </c>
      <c r="L2042" s="80">
        <f>STOCK[[#This Row],[Entradas]]-STOCK[[#This Row],[Salidas]]</f>
        <v>3</v>
      </c>
      <c r="M2042" s="77">
        <f>STOCK[[#This Row],[Precio Final]]*10%</f>
        <v>1.2</v>
      </c>
      <c r="N2042" s="54">
        <v>0</v>
      </c>
      <c r="O2042" s="77">
        <v>0</v>
      </c>
      <c r="P2042" s="54">
        <v>4.92</v>
      </c>
      <c r="Q2042" s="77">
        <v>0</v>
      </c>
      <c r="R2042" s="80">
        <v>0</v>
      </c>
      <c r="S2042" s="77">
        <v>2.25</v>
      </c>
      <c r="T2042" s="77">
        <f>STOCK[[#This Row],[Costo Unitario (USD)]]+STOCK[[#This Row],[Costo Envío (USD)]]+STOCK[[#This Row],[Comisión 10%]]</f>
        <v>8.37</v>
      </c>
      <c r="U2042" s="53">
        <f>STOCK[[#This Row],[Costo total]]*1.5</f>
        <v>12.555</v>
      </c>
      <c r="V2042" s="54">
        <v>12</v>
      </c>
      <c r="W2042" s="77">
        <f>STOCK[[#This Row],[Precio Final]]-STOCK[[#This Row],[Costo total]]</f>
        <v>3.63</v>
      </c>
      <c r="X2042" s="77">
        <f>STOCK[[#This Row],[Ganancia Unitaria]]*STOCK[[#This Row],[Salidas]]</f>
        <v>0</v>
      </c>
      <c r="Y2042" s="54"/>
      <c r="Z2042" s="122"/>
      <c r="AA2042" s="54"/>
      <c r="AB2042" s="54"/>
      <c r="AC2042" s="54"/>
      <c r="AD2042" s="98"/>
    </row>
    <row r="2043" s="53" customFormat="1" ht="50" customHeight="1" spans="1:30">
      <c r="A2043" s="99" t="s">
        <v>3977</v>
      </c>
      <c r="B2043" s="117"/>
      <c r="C2043" s="54"/>
      <c r="D2043" s="118" t="s">
        <v>174</v>
      </c>
      <c r="E2043" s="120" t="s">
        <v>3975</v>
      </c>
      <c r="F2043" s="119" t="s">
        <v>46</v>
      </c>
      <c r="G2043" s="54"/>
      <c r="H2043" s="77">
        <f>STOCK[[#This Row],[Precio Final]]</f>
        <v>12</v>
      </c>
      <c r="I2043" s="82">
        <f>STOCK[[#This Row],[Precio Venta Ideal (x1.5)]]</f>
        <v>12.555</v>
      </c>
      <c r="J2043" s="121">
        <v>3</v>
      </c>
      <c r="K2043" s="80">
        <f>SUMIFS(VENTAS[Cantidad],VENTAS[Código del producto Vendido],STOCK[[#This Row],[Code]])</f>
        <v>0</v>
      </c>
      <c r="L2043" s="80">
        <f>STOCK[[#This Row],[Entradas]]-STOCK[[#This Row],[Salidas]]</f>
        <v>3</v>
      </c>
      <c r="M2043" s="77">
        <f>STOCK[[#This Row],[Precio Final]]*10%</f>
        <v>1.2</v>
      </c>
      <c r="N2043" s="54">
        <v>0</v>
      </c>
      <c r="O2043" s="77">
        <v>0</v>
      </c>
      <c r="P2043" s="54">
        <v>4.92</v>
      </c>
      <c r="Q2043" s="77">
        <v>0</v>
      </c>
      <c r="R2043" s="80">
        <v>0</v>
      </c>
      <c r="S2043" s="77">
        <v>2.25</v>
      </c>
      <c r="T2043" s="77">
        <f>STOCK[[#This Row],[Costo Unitario (USD)]]+STOCK[[#This Row],[Costo Envío (USD)]]+STOCK[[#This Row],[Comisión 10%]]</f>
        <v>8.37</v>
      </c>
      <c r="U2043" s="53">
        <f>STOCK[[#This Row],[Costo total]]*1.5</f>
        <v>12.555</v>
      </c>
      <c r="V2043" s="54">
        <v>12</v>
      </c>
      <c r="W2043" s="77">
        <f>STOCK[[#This Row],[Precio Final]]-STOCK[[#This Row],[Costo total]]</f>
        <v>3.63</v>
      </c>
      <c r="X2043" s="77">
        <f>STOCK[[#This Row],[Ganancia Unitaria]]*STOCK[[#This Row],[Salidas]]</f>
        <v>0</v>
      </c>
      <c r="Y2043" s="54"/>
      <c r="Z2043" s="122"/>
      <c r="AA2043" s="54"/>
      <c r="AB2043" s="54"/>
      <c r="AC2043" s="54"/>
      <c r="AD2043" s="98"/>
    </row>
    <row r="2044" s="53" customFormat="1" ht="50" customHeight="1" spans="1:30">
      <c r="A2044" s="99" t="s">
        <v>3978</v>
      </c>
      <c r="B2044" s="117"/>
      <c r="C2044" s="54"/>
      <c r="D2044" s="118" t="s">
        <v>174</v>
      </c>
      <c r="E2044" s="120" t="s">
        <v>3975</v>
      </c>
      <c r="F2044" s="119" t="s">
        <v>42</v>
      </c>
      <c r="G2044" s="54"/>
      <c r="H2044" s="77">
        <f>STOCK[[#This Row],[Precio Final]]</f>
        <v>12</v>
      </c>
      <c r="I2044" s="82">
        <f>STOCK[[#This Row],[Precio Venta Ideal (x1.5)]]</f>
        <v>12.555</v>
      </c>
      <c r="J2044" s="121">
        <v>3</v>
      </c>
      <c r="K2044" s="80">
        <f>SUMIFS(VENTAS[Cantidad],VENTAS[Código del producto Vendido],STOCK[[#This Row],[Code]])</f>
        <v>0</v>
      </c>
      <c r="L2044" s="80">
        <f>STOCK[[#This Row],[Entradas]]-STOCK[[#This Row],[Salidas]]</f>
        <v>3</v>
      </c>
      <c r="M2044" s="77">
        <f>STOCK[[#This Row],[Precio Final]]*10%</f>
        <v>1.2</v>
      </c>
      <c r="N2044" s="54">
        <v>0</v>
      </c>
      <c r="O2044" s="77">
        <v>0</v>
      </c>
      <c r="P2044" s="54">
        <v>4.92</v>
      </c>
      <c r="Q2044" s="77">
        <v>0</v>
      </c>
      <c r="R2044" s="80">
        <v>0</v>
      </c>
      <c r="S2044" s="77">
        <v>2.25</v>
      </c>
      <c r="T2044" s="77">
        <f>STOCK[[#This Row],[Costo Unitario (USD)]]+STOCK[[#This Row],[Costo Envío (USD)]]+STOCK[[#This Row],[Comisión 10%]]</f>
        <v>8.37</v>
      </c>
      <c r="U2044" s="53">
        <f>STOCK[[#This Row],[Costo total]]*1.5</f>
        <v>12.555</v>
      </c>
      <c r="V2044" s="54">
        <v>12</v>
      </c>
      <c r="W2044" s="77">
        <f>STOCK[[#This Row],[Precio Final]]-STOCK[[#This Row],[Costo total]]</f>
        <v>3.63</v>
      </c>
      <c r="X2044" s="77">
        <f>STOCK[[#This Row],[Ganancia Unitaria]]*STOCK[[#This Row],[Salidas]]</f>
        <v>0</v>
      </c>
      <c r="Y2044" s="54"/>
      <c r="Z2044" s="122"/>
      <c r="AA2044" s="54"/>
      <c r="AB2044" s="54"/>
      <c r="AC2044" s="54"/>
      <c r="AD2044" s="98"/>
    </row>
    <row r="2045" s="53" customFormat="1" ht="50" customHeight="1" spans="1:30">
      <c r="A2045" s="99" t="s">
        <v>3979</v>
      </c>
      <c r="B2045" s="117"/>
      <c r="C2045" s="54"/>
      <c r="D2045" s="118" t="s">
        <v>44</v>
      </c>
      <c r="E2045" s="120" t="s">
        <v>3980</v>
      </c>
      <c r="F2045" s="119" t="s">
        <v>40</v>
      </c>
      <c r="G2045" s="54"/>
      <c r="H2045" s="77">
        <f>STOCK[[#This Row],[Precio Final]]</f>
        <v>30</v>
      </c>
      <c r="I2045" s="82">
        <f>STOCK[[#This Row],[Precio Venta Ideal (x1.5)]]</f>
        <v>30.36</v>
      </c>
      <c r="J2045" s="121">
        <v>2</v>
      </c>
      <c r="K2045" s="80">
        <f>SUMIFS(VENTAS[Cantidad],VENTAS[Código del producto Vendido],STOCK[[#This Row],[Code]])</f>
        <v>0</v>
      </c>
      <c r="L2045" s="80">
        <f>STOCK[[#This Row],[Entradas]]-STOCK[[#This Row],[Salidas]]</f>
        <v>2</v>
      </c>
      <c r="M2045" s="77">
        <f>STOCK[[#This Row],[Precio Final]]*10%</f>
        <v>3</v>
      </c>
      <c r="N2045" s="54">
        <v>0</v>
      </c>
      <c r="O2045" s="77">
        <v>0</v>
      </c>
      <c r="P2045" s="54">
        <v>14.99</v>
      </c>
      <c r="Q2045" s="77">
        <v>0</v>
      </c>
      <c r="R2045" s="80">
        <v>0</v>
      </c>
      <c r="S2045" s="77">
        <v>2.25</v>
      </c>
      <c r="T2045" s="77">
        <f>STOCK[[#This Row],[Costo Unitario (USD)]]+STOCK[[#This Row],[Costo Envío (USD)]]+STOCK[[#This Row],[Comisión 10%]]</f>
        <v>20.24</v>
      </c>
      <c r="U2045" s="53">
        <f>STOCK[[#This Row],[Costo total]]*1.5</f>
        <v>30.36</v>
      </c>
      <c r="V2045" s="54">
        <v>30</v>
      </c>
      <c r="W2045" s="77">
        <f>STOCK[[#This Row],[Precio Final]]-STOCK[[#This Row],[Costo total]]</f>
        <v>9.76</v>
      </c>
      <c r="X2045" s="77">
        <f>STOCK[[#This Row],[Ganancia Unitaria]]*STOCK[[#This Row],[Salidas]]</f>
        <v>0</v>
      </c>
      <c r="Y2045" s="54"/>
      <c r="Z2045" s="122"/>
      <c r="AA2045" s="54"/>
      <c r="AB2045" s="54"/>
      <c r="AC2045" s="54"/>
      <c r="AD2045" s="98"/>
    </row>
    <row r="2046" s="53" customFormat="1" ht="50" customHeight="1" spans="1:30">
      <c r="A2046" s="99" t="s">
        <v>3981</v>
      </c>
      <c r="B2046" s="117"/>
      <c r="C2046" s="54"/>
      <c r="D2046" s="118" t="s">
        <v>44</v>
      </c>
      <c r="E2046" s="120" t="s">
        <v>3982</v>
      </c>
      <c r="F2046" s="119" t="s">
        <v>49</v>
      </c>
      <c r="G2046" s="54"/>
      <c r="H2046" s="77">
        <f>STOCK[[#This Row],[Precio Final]]</f>
        <v>30</v>
      </c>
      <c r="I2046" s="82">
        <f>STOCK[[#This Row],[Precio Venta Ideal (x1.5)]]</f>
        <v>30.36</v>
      </c>
      <c r="J2046" s="121">
        <v>2</v>
      </c>
      <c r="K2046" s="80">
        <f>SUMIFS(VENTAS[Cantidad],VENTAS[Código del producto Vendido],STOCK[[#This Row],[Code]])</f>
        <v>0</v>
      </c>
      <c r="L2046" s="80">
        <f>STOCK[[#This Row],[Entradas]]-STOCK[[#This Row],[Salidas]]</f>
        <v>2</v>
      </c>
      <c r="M2046" s="77">
        <f>STOCK[[#This Row],[Precio Final]]*10%</f>
        <v>3</v>
      </c>
      <c r="N2046" s="54">
        <v>0</v>
      </c>
      <c r="O2046" s="77">
        <v>0</v>
      </c>
      <c r="P2046" s="54">
        <v>14.99</v>
      </c>
      <c r="Q2046" s="77">
        <v>0</v>
      </c>
      <c r="R2046" s="80">
        <v>0</v>
      </c>
      <c r="S2046" s="77">
        <v>2.25</v>
      </c>
      <c r="T2046" s="77">
        <f>STOCK[[#This Row],[Costo Unitario (USD)]]+STOCK[[#This Row],[Costo Envío (USD)]]+STOCK[[#This Row],[Comisión 10%]]</f>
        <v>20.24</v>
      </c>
      <c r="U2046" s="53">
        <f>STOCK[[#This Row],[Costo total]]*1.5</f>
        <v>30.36</v>
      </c>
      <c r="V2046" s="54">
        <v>30</v>
      </c>
      <c r="W2046" s="77">
        <f>STOCK[[#This Row],[Precio Final]]-STOCK[[#This Row],[Costo total]]</f>
        <v>9.76</v>
      </c>
      <c r="X2046" s="77">
        <f>STOCK[[#This Row],[Ganancia Unitaria]]*STOCK[[#This Row],[Salidas]]</f>
        <v>0</v>
      </c>
      <c r="Y2046" s="54"/>
      <c r="Z2046" s="122"/>
      <c r="AA2046" s="54"/>
      <c r="AB2046" s="54"/>
      <c r="AC2046" s="54"/>
      <c r="AD2046" s="98"/>
    </row>
    <row r="2047" s="53" customFormat="1" ht="50" customHeight="1" spans="1:30">
      <c r="A2047" s="99" t="s">
        <v>3983</v>
      </c>
      <c r="B2047" s="117"/>
      <c r="C2047" s="54"/>
      <c r="D2047" s="118" t="s">
        <v>44</v>
      </c>
      <c r="E2047" s="120" t="s">
        <v>3982</v>
      </c>
      <c r="F2047" s="119" t="s">
        <v>42</v>
      </c>
      <c r="G2047" s="54"/>
      <c r="H2047" s="77">
        <f>STOCK[[#This Row],[Precio Final]]</f>
        <v>30</v>
      </c>
      <c r="I2047" s="82">
        <f>STOCK[[#This Row],[Precio Venta Ideal (x1.5)]]</f>
        <v>24.735</v>
      </c>
      <c r="J2047" s="121">
        <v>1</v>
      </c>
      <c r="K2047" s="80">
        <f>SUMIFS(VENTAS[Cantidad],VENTAS[Código del producto Vendido],STOCK[[#This Row],[Code]])</f>
        <v>0</v>
      </c>
      <c r="L2047" s="80">
        <f>STOCK[[#This Row],[Entradas]]-STOCK[[#This Row],[Salidas]]</f>
        <v>1</v>
      </c>
      <c r="M2047" s="77">
        <f>STOCK[[#This Row],[Precio Final]]*10%</f>
        <v>3</v>
      </c>
      <c r="N2047" s="54">
        <v>0</v>
      </c>
      <c r="O2047" s="77">
        <v>0</v>
      </c>
      <c r="P2047" s="54">
        <v>11.24</v>
      </c>
      <c r="Q2047" s="77">
        <v>0</v>
      </c>
      <c r="R2047" s="80">
        <v>0</v>
      </c>
      <c r="S2047" s="77">
        <v>2.25</v>
      </c>
      <c r="T2047" s="77">
        <f>STOCK[[#This Row],[Costo Unitario (USD)]]+STOCK[[#This Row],[Costo Envío (USD)]]+STOCK[[#This Row],[Comisión 10%]]</f>
        <v>16.49</v>
      </c>
      <c r="U2047" s="53">
        <f>STOCK[[#This Row],[Costo total]]*1.5</f>
        <v>24.735</v>
      </c>
      <c r="V2047" s="54">
        <v>30</v>
      </c>
      <c r="W2047" s="77">
        <f>STOCK[[#This Row],[Precio Final]]-STOCK[[#This Row],[Costo total]]</f>
        <v>13.51</v>
      </c>
      <c r="X2047" s="77">
        <f>STOCK[[#This Row],[Ganancia Unitaria]]*STOCK[[#This Row],[Salidas]]</f>
        <v>0</v>
      </c>
      <c r="Y2047" s="54"/>
      <c r="Z2047" s="122"/>
      <c r="AA2047" s="54"/>
      <c r="AB2047" s="54"/>
      <c r="AC2047" s="54"/>
      <c r="AD2047" s="98"/>
    </row>
    <row r="2048" s="53" customFormat="1" ht="50" customHeight="1" spans="1:30">
      <c r="A2048" s="99" t="s">
        <v>3984</v>
      </c>
      <c r="B2048" s="117"/>
      <c r="C2048" s="54"/>
      <c r="D2048" s="118" t="s">
        <v>44</v>
      </c>
      <c r="E2048" s="120" t="s">
        <v>3982</v>
      </c>
      <c r="F2048" s="119" t="s">
        <v>46</v>
      </c>
      <c r="G2048" s="54"/>
      <c r="H2048" s="77">
        <f>STOCK[[#This Row],[Precio Final]]</f>
        <v>30</v>
      </c>
      <c r="I2048" s="82">
        <f>STOCK[[#This Row],[Precio Venta Ideal (x1.5)]]</f>
        <v>30.36</v>
      </c>
      <c r="J2048" s="121">
        <v>2</v>
      </c>
      <c r="K2048" s="80">
        <f>SUMIFS(VENTAS[Cantidad],VENTAS[Código del producto Vendido],STOCK[[#This Row],[Code]])</f>
        <v>0</v>
      </c>
      <c r="L2048" s="80">
        <f>STOCK[[#This Row],[Entradas]]-STOCK[[#This Row],[Salidas]]</f>
        <v>2</v>
      </c>
      <c r="M2048" s="77">
        <f>STOCK[[#This Row],[Precio Final]]*10%</f>
        <v>3</v>
      </c>
      <c r="N2048" s="54">
        <v>0</v>
      </c>
      <c r="O2048" s="77">
        <v>0</v>
      </c>
      <c r="P2048" s="54">
        <v>14.99</v>
      </c>
      <c r="Q2048" s="77">
        <v>0</v>
      </c>
      <c r="R2048" s="80">
        <v>0</v>
      </c>
      <c r="S2048" s="77">
        <v>2.25</v>
      </c>
      <c r="T2048" s="77">
        <f>STOCK[[#This Row],[Costo Unitario (USD)]]+STOCK[[#This Row],[Costo Envío (USD)]]+STOCK[[#This Row],[Comisión 10%]]</f>
        <v>20.24</v>
      </c>
      <c r="U2048" s="53">
        <f>STOCK[[#This Row],[Costo total]]*1.5</f>
        <v>30.36</v>
      </c>
      <c r="V2048" s="54">
        <v>30</v>
      </c>
      <c r="W2048" s="77">
        <f>STOCK[[#This Row],[Precio Final]]-STOCK[[#This Row],[Costo total]]</f>
        <v>9.76</v>
      </c>
      <c r="X2048" s="77">
        <f>STOCK[[#This Row],[Ganancia Unitaria]]*STOCK[[#This Row],[Salidas]]</f>
        <v>0</v>
      </c>
      <c r="Y2048" s="54"/>
      <c r="Z2048" s="122"/>
      <c r="AA2048" s="54"/>
      <c r="AB2048" s="54"/>
      <c r="AC2048" s="54"/>
      <c r="AD2048" s="98"/>
    </row>
    <row r="2049" s="53" customFormat="1" ht="50" customHeight="1" spans="1:30">
      <c r="A2049" s="99" t="s">
        <v>3985</v>
      </c>
      <c r="B2049" s="117"/>
      <c r="C2049" s="54"/>
      <c r="D2049" s="118" t="s">
        <v>44</v>
      </c>
      <c r="E2049" s="120" t="s">
        <v>3986</v>
      </c>
      <c r="F2049" s="119" t="s">
        <v>49</v>
      </c>
      <c r="G2049" s="54"/>
      <c r="H2049" s="77">
        <f>STOCK[[#This Row],[Precio Final]]</f>
        <v>30</v>
      </c>
      <c r="I2049" s="82">
        <f>STOCK[[#This Row],[Precio Venta Ideal (x1.5)]]</f>
        <v>30.36</v>
      </c>
      <c r="J2049" s="121">
        <v>2</v>
      </c>
      <c r="K2049" s="80">
        <f>SUMIFS(VENTAS[Cantidad],VENTAS[Código del producto Vendido],STOCK[[#This Row],[Code]])</f>
        <v>0</v>
      </c>
      <c r="L2049" s="80">
        <f>STOCK[[#This Row],[Entradas]]-STOCK[[#This Row],[Salidas]]</f>
        <v>2</v>
      </c>
      <c r="M2049" s="77">
        <f>STOCK[[#This Row],[Precio Final]]*10%</f>
        <v>3</v>
      </c>
      <c r="N2049" s="54">
        <v>0</v>
      </c>
      <c r="O2049" s="77">
        <v>0</v>
      </c>
      <c r="P2049" s="54">
        <v>14.99</v>
      </c>
      <c r="Q2049" s="77">
        <v>0</v>
      </c>
      <c r="R2049" s="80">
        <v>0</v>
      </c>
      <c r="S2049" s="77">
        <v>2.25</v>
      </c>
      <c r="T2049" s="77">
        <f>STOCK[[#This Row],[Costo Unitario (USD)]]+STOCK[[#This Row],[Costo Envío (USD)]]+STOCK[[#This Row],[Comisión 10%]]</f>
        <v>20.24</v>
      </c>
      <c r="U2049" s="53">
        <f>STOCK[[#This Row],[Costo total]]*1.5</f>
        <v>30.36</v>
      </c>
      <c r="V2049" s="54">
        <v>30</v>
      </c>
      <c r="W2049" s="77">
        <f>STOCK[[#This Row],[Precio Final]]-STOCK[[#This Row],[Costo total]]</f>
        <v>9.76</v>
      </c>
      <c r="X2049" s="77">
        <f>STOCK[[#This Row],[Ganancia Unitaria]]*STOCK[[#This Row],[Salidas]]</f>
        <v>0</v>
      </c>
      <c r="Y2049" s="54"/>
      <c r="Z2049" s="122"/>
      <c r="AA2049" s="54"/>
      <c r="AB2049" s="54"/>
      <c r="AC2049" s="54"/>
      <c r="AD2049" s="98"/>
    </row>
    <row r="2050" s="53" customFormat="1" ht="50" customHeight="1" spans="1:30">
      <c r="A2050" s="99" t="s">
        <v>3987</v>
      </c>
      <c r="B2050" s="117"/>
      <c r="C2050" s="54"/>
      <c r="D2050" s="118" t="s">
        <v>44</v>
      </c>
      <c r="E2050" s="120" t="s">
        <v>3988</v>
      </c>
      <c r="F2050" s="119" t="s">
        <v>49</v>
      </c>
      <c r="G2050" s="54"/>
      <c r="H2050" s="77">
        <f>STOCK[[#This Row],[Precio Final]]</f>
        <v>30</v>
      </c>
      <c r="I2050" s="82">
        <f>STOCK[[#This Row],[Precio Venta Ideal (x1.5)]]</f>
        <v>30.36</v>
      </c>
      <c r="J2050" s="121">
        <v>3</v>
      </c>
      <c r="K2050" s="80">
        <f>SUMIFS(VENTAS[Cantidad],VENTAS[Código del producto Vendido],STOCK[[#This Row],[Code]])</f>
        <v>0</v>
      </c>
      <c r="L2050" s="80">
        <f>STOCK[[#This Row],[Entradas]]-STOCK[[#This Row],[Salidas]]</f>
        <v>3</v>
      </c>
      <c r="M2050" s="77">
        <f>STOCK[[#This Row],[Precio Final]]*10%</f>
        <v>3</v>
      </c>
      <c r="N2050" s="54">
        <v>0</v>
      </c>
      <c r="O2050" s="77">
        <v>0</v>
      </c>
      <c r="P2050" s="54">
        <v>14.99</v>
      </c>
      <c r="Q2050" s="77">
        <v>0</v>
      </c>
      <c r="R2050" s="80">
        <v>0</v>
      </c>
      <c r="S2050" s="77">
        <v>2.25</v>
      </c>
      <c r="T2050" s="77">
        <f>STOCK[[#This Row],[Costo Unitario (USD)]]+STOCK[[#This Row],[Costo Envío (USD)]]+STOCK[[#This Row],[Comisión 10%]]</f>
        <v>20.24</v>
      </c>
      <c r="U2050" s="53">
        <f>STOCK[[#This Row],[Costo total]]*1.5</f>
        <v>30.36</v>
      </c>
      <c r="V2050" s="54">
        <v>30</v>
      </c>
      <c r="W2050" s="77">
        <f>STOCK[[#This Row],[Precio Final]]-STOCK[[#This Row],[Costo total]]</f>
        <v>9.76</v>
      </c>
      <c r="X2050" s="77">
        <f>STOCK[[#This Row],[Ganancia Unitaria]]*STOCK[[#This Row],[Salidas]]</f>
        <v>0</v>
      </c>
      <c r="Y2050" s="54"/>
      <c r="Z2050" s="122"/>
      <c r="AA2050" s="54"/>
      <c r="AB2050" s="54"/>
      <c r="AC2050" s="54"/>
      <c r="AD2050" s="98"/>
    </row>
    <row r="2051" s="53" customFormat="1" ht="50" customHeight="1" spans="1:30">
      <c r="A2051" s="99" t="s">
        <v>3989</v>
      </c>
      <c r="B2051" s="117"/>
      <c r="C2051" s="54"/>
      <c r="D2051" s="118" t="s">
        <v>44</v>
      </c>
      <c r="E2051" s="120" t="s">
        <v>3988</v>
      </c>
      <c r="F2051" s="119" t="s">
        <v>46</v>
      </c>
      <c r="G2051" s="54"/>
      <c r="H2051" s="77">
        <f>STOCK[[#This Row],[Precio Final]]</f>
        <v>30</v>
      </c>
      <c r="I2051" s="82">
        <f>STOCK[[#This Row],[Precio Venta Ideal (x1.5)]]</f>
        <v>30.36</v>
      </c>
      <c r="J2051" s="121">
        <v>2</v>
      </c>
      <c r="K2051" s="80">
        <f>SUMIFS(VENTAS[Cantidad],VENTAS[Código del producto Vendido],STOCK[[#This Row],[Code]])</f>
        <v>0</v>
      </c>
      <c r="L2051" s="80">
        <f>STOCK[[#This Row],[Entradas]]-STOCK[[#This Row],[Salidas]]</f>
        <v>2</v>
      </c>
      <c r="M2051" s="77">
        <f>STOCK[[#This Row],[Precio Final]]*10%</f>
        <v>3</v>
      </c>
      <c r="N2051" s="54">
        <v>0</v>
      </c>
      <c r="O2051" s="77">
        <v>0</v>
      </c>
      <c r="P2051" s="54">
        <v>14.99</v>
      </c>
      <c r="Q2051" s="77">
        <v>0</v>
      </c>
      <c r="R2051" s="80">
        <v>0</v>
      </c>
      <c r="S2051" s="77">
        <v>2.25</v>
      </c>
      <c r="T2051" s="77">
        <f>STOCK[[#This Row],[Costo Unitario (USD)]]+STOCK[[#This Row],[Costo Envío (USD)]]+STOCK[[#This Row],[Comisión 10%]]</f>
        <v>20.24</v>
      </c>
      <c r="U2051" s="53">
        <f>STOCK[[#This Row],[Costo total]]*1.5</f>
        <v>30.36</v>
      </c>
      <c r="V2051" s="54">
        <v>30</v>
      </c>
      <c r="W2051" s="77">
        <f>STOCK[[#This Row],[Precio Final]]-STOCK[[#This Row],[Costo total]]</f>
        <v>9.76</v>
      </c>
      <c r="X2051" s="77">
        <f>STOCK[[#This Row],[Ganancia Unitaria]]*STOCK[[#This Row],[Salidas]]</f>
        <v>0</v>
      </c>
      <c r="Y2051" s="54"/>
      <c r="Z2051" s="122"/>
      <c r="AA2051" s="54"/>
      <c r="AB2051" s="54"/>
      <c r="AC2051" s="54"/>
      <c r="AD2051" s="98"/>
    </row>
    <row r="2052" s="53" customFormat="1" ht="50" customHeight="1" spans="1:30">
      <c r="A2052" s="99" t="s">
        <v>3990</v>
      </c>
      <c r="B2052" s="117"/>
      <c r="C2052" s="54"/>
      <c r="D2052" s="118" t="s">
        <v>44</v>
      </c>
      <c r="E2052" s="120" t="s">
        <v>3988</v>
      </c>
      <c r="F2052" s="119" t="s">
        <v>42</v>
      </c>
      <c r="G2052" s="54"/>
      <c r="H2052" s="77">
        <f>STOCK[[#This Row],[Precio Final]]</f>
        <v>30</v>
      </c>
      <c r="I2052" s="82">
        <f>STOCK[[#This Row],[Precio Venta Ideal (x1.5)]]</f>
        <v>24.735</v>
      </c>
      <c r="J2052" s="121">
        <v>1</v>
      </c>
      <c r="K2052" s="80">
        <f>SUMIFS(VENTAS[Cantidad],VENTAS[Código del producto Vendido],STOCK[[#This Row],[Code]])</f>
        <v>0</v>
      </c>
      <c r="L2052" s="80">
        <f>STOCK[[#This Row],[Entradas]]-STOCK[[#This Row],[Salidas]]</f>
        <v>1</v>
      </c>
      <c r="M2052" s="77">
        <f>STOCK[[#This Row],[Precio Final]]*10%</f>
        <v>3</v>
      </c>
      <c r="N2052" s="54">
        <v>0</v>
      </c>
      <c r="O2052" s="77">
        <v>0</v>
      </c>
      <c r="P2052" s="54">
        <v>11.24</v>
      </c>
      <c r="Q2052" s="77">
        <v>0</v>
      </c>
      <c r="R2052" s="80">
        <v>0</v>
      </c>
      <c r="S2052" s="77">
        <v>2.25</v>
      </c>
      <c r="T2052" s="77">
        <f>STOCK[[#This Row],[Costo Unitario (USD)]]+STOCK[[#This Row],[Costo Envío (USD)]]+STOCK[[#This Row],[Comisión 10%]]</f>
        <v>16.49</v>
      </c>
      <c r="U2052" s="53">
        <f>STOCK[[#This Row],[Costo total]]*1.5</f>
        <v>24.735</v>
      </c>
      <c r="V2052" s="54">
        <v>30</v>
      </c>
      <c r="W2052" s="77">
        <f>STOCK[[#This Row],[Precio Final]]-STOCK[[#This Row],[Costo total]]</f>
        <v>13.51</v>
      </c>
      <c r="X2052" s="77">
        <f>STOCK[[#This Row],[Ganancia Unitaria]]*STOCK[[#This Row],[Salidas]]</f>
        <v>0</v>
      </c>
      <c r="Y2052" s="54"/>
      <c r="Z2052" s="122"/>
      <c r="AA2052" s="54"/>
      <c r="AB2052" s="54"/>
      <c r="AC2052" s="54"/>
      <c r="AD2052" s="98"/>
    </row>
    <row r="2053" s="53" customFormat="1" ht="50" customHeight="1" spans="1:30">
      <c r="A2053" s="99" t="s">
        <v>3991</v>
      </c>
      <c r="B2053" s="117"/>
      <c r="C2053" s="54"/>
      <c r="D2053" s="118" t="s">
        <v>44</v>
      </c>
      <c r="E2053" s="120" t="s">
        <v>3992</v>
      </c>
      <c r="F2053" s="119" t="s">
        <v>281</v>
      </c>
      <c r="G2053" s="54"/>
      <c r="H2053" s="77">
        <f>STOCK[[#This Row],[Precio Final]]</f>
        <v>20</v>
      </c>
      <c r="I2053" s="82">
        <f>STOCK[[#This Row],[Precio Venta Ideal (x1.5)]]</f>
        <v>12.69</v>
      </c>
      <c r="J2053" s="121">
        <v>1</v>
      </c>
      <c r="K2053" s="80">
        <f>SUMIFS(VENTAS[Cantidad],VENTAS[Código del producto Vendido],STOCK[[#This Row],[Code]])</f>
        <v>0</v>
      </c>
      <c r="L2053" s="80">
        <f>STOCK[[#This Row],[Entradas]]-STOCK[[#This Row],[Salidas]]</f>
        <v>1</v>
      </c>
      <c r="M2053" s="77">
        <f>STOCK[[#This Row],[Precio Final]]*10%</f>
        <v>2</v>
      </c>
      <c r="N2053" s="54">
        <v>0</v>
      </c>
      <c r="O2053" s="77">
        <v>0</v>
      </c>
      <c r="P2053" s="54">
        <v>4.21</v>
      </c>
      <c r="Q2053" s="77">
        <v>0</v>
      </c>
      <c r="R2053" s="80">
        <v>0</v>
      </c>
      <c r="S2053" s="77">
        <v>2.25</v>
      </c>
      <c r="T2053" s="77">
        <f>STOCK[[#This Row],[Costo Unitario (USD)]]+STOCK[[#This Row],[Costo Envío (USD)]]+STOCK[[#This Row],[Comisión 10%]]</f>
        <v>8.46</v>
      </c>
      <c r="U2053" s="53">
        <f>STOCK[[#This Row],[Costo total]]*1.5</f>
        <v>12.69</v>
      </c>
      <c r="V2053" s="54">
        <v>20</v>
      </c>
      <c r="W2053" s="77">
        <f>STOCK[[#This Row],[Precio Final]]-STOCK[[#This Row],[Costo total]]</f>
        <v>11.54</v>
      </c>
      <c r="X2053" s="77">
        <f>STOCK[[#This Row],[Ganancia Unitaria]]*STOCK[[#This Row],[Salidas]]</f>
        <v>0</v>
      </c>
      <c r="Y2053" s="54"/>
      <c r="Z2053" s="122"/>
      <c r="AA2053" s="54"/>
      <c r="AB2053" s="54"/>
      <c r="AC2053" s="54"/>
      <c r="AD2053" s="98"/>
    </row>
    <row r="2054" s="53" customFormat="1" ht="50" customHeight="1" spans="1:30">
      <c r="A2054" s="99" t="s">
        <v>3993</v>
      </c>
      <c r="B2054" s="117"/>
      <c r="C2054" s="54"/>
      <c r="D2054" s="118" t="s">
        <v>44</v>
      </c>
      <c r="E2054" s="120" t="s">
        <v>3994</v>
      </c>
      <c r="F2054" s="119" t="s">
        <v>40</v>
      </c>
      <c r="G2054" s="54"/>
      <c r="H2054" s="77">
        <f>STOCK[[#This Row],[Precio Final]]</f>
        <v>35</v>
      </c>
      <c r="I2054" s="82">
        <f>STOCK[[#This Row],[Precio Venta Ideal (x1.5)]]</f>
        <v>32.61</v>
      </c>
      <c r="J2054" s="121">
        <v>2</v>
      </c>
      <c r="K2054" s="80">
        <f>SUMIFS(VENTAS[Cantidad],VENTAS[Código del producto Vendido],STOCK[[#This Row],[Code]])</f>
        <v>0</v>
      </c>
      <c r="L2054" s="80">
        <f>STOCK[[#This Row],[Entradas]]-STOCK[[#This Row],[Salidas]]</f>
        <v>2</v>
      </c>
      <c r="M2054" s="77">
        <f>STOCK[[#This Row],[Precio Final]]*10%</f>
        <v>3.5</v>
      </c>
      <c r="N2054" s="54">
        <v>0</v>
      </c>
      <c r="O2054" s="77">
        <v>0</v>
      </c>
      <c r="P2054" s="54">
        <v>15.99</v>
      </c>
      <c r="Q2054" s="77">
        <v>0</v>
      </c>
      <c r="R2054" s="80">
        <v>0</v>
      </c>
      <c r="S2054" s="77">
        <v>2.25</v>
      </c>
      <c r="T2054" s="77">
        <f>STOCK[[#This Row],[Costo Unitario (USD)]]+STOCK[[#This Row],[Costo Envío (USD)]]+STOCK[[#This Row],[Comisión 10%]]</f>
        <v>21.74</v>
      </c>
      <c r="U2054" s="53">
        <f>STOCK[[#This Row],[Costo total]]*1.5</f>
        <v>32.61</v>
      </c>
      <c r="V2054" s="54">
        <v>35</v>
      </c>
      <c r="W2054" s="77">
        <f>STOCK[[#This Row],[Precio Final]]-STOCK[[#This Row],[Costo total]]</f>
        <v>13.26</v>
      </c>
      <c r="X2054" s="77">
        <f>STOCK[[#This Row],[Ganancia Unitaria]]*STOCK[[#This Row],[Salidas]]</f>
        <v>0</v>
      </c>
      <c r="Y2054" s="54"/>
      <c r="Z2054" s="122"/>
      <c r="AA2054" s="54"/>
      <c r="AB2054" s="54"/>
      <c r="AC2054" s="54"/>
      <c r="AD2054" s="98"/>
    </row>
    <row r="2055" s="53" customFormat="1" ht="50" customHeight="1" spans="1:30">
      <c r="A2055" s="99" t="s">
        <v>3995</v>
      </c>
      <c r="B2055" s="117"/>
      <c r="C2055" s="54"/>
      <c r="D2055" s="118" t="s">
        <v>44</v>
      </c>
      <c r="E2055" s="120" t="s">
        <v>3994</v>
      </c>
      <c r="F2055" s="119" t="s">
        <v>62</v>
      </c>
      <c r="G2055" s="54"/>
      <c r="H2055" s="77">
        <f>STOCK[[#This Row],[Precio Final]]</f>
        <v>35</v>
      </c>
      <c r="I2055" s="82">
        <f>STOCK[[#This Row],[Precio Venta Ideal (x1.5)]]</f>
        <v>32.61</v>
      </c>
      <c r="J2055" s="121">
        <v>2</v>
      </c>
      <c r="K2055" s="80">
        <f>SUMIFS(VENTAS[Cantidad],VENTAS[Código del producto Vendido],STOCK[[#This Row],[Code]])</f>
        <v>0</v>
      </c>
      <c r="L2055" s="80">
        <f>STOCK[[#This Row],[Entradas]]-STOCK[[#This Row],[Salidas]]</f>
        <v>2</v>
      </c>
      <c r="M2055" s="77">
        <f>STOCK[[#This Row],[Precio Final]]*10%</f>
        <v>3.5</v>
      </c>
      <c r="N2055" s="54">
        <v>0</v>
      </c>
      <c r="O2055" s="77">
        <v>0</v>
      </c>
      <c r="P2055" s="54">
        <v>15.99</v>
      </c>
      <c r="Q2055" s="77">
        <v>0</v>
      </c>
      <c r="R2055" s="80">
        <v>0</v>
      </c>
      <c r="S2055" s="77">
        <v>2.25</v>
      </c>
      <c r="T2055" s="77">
        <f>STOCK[[#This Row],[Costo Unitario (USD)]]+STOCK[[#This Row],[Costo Envío (USD)]]+STOCK[[#This Row],[Comisión 10%]]</f>
        <v>21.74</v>
      </c>
      <c r="U2055" s="53">
        <f>STOCK[[#This Row],[Costo total]]*1.5</f>
        <v>32.61</v>
      </c>
      <c r="V2055" s="54">
        <v>35</v>
      </c>
      <c r="W2055" s="77">
        <f>STOCK[[#This Row],[Precio Final]]-STOCK[[#This Row],[Costo total]]</f>
        <v>13.26</v>
      </c>
      <c r="X2055" s="77">
        <f>STOCK[[#This Row],[Ganancia Unitaria]]*STOCK[[#This Row],[Salidas]]</f>
        <v>0</v>
      </c>
      <c r="Y2055" s="54"/>
      <c r="Z2055" s="122"/>
      <c r="AA2055" s="54"/>
      <c r="AB2055" s="54"/>
      <c r="AC2055" s="54"/>
      <c r="AD2055" s="98"/>
    </row>
    <row r="2056" s="53" customFormat="1" ht="50" customHeight="1" spans="1:30">
      <c r="A2056" s="99" t="s">
        <v>3996</v>
      </c>
      <c r="B2056" s="117"/>
      <c r="C2056" s="54"/>
      <c r="D2056" s="118" t="s">
        <v>44</v>
      </c>
      <c r="E2056" s="120" t="s">
        <v>3994</v>
      </c>
      <c r="F2056" s="119" t="s">
        <v>49</v>
      </c>
      <c r="G2056" s="54"/>
      <c r="H2056" s="77">
        <f>STOCK[[#This Row],[Precio Final]]</f>
        <v>35</v>
      </c>
      <c r="I2056" s="82">
        <f>STOCK[[#This Row],[Precio Venta Ideal (x1.5)]]</f>
        <v>32.61</v>
      </c>
      <c r="J2056" s="121">
        <v>3</v>
      </c>
      <c r="K2056" s="80">
        <f>SUMIFS(VENTAS[Cantidad],VENTAS[Código del producto Vendido],STOCK[[#This Row],[Code]])</f>
        <v>0</v>
      </c>
      <c r="L2056" s="80">
        <f>STOCK[[#This Row],[Entradas]]-STOCK[[#This Row],[Salidas]]</f>
        <v>3</v>
      </c>
      <c r="M2056" s="77">
        <f>STOCK[[#This Row],[Precio Final]]*10%</f>
        <v>3.5</v>
      </c>
      <c r="N2056" s="54">
        <v>0</v>
      </c>
      <c r="O2056" s="77">
        <v>0</v>
      </c>
      <c r="P2056" s="54">
        <v>15.99</v>
      </c>
      <c r="Q2056" s="77">
        <v>0</v>
      </c>
      <c r="R2056" s="80">
        <v>0</v>
      </c>
      <c r="S2056" s="77">
        <v>2.25</v>
      </c>
      <c r="T2056" s="77">
        <f>STOCK[[#This Row],[Costo Unitario (USD)]]+STOCK[[#This Row],[Costo Envío (USD)]]+STOCK[[#This Row],[Comisión 10%]]</f>
        <v>21.74</v>
      </c>
      <c r="U2056" s="53">
        <f>STOCK[[#This Row],[Costo total]]*1.5</f>
        <v>32.61</v>
      </c>
      <c r="V2056" s="54">
        <v>35</v>
      </c>
      <c r="W2056" s="77">
        <f>STOCK[[#This Row],[Precio Final]]-STOCK[[#This Row],[Costo total]]</f>
        <v>13.26</v>
      </c>
      <c r="X2056" s="77">
        <f>STOCK[[#This Row],[Ganancia Unitaria]]*STOCK[[#This Row],[Salidas]]</f>
        <v>0</v>
      </c>
      <c r="Y2056" s="54"/>
      <c r="Z2056" s="122"/>
      <c r="AA2056" s="54"/>
      <c r="AB2056" s="54"/>
      <c r="AC2056" s="54"/>
      <c r="AD2056" s="98"/>
    </row>
    <row r="2057" s="53" customFormat="1" ht="50" customHeight="1" spans="1:30">
      <c r="A2057" s="99" t="s">
        <v>3997</v>
      </c>
      <c r="B2057" s="117"/>
      <c r="C2057" s="54"/>
      <c r="D2057" s="118" t="s">
        <v>44</v>
      </c>
      <c r="E2057" s="120" t="s">
        <v>3994</v>
      </c>
      <c r="F2057" s="119" t="s">
        <v>46</v>
      </c>
      <c r="G2057" s="54"/>
      <c r="H2057" s="77">
        <f>STOCK[[#This Row],[Precio Final]]</f>
        <v>35</v>
      </c>
      <c r="I2057" s="82">
        <f>STOCK[[#This Row],[Precio Venta Ideal (x1.5)]]</f>
        <v>32.61</v>
      </c>
      <c r="J2057" s="121">
        <v>3</v>
      </c>
      <c r="K2057" s="80">
        <f>SUMIFS(VENTAS[Cantidad],VENTAS[Código del producto Vendido],STOCK[[#This Row],[Code]])</f>
        <v>0</v>
      </c>
      <c r="L2057" s="80">
        <f>STOCK[[#This Row],[Entradas]]-STOCK[[#This Row],[Salidas]]</f>
        <v>3</v>
      </c>
      <c r="M2057" s="77">
        <f>STOCK[[#This Row],[Precio Final]]*10%</f>
        <v>3.5</v>
      </c>
      <c r="N2057" s="54">
        <v>0</v>
      </c>
      <c r="O2057" s="77">
        <v>0</v>
      </c>
      <c r="P2057" s="54">
        <v>15.99</v>
      </c>
      <c r="Q2057" s="77">
        <v>0</v>
      </c>
      <c r="R2057" s="80">
        <v>0</v>
      </c>
      <c r="S2057" s="77">
        <v>2.25</v>
      </c>
      <c r="T2057" s="77">
        <f>STOCK[[#This Row],[Costo Unitario (USD)]]+STOCK[[#This Row],[Costo Envío (USD)]]+STOCK[[#This Row],[Comisión 10%]]</f>
        <v>21.74</v>
      </c>
      <c r="U2057" s="53">
        <f>STOCK[[#This Row],[Costo total]]*1.5</f>
        <v>32.61</v>
      </c>
      <c r="V2057" s="54">
        <v>35</v>
      </c>
      <c r="W2057" s="77">
        <f>STOCK[[#This Row],[Precio Final]]-STOCK[[#This Row],[Costo total]]</f>
        <v>13.26</v>
      </c>
      <c r="X2057" s="77">
        <f>STOCK[[#This Row],[Ganancia Unitaria]]*STOCK[[#This Row],[Salidas]]</f>
        <v>0</v>
      </c>
      <c r="Y2057" s="54"/>
      <c r="Z2057" s="122"/>
      <c r="AA2057" s="54"/>
      <c r="AB2057" s="54"/>
      <c r="AC2057" s="54"/>
      <c r="AD2057" s="98"/>
    </row>
    <row r="2058" s="53" customFormat="1" ht="50" customHeight="1" spans="1:30">
      <c r="A2058" s="99" t="s">
        <v>3998</v>
      </c>
      <c r="B2058" s="117"/>
      <c r="C2058" s="54"/>
      <c r="D2058" s="118" t="s">
        <v>44</v>
      </c>
      <c r="E2058" s="120" t="s">
        <v>3994</v>
      </c>
      <c r="F2058" s="119" t="s">
        <v>42</v>
      </c>
      <c r="G2058" s="54"/>
      <c r="H2058" s="77">
        <f>STOCK[[#This Row],[Precio Final]]</f>
        <v>35</v>
      </c>
      <c r="I2058" s="82">
        <f>STOCK[[#This Row],[Precio Venta Ideal (x1.5)]]</f>
        <v>32.61</v>
      </c>
      <c r="J2058" s="121">
        <v>3</v>
      </c>
      <c r="K2058" s="80">
        <f>SUMIFS(VENTAS[Cantidad],VENTAS[Código del producto Vendido],STOCK[[#This Row],[Code]])</f>
        <v>0</v>
      </c>
      <c r="L2058" s="80">
        <f>STOCK[[#This Row],[Entradas]]-STOCK[[#This Row],[Salidas]]</f>
        <v>3</v>
      </c>
      <c r="M2058" s="77">
        <f>STOCK[[#This Row],[Precio Final]]*10%</f>
        <v>3.5</v>
      </c>
      <c r="N2058" s="54">
        <v>0</v>
      </c>
      <c r="O2058" s="77">
        <v>0</v>
      </c>
      <c r="P2058" s="54">
        <v>15.99</v>
      </c>
      <c r="Q2058" s="77">
        <v>0</v>
      </c>
      <c r="R2058" s="80">
        <v>0</v>
      </c>
      <c r="S2058" s="77">
        <v>2.25</v>
      </c>
      <c r="T2058" s="77">
        <f>STOCK[[#This Row],[Costo Unitario (USD)]]+STOCK[[#This Row],[Costo Envío (USD)]]+STOCK[[#This Row],[Comisión 10%]]</f>
        <v>21.74</v>
      </c>
      <c r="U2058" s="53">
        <f>STOCK[[#This Row],[Costo total]]*1.5</f>
        <v>32.61</v>
      </c>
      <c r="V2058" s="54">
        <v>35</v>
      </c>
      <c r="W2058" s="77">
        <f>STOCK[[#This Row],[Precio Final]]-STOCK[[#This Row],[Costo total]]</f>
        <v>13.26</v>
      </c>
      <c r="X2058" s="77">
        <f>STOCK[[#This Row],[Ganancia Unitaria]]*STOCK[[#This Row],[Salidas]]</f>
        <v>0</v>
      </c>
      <c r="Y2058" s="54"/>
      <c r="Z2058" s="122"/>
      <c r="AA2058" s="54"/>
      <c r="AB2058" s="54"/>
      <c r="AC2058" s="54"/>
      <c r="AD2058" s="98"/>
    </row>
    <row r="2059" s="53" customFormat="1" ht="50" customHeight="1" spans="1:30">
      <c r="A2059" s="99" t="s">
        <v>3999</v>
      </c>
      <c r="B2059" s="117"/>
      <c r="C2059" s="54"/>
      <c r="D2059" s="118" t="s">
        <v>2897</v>
      </c>
      <c r="E2059" s="120" t="s">
        <v>4000</v>
      </c>
      <c r="F2059" s="119" t="s">
        <v>62</v>
      </c>
      <c r="G2059" s="54"/>
      <c r="H2059" s="77">
        <f>STOCK[[#This Row],[Precio Final]]</f>
        <v>30</v>
      </c>
      <c r="I2059" s="82">
        <f>STOCK[[#This Row],[Precio Venta Ideal (x1.5)]]</f>
        <v>28.98</v>
      </c>
      <c r="J2059" s="121">
        <v>1</v>
      </c>
      <c r="K2059" s="80">
        <f>SUMIFS(VENTAS[Cantidad],VENTAS[Código del producto Vendido],STOCK[[#This Row],[Code]])</f>
        <v>0</v>
      </c>
      <c r="L2059" s="80">
        <f>STOCK[[#This Row],[Entradas]]-STOCK[[#This Row],[Salidas]]</f>
        <v>1</v>
      </c>
      <c r="M2059" s="77">
        <f>STOCK[[#This Row],[Precio Final]]*10%</f>
        <v>3</v>
      </c>
      <c r="N2059" s="54">
        <v>0</v>
      </c>
      <c r="O2059" s="77">
        <v>0</v>
      </c>
      <c r="P2059" s="54">
        <v>14.07</v>
      </c>
      <c r="Q2059" s="77">
        <v>0</v>
      </c>
      <c r="R2059" s="80">
        <v>0</v>
      </c>
      <c r="S2059" s="77">
        <v>2.25</v>
      </c>
      <c r="T2059" s="77">
        <f>STOCK[[#This Row],[Costo Unitario (USD)]]+STOCK[[#This Row],[Costo Envío (USD)]]+STOCK[[#This Row],[Comisión 10%]]</f>
        <v>19.32</v>
      </c>
      <c r="U2059" s="53">
        <f>STOCK[[#This Row],[Costo total]]*1.5</f>
        <v>28.98</v>
      </c>
      <c r="V2059" s="54">
        <v>30</v>
      </c>
      <c r="W2059" s="77">
        <f>STOCK[[#This Row],[Precio Final]]-STOCK[[#This Row],[Costo total]]</f>
        <v>10.68</v>
      </c>
      <c r="X2059" s="77">
        <f>STOCK[[#This Row],[Ganancia Unitaria]]*STOCK[[#This Row],[Salidas]]</f>
        <v>0</v>
      </c>
      <c r="Y2059" s="54"/>
      <c r="Z2059" s="122"/>
      <c r="AA2059" s="54"/>
      <c r="AB2059" s="54"/>
      <c r="AC2059" s="54"/>
      <c r="AD2059" s="98"/>
    </row>
    <row r="2060" s="53" customFormat="1" ht="50" customHeight="1" spans="1:30">
      <c r="A2060" s="99" t="s">
        <v>4001</v>
      </c>
      <c r="B2060" s="117"/>
      <c r="C2060" s="54"/>
      <c r="D2060" s="118" t="s">
        <v>2897</v>
      </c>
      <c r="E2060" s="120" t="s">
        <v>4000</v>
      </c>
      <c r="F2060" s="119" t="s">
        <v>49</v>
      </c>
      <c r="G2060" s="54"/>
      <c r="H2060" s="77">
        <f>STOCK[[#This Row],[Precio Final]]</f>
        <v>35</v>
      </c>
      <c r="I2060" s="82">
        <f>STOCK[[#This Row],[Precio Venta Ideal (x1.5)]]</f>
        <v>29.73</v>
      </c>
      <c r="J2060" s="121">
        <v>1</v>
      </c>
      <c r="K2060" s="80">
        <f>SUMIFS(VENTAS[Cantidad],VENTAS[Código del producto Vendido],STOCK[[#This Row],[Code]])</f>
        <v>0</v>
      </c>
      <c r="L2060" s="80">
        <f>STOCK[[#This Row],[Entradas]]-STOCK[[#This Row],[Salidas]]</f>
        <v>1</v>
      </c>
      <c r="M2060" s="77">
        <f>STOCK[[#This Row],[Precio Final]]*10%</f>
        <v>3.5</v>
      </c>
      <c r="N2060" s="54">
        <v>0</v>
      </c>
      <c r="O2060" s="77">
        <v>0</v>
      </c>
      <c r="P2060" s="54">
        <v>14.07</v>
      </c>
      <c r="Q2060" s="77">
        <v>0</v>
      </c>
      <c r="R2060" s="80">
        <v>0</v>
      </c>
      <c r="S2060" s="77">
        <v>2.25</v>
      </c>
      <c r="T2060" s="77">
        <f>STOCK[[#This Row],[Costo Unitario (USD)]]+STOCK[[#This Row],[Costo Envío (USD)]]+STOCK[[#This Row],[Comisión 10%]]</f>
        <v>19.82</v>
      </c>
      <c r="U2060" s="53">
        <f>STOCK[[#This Row],[Costo total]]*1.5</f>
        <v>29.73</v>
      </c>
      <c r="V2060" s="54">
        <v>35</v>
      </c>
      <c r="W2060" s="77">
        <f>STOCK[[#This Row],[Precio Final]]-STOCK[[#This Row],[Costo total]]</f>
        <v>15.18</v>
      </c>
      <c r="X2060" s="77">
        <f>STOCK[[#This Row],[Ganancia Unitaria]]*STOCK[[#This Row],[Salidas]]</f>
        <v>0</v>
      </c>
      <c r="Y2060" s="54"/>
      <c r="Z2060" s="122"/>
      <c r="AA2060" s="54"/>
      <c r="AB2060" s="54"/>
      <c r="AC2060" s="54"/>
      <c r="AD2060" s="98"/>
    </row>
    <row r="2061" s="53" customFormat="1" ht="50" customHeight="1" spans="1:30">
      <c r="A2061" s="99" t="s">
        <v>4002</v>
      </c>
      <c r="B2061" s="117"/>
      <c r="C2061" s="54"/>
      <c r="D2061" s="118" t="s">
        <v>2897</v>
      </c>
      <c r="E2061" s="120" t="s">
        <v>4000</v>
      </c>
      <c r="F2061" s="119" t="s">
        <v>46</v>
      </c>
      <c r="G2061" s="54"/>
      <c r="H2061" s="77">
        <f>STOCK[[#This Row],[Precio Final]]</f>
        <v>35</v>
      </c>
      <c r="I2061" s="82">
        <f>STOCK[[#This Row],[Precio Venta Ideal (x1.5)]]</f>
        <v>29.73</v>
      </c>
      <c r="J2061" s="121">
        <v>2</v>
      </c>
      <c r="K2061" s="80">
        <f>SUMIFS(VENTAS[Cantidad],VENTAS[Código del producto Vendido],STOCK[[#This Row],[Code]])</f>
        <v>0</v>
      </c>
      <c r="L2061" s="80">
        <f>STOCK[[#This Row],[Entradas]]-STOCK[[#This Row],[Salidas]]</f>
        <v>2</v>
      </c>
      <c r="M2061" s="77">
        <f>STOCK[[#This Row],[Precio Final]]*10%</f>
        <v>3.5</v>
      </c>
      <c r="N2061" s="54">
        <v>0</v>
      </c>
      <c r="O2061" s="77">
        <v>0</v>
      </c>
      <c r="P2061" s="54">
        <v>14.07</v>
      </c>
      <c r="Q2061" s="77">
        <v>0</v>
      </c>
      <c r="R2061" s="80">
        <v>0</v>
      </c>
      <c r="S2061" s="77">
        <v>2.25</v>
      </c>
      <c r="T2061" s="77">
        <f>STOCK[[#This Row],[Costo Unitario (USD)]]+STOCK[[#This Row],[Costo Envío (USD)]]+STOCK[[#This Row],[Comisión 10%]]</f>
        <v>19.82</v>
      </c>
      <c r="U2061" s="53">
        <f>STOCK[[#This Row],[Costo total]]*1.5</f>
        <v>29.73</v>
      </c>
      <c r="V2061" s="54">
        <v>35</v>
      </c>
      <c r="W2061" s="77">
        <f>STOCK[[#This Row],[Precio Final]]-STOCK[[#This Row],[Costo total]]</f>
        <v>15.18</v>
      </c>
      <c r="X2061" s="77">
        <f>STOCK[[#This Row],[Ganancia Unitaria]]*STOCK[[#This Row],[Salidas]]</f>
        <v>0</v>
      </c>
      <c r="Y2061" s="54"/>
      <c r="Z2061" s="122"/>
      <c r="AA2061" s="54"/>
      <c r="AB2061" s="54"/>
      <c r="AC2061" s="54"/>
      <c r="AD2061" s="98"/>
    </row>
    <row r="2062" s="53" customFormat="1" ht="50" customHeight="1" spans="1:30">
      <c r="A2062" s="99" t="s">
        <v>4003</v>
      </c>
      <c r="B2062" s="117"/>
      <c r="C2062" s="54"/>
      <c r="D2062" s="118" t="s">
        <v>2897</v>
      </c>
      <c r="E2062" s="120" t="s">
        <v>4000</v>
      </c>
      <c r="F2062" s="119" t="s">
        <v>42</v>
      </c>
      <c r="G2062" s="54"/>
      <c r="H2062" s="77">
        <f>STOCK[[#This Row],[Precio Final]]</f>
        <v>35</v>
      </c>
      <c r="I2062" s="82">
        <f>STOCK[[#This Row],[Precio Venta Ideal (x1.5)]]</f>
        <v>29.73</v>
      </c>
      <c r="J2062" s="121">
        <v>1</v>
      </c>
      <c r="K2062" s="80">
        <f>SUMIFS(VENTAS[Cantidad],VENTAS[Código del producto Vendido],STOCK[[#This Row],[Code]])</f>
        <v>0</v>
      </c>
      <c r="L2062" s="80">
        <f>STOCK[[#This Row],[Entradas]]-STOCK[[#This Row],[Salidas]]</f>
        <v>1</v>
      </c>
      <c r="M2062" s="77">
        <f>STOCK[[#This Row],[Precio Final]]*10%</f>
        <v>3.5</v>
      </c>
      <c r="N2062" s="54">
        <v>0</v>
      </c>
      <c r="O2062" s="77">
        <v>0</v>
      </c>
      <c r="P2062" s="54">
        <v>14.07</v>
      </c>
      <c r="Q2062" s="77">
        <v>0</v>
      </c>
      <c r="R2062" s="80">
        <v>0</v>
      </c>
      <c r="S2062" s="77">
        <v>2.25</v>
      </c>
      <c r="T2062" s="77">
        <f>STOCK[[#This Row],[Costo Unitario (USD)]]+STOCK[[#This Row],[Costo Envío (USD)]]+STOCK[[#This Row],[Comisión 10%]]</f>
        <v>19.82</v>
      </c>
      <c r="U2062" s="53">
        <f>STOCK[[#This Row],[Costo total]]*1.5</f>
        <v>29.73</v>
      </c>
      <c r="V2062" s="54">
        <v>35</v>
      </c>
      <c r="W2062" s="77">
        <f>STOCK[[#This Row],[Precio Final]]-STOCK[[#This Row],[Costo total]]</f>
        <v>15.18</v>
      </c>
      <c r="X2062" s="77">
        <f>STOCK[[#This Row],[Ganancia Unitaria]]*STOCK[[#This Row],[Salidas]]</f>
        <v>0</v>
      </c>
      <c r="Y2062" s="54"/>
      <c r="Z2062" s="122"/>
      <c r="AA2062" s="54"/>
      <c r="AB2062" s="54"/>
      <c r="AC2062" s="54"/>
      <c r="AD2062" s="98"/>
    </row>
    <row r="2063" s="53" customFormat="1" ht="50" customHeight="1" spans="1:30">
      <c r="A2063" s="99" t="s">
        <v>4004</v>
      </c>
      <c r="B2063" s="117"/>
      <c r="C2063" s="54"/>
      <c r="D2063" s="118" t="s">
        <v>2897</v>
      </c>
      <c r="E2063" s="120" t="s">
        <v>4005</v>
      </c>
      <c r="F2063" s="119" t="s">
        <v>46</v>
      </c>
      <c r="G2063" s="54"/>
      <c r="H2063" s="77">
        <f>STOCK[[#This Row],[Precio Final]]</f>
        <v>35</v>
      </c>
      <c r="I2063" s="82">
        <f>STOCK[[#This Row],[Precio Venta Ideal (x1.5)]]</f>
        <v>29.73</v>
      </c>
      <c r="J2063" s="121">
        <v>1</v>
      </c>
      <c r="K2063" s="80">
        <f>SUMIFS(VENTAS[Cantidad],VENTAS[Código del producto Vendido],STOCK[[#This Row],[Code]])</f>
        <v>0</v>
      </c>
      <c r="L2063" s="80">
        <f>STOCK[[#This Row],[Entradas]]-STOCK[[#This Row],[Salidas]]</f>
        <v>1</v>
      </c>
      <c r="M2063" s="77">
        <f>STOCK[[#This Row],[Precio Final]]*10%</f>
        <v>3.5</v>
      </c>
      <c r="N2063" s="54">
        <v>0</v>
      </c>
      <c r="O2063" s="77">
        <v>0</v>
      </c>
      <c r="P2063" s="54">
        <v>14.07</v>
      </c>
      <c r="Q2063" s="77">
        <v>0</v>
      </c>
      <c r="R2063" s="80">
        <v>0</v>
      </c>
      <c r="S2063" s="77">
        <v>2.25</v>
      </c>
      <c r="T2063" s="77">
        <f>STOCK[[#This Row],[Costo Unitario (USD)]]+STOCK[[#This Row],[Costo Envío (USD)]]+STOCK[[#This Row],[Comisión 10%]]</f>
        <v>19.82</v>
      </c>
      <c r="U2063" s="53">
        <f>STOCK[[#This Row],[Costo total]]*1.5</f>
        <v>29.73</v>
      </c>
      <c r="V2063" s="54">
        <v>35</v>
      </c>
      <c r="W2063" s="77">
        <f>STOCK[[#This Row],[Precio Final]]-STOCK[[#This Row],[Costo total]]</f>
        <v>15.18</v>
      </c>
      <c r="X2063" s="77">
        <f>STOCK[[#This Row],[Ganancia Unitaria]]*STOCK[[#This Row],[Salidas]]</f>
        <v>0</v>
      </c>
      <c r="Y2063" s="54"/>
      <c r="Z2063" s="122"/>
      <c r="AA2063" s="54"/>
      <c r="AB2063" s="54"/>
      <c r="AC2063" s="54"/>
      <c r="AD2063" s="98"/>
    </row>
    <row r="2064" s="53" customFormat="1" ht="50" customHeight="1" spans="1:30">
      <c r="A2064" s="99" t="s">
        <v>4006</v>
      </c>
      <c r="B2064" s="117"/>
      <c r="C2064" s="54"/>
      <c r="D2064" s="118" t="s">
        <v>2897</v>
      </c>
      <c r="E2064" s="120" t="s">
        <v>4005</v>
      </c>
      <c r="F2064" s="119" t="s">
        <v>42</v>
      </c>
      <c r="G2064" s="54"/>
      <c r="H2064" s="77">
        <f>STOCK[[#This Row],[Precio Final]]</f>
        <v>35</v>
      </c>
      <c r="I2064" s="82">
        <f>STOCK[[#This Row],[Precio Venta Ideal (x1.5)]]</f>
        <v>29.73</v>
      </c>
      <c r="J2064" s="121">
        <v>1</v>
      </c>
      <c r="K2064" s="80">
        <f>SUMIFS(VENTAS[Cantidad],VENTAS[Código del producto Vendido],STOCK[[#This Row],[Code]])</f>
        <v>0</v>
      </c>
      <c r="L2064" s="80">
        <f>STOCK[[#This Row],[Entradas]]-STOCK[[#This Row],[Salidas]]</f>
        <v>1</v>
      </c>
      <c r="M2064" s="77">
        <f>STOCK[[#This Row],[Precio Final]]*10%</f>
        <v>3.5</v>
      </c>
      <c r="N2064" s="54">
        <v>0</v>
      </c>
      <c r="O2064" s="77">
        <v>0</v>
      </c>
      <c r="P2064" s="54">
        <v>14.07</v>
      </c>
      <c r="Q2064" s="77">
        <v>0</v>
      </c>
      <c r="R2064" s="80">
        <v>0</v>
      </c>
      <c r="S2064" s="77">
        <v>2.25</v>
      </c>
      <c r="T2064" s="77">
        <f>STOCK[[#This Row],[Costo Unitario (USD)]]+STOCK[[#This Row],[Costo Envío (USD)]]+STOCK[[#This Row],[Comisión 10%]]</f>
        <v>19.82</v>
      </c>
      <c r="U2064" s="53">
        <f>STOCK[[#This Row],[Costo total]]*1.5</f>
        <v>29.73</v>
      </c>
      <c r="V2064" s="54">
        <v>35</v>
      </c>
      <c r="W2064" s="77">
        <f>STOCK[[#This Row],[Precio Final]]-STOCK[[#This Row],[Costo total]]</f>
        <v>15.18</v>
      </c>
      <c r="X2064" s="77">
        <f>STOCK[[#This Row],[Ganancia Unitaria]]*STOCK[[#This Row],[Salidas]]</f>
        <v>0</v>
      </c>
      <c r="Y2064" s="54"/>
      <c r="Z2064" s="122"/>
      <c r="AA2064" s="54"/>
      <c r="AB2064" s="54"/>
      <c r="AC2064" s="54"/>
      <c r="AD2064" s="98"/>
    </row>
    <row r="2065" s="53" customFormat="1" ht="50" customHeight="1" spans="1:30">
      <c r="A2065" s="99" t="s">
        <v>4007</v>
      </c>
      <c r="B2065" s="117"/>
      <c r="C2065" s="54"/>
      <c r="D2065" s="118" t="s">
        <v>2897</v>
      </c>
      <c r="E2065" s="120" t="s">
        <v>4008</v>
      </c>
      <c r="F2065" s="119" t="s">
        <v>40</v>
      </c>
      <c r="G2065" s="54"/>
      <c r="H2065" s="77">
        <f>STOCK[[#This Row],[Precio Final]]</f>
        <v>35</v>
      </c>
      <c r="I2065" s="82">
        <f>STOCK[[#This Row],[Precio Venta Ideal (x1.5)]]</f>
        <v>29.73</v>
      </c>
      <c r="J2065" s="121">
        <v>1</v>
      </c>
      <c r="K2065" s="80">
        <f>SUMIFS(VENTAS[Cantidad],VENTAS[Código del producto Vendido],STOCK[[#This Row],[Code]])</f>
        <v>0</v>
      </c>
      <c r="L2065" s="80">
        <f>STOCK[[#This Row],[Entradas]]-STOCK[[#This Row],[Salidas]]</f>
        <v>1</v>
      </c>
      <c r="M2065" s="77">
        <f>STOCK[[#This Row],[Precio Final]]*10%</f>
        <v>3.5</v>
      </c>
      <c r="N2065" s="54">
        <v>0</v>
      </c>
      <c r="O2065" s="77">
        <v>0</v>
      </c>
      <c r="P2065" s="54">
        <v>14.07</v>
      </c>
      <c r="Q2065" s="77">
        <v>0</v>
      </c>
      <c r="R2065" s="80">
        <v>0</v>
      </c>
      <c r="S2065" s="77">
        <v>2.25</v>
      </c>
      <c r="T2065" s="77">
        <f>STOCK[[#This Row],[Costo Unitario (USD)]]+STOCK[[#This Row],[Costo Envío (USD)]]+STOCK[[#This Row],[Comisión 10%]]</f>
        <v>19.82</v>
      </c>
      <c r="U2065" s="53">
        <f>STOCK[[#This Row],[Costo total]]*1.5</f>
        <v>29.73</v>
      </c>
      <c r="V2065" s="54">
        <v>35</v>
      </c>
      <c r="W2065" s="77">
        <f>STOCK[[#This Row],[Precio Final]]-STOCK[[#This Row],[Costo total]]</f>
        <v>15.18</v>
      </c>
      <c r="X2065" s="77">
        <f>STOCK[[#This Row],[Ganancia Unitaria]]*STOCK[[#This Row],[Salidas]]</f>
        <v>0</v>
      </c>
      <c r="Y2065" s="54"/>
      <c r="Z2065" s="122"/>
      <c r="AA2065" s="54"/>
      <c r="AB2065" s="54"/>
      <c r="AC2065" s="54"/>
      <c r="AD2065" s="98"/>
    </row>
    <row r="2066" s="53" customFormat="1" ht="50" customHeight="1" spans="1:30">
      <c r="A2066" s="99" t="s">
        <v>4009</v>
      </c>
      <c r="B2066" s="117"/>
      <c r="C2066" s="54"/>
      <c r="D2066" s="118" t="s">
        <v>2897</v>
      </c>
      <c r="E2066" s="120" t="s">
        <v>4008</v>
      </c>
      <c r="F2066" s="119" t="s">
        <v>62</v>
      </c>
      <c r="G2066" s="54"/>
      <c r="H2066" s="77">
        <f>STOCK[[#This Row],[Precio Final]]</f>
        <v>35</v>
      </c>
      <c r="I2066" s="82">
        <f>STOCK[[#This Row],[Precio Venta Ideal (x1.5)]]</f>
        <v>29.73</v>
      </c>
      <c r="J2066" s="121">
        <v>1</v>
      </c>
      <c r="K2066" s="80">
        <f>SUMIFS(VENTAS[Cantidad],VENTAS[Código del producto Vendido],STOCK[[#This Row],[Code]])</f>
        <v>0</v>
      </c>
      <c r="L2066" s="80">
        <f>STOCK[[#This Row],[Entradas]]-STOCK[[#This Row],[Salidas]]</f>
        <v>1</v>
      </c>
      <c r="M2066" s="77">
        <f>STOCK[[#This Row],[Precio Final]]*10%</f>
        <v>3.5</v>
      </c>
      <c r="N2066" s="54">
        <v>0</v>
      </c>
      <c r="O2066" s="77">
        <v>0</v>
      </c>
      <c r="P2066" s="54">
        <v>14.07</v>
      </c>
      <c r="Q2066" s="77">
        <v>0</v>
      </c>
      <c r="R2066" s="80">
        <v>0</v>
      </c>
      <c r="S2066" s="77">
        <v>2.25</v>
      </c>
      <c r="T2066" s="77">
        <f>STOCK[[#This Row],[Costo Unitario (USD)]]+STOCK[[#This Row],[Costo Envío (USD)]]+STOCK[[#This Row],[Comisión 10%]]</f>
        <v>19.82</v>
      </c>
      <c r="U2066" s="53">
        <f>STOCK[[#This Row],[Costo total]]*1.5</f>
        <v>29.73</v>
      </c>
      <c r="V2066" s="54">
        <v>35</v>
      </c>
      <c r="W2066" s="77">
        <f>STOCK[[#This Row],[Precio Final]]-STOCK[[#This Row],[Costo total]]</f>
        <v>15.18</v>
      </c>
      <c r="X2066" s="77">
        <f>STOCK[[#This Row],[Ganancia Unitaria]]*STOCK[[#This Row],[Salidas]]</f>
        <v>0</v>
      </c>
      <c r="Y2066" s="54"/>
      <c r="Z2066" s="122"/>
      <c r="AA2066" s="54"/>
      <c r="AB2066" s="54"/>
      <c r="AC2066" s="54"/>
      <c r="AD2066" s="98"/>
    </row>
    <row r="2067" s="53" customFormat="1" ht="50" customHeight="1" spans="1:30">
      <c r="A2067" s="99" t="s">
        <v>4010</v>
      </c>
      <c r="B2067" s="117"/>
      <c r="C2067" s="54"/>
      <c r="D2067" s="118" t="s">
        <v>2897</v>
      </c>
      <c r="E2067" s="120" t="s">
        <v>4008</v>
      </c>
      <c r="F2067" s="119" t="s">
        <v>49</v>
      </c>
      <c r="G2067" s="54"/>
      <c r="H2067" s="77">
        <f>STOCK[[#This Row],[Precio Final]]</f>
        <v>35</v>
      </c>
      <c r="I2067" s="82">
        <f>STOCK[[#This Row],[Precio Venta Ideal (x1.5)]]</f>
        <v>29.73</v>
      </c>
      <c r="J2067" s="121">
        <v>2</v>
      </c>
      <c r="K2067" s="80">
        <f>SUMIFS(VENTAS[Cantidad],VENTAS[Código del producto Vendido],STOCK[[#This Row],[Code]])</f>
        <v>0</v>
      </c>
      <c r="L2067" s="80">
        <f>STOCK[[#This Row],[Entradas]]-STOCK[[#This Row],[Salidas]]</f>
        <v>2</v>
      </c>
      <c r="M2067" s="77">
        <f>STOCK[[#This Row],[Precio Final]]*10%</f>
        <v>3.5</v>
      </c>
      <c r="N2067" s="54">
        <v>0</v>
      </c>
      <c r="O2067" s="77">
        <v>0</v>
      </c>
      <c r="P2067" s="54">
        <v>14.07</v>
      </c>
      <c r="Q2067" s="77">
        <v>0</v>
      </c>
      <c r="R2067" s="80">
        <v>0</v>
      </c>
      <c r="S2067" s="77">
        <v>2.25</v>
      </c>
      <c r="T2067" s="77">
        <f>STOCK[[#This Row],[Costo Unitario (USD)]]+STOCK[[#This Row],[Costo Envío (USD)]]+STOCK[[#This Row],[Comisión 10%]]</f>
        <v>19.82</v>
      </c>
      <c r="U2067" s="53">
        <f>STOCK[[#This Row],[Costo total]]*1.5</f>
        <v>29.73</v>
      </c>
      <c r="V2067" s="54">
        <v>35</v>
      </c>
      <c r="W2067" s="77">
        <f>STOCK[[#This Row],[Precio Final]]-STOCK[[#This Row],[Costo total]]</f>
        <v>15.18</v>
      </c>
      <c r="X2067" s="77">
        <f>STOCK[[#This Row],[Ganancia Unitaria]]*STOCK[[#This Row],[Salidas]]</f>
        <v>0</v>
      </c>
      <c r="Y2067" s="54"/>
      <c r="Z2067" s="122"/>
      <c r="AA2067" s="54"/>
      <c r="AB2067" s="54"/>
      <c r="AC2067" s="54"/>
      <c r="AD2067" s="98"/>
    </row>
    <row r="2068" s="53" customFormat="1" ht="50" customHeight="1" spans="1:30">
      <c r="A2068" s="99" t="s">
        <v>4011</v>
      </c>
      <c r="B2068" s="117"/>
      <c r="C2068" s="54"/>
      <c r="D2068" s="118" t="s">
        <v>2897</v>
      </c>
      <c r="E2068" s="120" t="s">
        <v>4008</v>
      </c>
      <c r="F2068" s="119" t="s">
        <v>46</v>
      </c>
      <c r="G2068" s="54"/>
      <c r="H2068" s="77">
        <f>STOCK[[#This Row],[Precio Final]]</f>
        <v>35</v>
      </c>
      <c r="I2068" s="82">
        <f>STOCK[[#This Row],[Precio Venta Ideal (x1.5)]]</f>
        <v>29.73</v>
      </c>
      <c r="J2068" s="121">
        <v>1</v>
      </c>
      <c r="K2068" s="80">
        <f>SUMIFS(VENTAS[Cantidad],VENTAS[Código del producto Vendido],STOCK[[#This Row],[Code]])</f>
        <v>0</v>
      </c>
      <c r="L2068" s="80">
        <f>STOCK[[#This Row],[Entradas]]-STOCK[[#This Row],[Salidas]]</f>
        <v>1</v>
      </c>
      <c r="M2068" s="77">
        <f>STOCK[[#This Row],[Precio Final]]*10%</f>
        <v>3.5</v>
      </c>
      <c r="N2068" s="54">
        <v>0</v>
      </c>
      <c r="O2068" s="77">
        <v>0</v>
      </c>
      <c r="P2068" s="54">
        <v>14.07</v>
      </c>
      <c r="Q2068" s="77">
        <v>0</v>
      </c>
      <c r="R2068" s="80">
        <v>0</v>
      </c>
      <c r="S2068" s="77">
        <v>2.25</v>
      </c>
      <c r="T2068" s="77">
        <f>STOCK[[#This Row],[Costo Unitario (USD)]]+STOCK[[#This Row],[Costo Envío (USD)]]+STOCK[[#This Row],[Comisión 10%]]</f>
        <v>19.82</v>
      </c>
      <c r="U2068" s="53">
        <f>STOCK[[#This Row],[Costo total]]*1.5</f>
        <v>29.73</v>
      </c>
      <c r="V2068" s="54">
        <v>35</v>
      </c>
      <c r="W2068" s="77">
        <f>STOCK[[#This Row],[Precio Final]]-STOCK[[#This Row],[Costo total]]</f>
        <v>15.18</v>
      </c>
      <c r="X2068" s="77">
        <f>STOCK[[#This Row],[Ganancia Unitaria]]*STOCK[[#This Row],[Salidas]]</f>
        <v>0</v>
      </c>
      <c r="Y2068" s="54"/>
      <c r="Z2068" s="122"/>
      <c r="AA2068" s="54"/>
      <c r="AB2068" s="54"/>
      <c r="AC2068" s="54"/>
      <c r="AD2068" s="98"/>
    </row>
    <row r="2069" s="53" customFormat="1" ht="50" customHeight="1" spans="1:30">
      <c r="A2069" s="99" t="s">
        <v>4012</v>
      </c>
      <c r="B2069" s="117"/>
      <c r="C2069" s="54"/>
      <c r="D2069" s="118" t="s">
        <v>2897</v>
      </c>
      <c r="E2069" s="120" t="s">
        <v>4008</v>
      </c>
      <c r="F2069" s="119" t="s">
        <v>42</v>
      </c>
      <c r="G2069" s="54"/>
      <c r="H2069" s="77">
        <f>STOCK[[#This Row],[Precio Final]]</f>
        <v>35</v>
      </c>
      <c r="I2069" s="82">
        <f>STOCK[[#This Row],[Precio Venta Ideal (x1.5)]]</f>
        <v>29.73</v>
      </c>
      <c r="J2069" s="121">
        <v>1</v>
      </c>
      <c r="K2069" s="80">
        <f>SUMIFS(VENTAS[Cantidad],VENTAS[Código del producto Vendido],STOCK[[#This Row],[Code]])</f>
        <v>0</v>
      </c>
      <c r="L2069" s="80">
        <f>STOCK[[#This Row],[Entradas]]-STOCK[[#This Row],[Salidas]]</f>
        <v>1</v>
      </c>
      <c r="M2069" s="77">
        <f>STOCK[[#This Row],[Precio Final]]*10%</f>
        <v>3.5</v>
      </c>
      <c r="N2069" s="54">
        <v>0</v>
      </c>
      <c r="O2069" s="77">
        <v>0</v>
      </c>
      <c r="P2069" s="54">
        <v>14.07</v>
      </c>
      <c r="Q2069" s="77">
        <v>0</v>
      </c>
      <c r="R2069" s="80">
        <v>0</v>
      </c>
      <c r="S2069" s="77">
        <v>2.25</v>
      </c>
      <c r="T2069" s="77">
        <f>STOCK[[#This Row],[Costo Unitario (USD)]]+STOCK[[#This Row],[Costo Envío (USD)]]+STOCK[[#This Row],[Comisión 10%]]</f>
        <v>19.82</v>
      </c>
      <c r="U2069" s="53">
        <f>STOCK[[#This Row],[Costo total]]*1.5</f>
        <v>29.73</v>
      </c>
      <c r="V2069" s="54">
        <v>35</v>
      </c>
      <c r="W2069" s="77">
        <f>STOCK[[#This Row],[Precio Final]]-STOCK[[#This Row],[Costo total]]</f>
        <v>15.18</v>
      </c>
      <c r="X2069" s="77">
        <f>STOCK[[#This Row],[Ganancia Unitaria]]*STOCK[[#This Row],[Salidas]]</f>
        <v>0</v>
      </c>
      <c r="Y2069" s="54"/>
      <c r="Z2069" s="122"/>
      <c r="AA2069" s="54"/>
      <c r="AB2069" s="54"/>
      <c r="AC2069" s="54"/>
      <c r="AD2069" s="98"/>
    </row>
    <row r="2070" s="53" customFormat="1" ht="50" customHeight="1" spans="1:30">
      <c r="A2070" s="99" t="s">
        <v>4013</v>
      </c>
      <c r="B2070" s="117"/>
      <c r="C2070" s="54"/>
      <c r="D2070" s="118" t="s">
        <v>835</v>
      </c>
      <c r="E2070" s="120" t="s">
        <v>4014</v>
      </c>
      <c r="F2070" s="125" t="s">
        <v>4015</v>
      </c>
      <c r="G2070" s="54"/>
      <c r="H2070" s="77">
        <f>STOCK[[#This Row],[Precio Final]]</f>
        <v>40</v>
      </c>
      <c r="I2070" s="82">
        <f>STOCK[[#This Row],[Precio Venta Ideal (x1.5)]]</f>
        <v>41.04</v>
      </c>
      <c r="J2070" s="121">
        <v>1</v>
      </c>
      <c r="K2070" s="80">
        <f>SUMIFS(VENTAS[Cantidad],VENTAS[Código del producto Vendido],STOCK[[#This Row],[Code]])</f>
        <v>0</v>
      </c>
      <c r="L2070" s="80">
        <f>STOCK[[#This Row],[Entradas]]-STOCK[[#This Row],[Salidas]]</f>
        <v>1</v>
      </c>
      <c r="M2070" s="77">
        <f>STOCK[[#This Row],[Precio Final]]*10%</f>
        <v>4</v>
      </c>
      <c r="N2070" s="54">
        <v>0</v>
      </c>
      <c r="O2070" s="77">
        <v>0</v>
      </c>
      <c r="P2070" s="54">
        <v>21.11</v>
      </c>
      <c r="Q2070" s="77">
        <v>0</v>
      </c>
      <c r="R2070" s="80">
        <v>0</v>
      </c>
      <c r="S2070" s="77">
        <v>2.25</v>
      </c>
      <c r="T2070" s="77">
        <f>STOCK[[#This Row],[Costo Unitario (USD)]]+STOCK[[#This Row],[Costo Envío (USD)]]+STOCK[[#This Row],[Comisión 10%]]</f>
        <v>27.36</v>
      </c>
      <c r="U2070" s="53">
        <f>STOCK[[#This Row],[Costo total]]*1.5</f>
        <v>41.04</v>
      </c>
      <c r="V2070" s="54">
        <v>40</v>
      </c>
      <c r="W2070" s="77">
        <f>STOCK[[#This Row],[Precio Final]]-STOCK[[#This Row],[Costo total]]</f>
        <v>12.64</v>
      </c>
      <c r="X2070" s="77">
        <f>STOCK[[#This Row],[Ganancia Unitaria]]*STOCK[[#This Row],[Salidas]]</f>
        <v>0</v>
      </c>
      <c r="Y2070" s="54"/>
      <c r="Z2070" s="122"/>
      <c r="AA2070" s="54"/>
      <c r="AB2070" s="54"/>
      <c r="AC2070" s="54"/>
      <c r="AD2070" s="98"/>
    </row>
    <row r="2071" s="53" customFormat="1" ht="50" customHeight="1" spans="1:30">
      <c r="A2071" s="99" t="s">
        <v>4016</v>
      </c>
      <c r="B2071" s="117"/>
      <c r="C2071" s="54"/>
      <c r="D2071" s="118" t="s">
        <v>488</v>
      </c>
      <c r="E2071" s="120" t="s">
        <v>4017</v>
      </c>
      <c r="F2071" s="125" t="s">
        <v>2108</v>
      </c>
      <c r="G2071" s="54"/>
      <c r="H2071" s="77">
        <f>STOCK[[#This Row],[Precio Final]]</f>
        <v>45</v>
      </c>
      <c r="I2071" s="82">
        <f>STOCK[[#This Row],[Precio Venta Ideal (x1.5)]]</f>
        <v>26.475</v>
      </c>
      <c r="J2071" s="121">
        <v>5</v>
      </c>
      <c r="K2071" s="80">
        <f>SUMIFS(VENTAS[Cantidad],VENTAS[Código del producto Vendido],STOCK[[#This Row],[Code]])</f>
        <v>0</v>
      </c>
      <c r="L2071" s="80">
        <f>STOCK[[#This Row],[Entradas]]-STOCK[[#This Row],[Salidas]]</f>
        <v>5</v>
      </c>
      <c r="M2071" s="77">
        <f>STOCK[[#This Row],[Precio Final]]*10%</f>
        <v>4.5</v>
      </c>
      <c r="N2071" s="54">
        <v>0</v>
      </c>
      <c r="O2071" s="77">
        <v>0</v>
      </c>
      <c r="P2071" s="54">
        <v>10.9</v>
      </c>
      <c r="Q2071" s="77">
        <v>0</v>
      </c>
      <c r="R2071" s="80">
        <v>0</v>
      </c>
      <c r="S2071" s="77">
        <v>2.25</v>
      </c>
      <c r="T2071" s="77">
        <f>STOCK[[#This Row],[Costo Unitario (USD)]]+STOCK[[#This Row],[Costo Envío (USD)]]+STOCK[[#This Row],[Comisión 10%]]</f>
        <v>17.65</v>
      </c>
      <c r="U2071" s="53">
        <f>STOCK[[#This Row],[Costo total]]*1.5</f>
        <v>26.475</v>
      </c>
      <c r="V2071" s="54">
        <v>45</v>
      </c>
      <c r="W2071" s="77">
        <f>STOCK[[#This Row],[Precio Final]]-STOCK[[#This Row],[Costo total]]</f>
        <v>27.35</v>
      </c>
      <c r="X2071" s="77">
        <f>STOCK[[#This Row],[Ganancia Unitaria]]*STOCK[[#This Row],[Salidas]]</f>
        <v>0</v>
      </c>
      <c r="Y2071" s="54"/>
      <c r="Z2071" s="122"/>
      <c r="AA2071" s="54"/>
      <c r="AB2071" s="54"/>
      <c r="AC2071" s="54"/>
      <c r="AD2071" s="98"/>
    </row>
    <row r="2072" s="53" customFormat="1" ht="50" customHeight="1" spans="1:30">
      <c r="A2072" s="99" t="s">
        <v>4018</v>
      </c>
      <c r="B2072" s="117"/>
      <c r="C2072" s="54"/>
      <c r="D2072" s="118" t="s">
        <v>488</v>
      </c>
      <c r="E2072" s="120" t="s">
        <v>4019</v>
      </c>
      <c r="F2072" s="125" t="s">
        <v>2108</v>
      </c>
      <c r="G2072" s="54"/>
      <c r="H2072" s="77">
        <f>STOCK[[#This Row],[Precio Final]]</f>
        <v>45</v>
      </c>
      <c r="I2072" s="82">
        <f>STOCK[[#This Row],[Precio Venta Ideal (x1.5)]]</f>
        <v>26.475</v>
      </c>
      <c r="J2072" s="121">
        <v>2</v>
      </c>
      <c r="K2072" s="80">
        <f>SUMIFS(VENTAS[Cantidad],VENTAS[Código del producto Vendido],STOCK[[#This Row],[Code]])</f>
        <v>0</v>
      </c>
      <c r="L2072" s="80">
        <f>STOCK[[#This Row],[Entradas]]-STOCK[[#This Row],[Salidas]]</f>
        <v>2</v>
      </c>
      <c r="M2072" s="77">
        <f>STOCK[[#This Row],[Precio Final]]*10%</f>
        <v>4.5</v>
      </c>
      <c r="N2072" s="54">
        <v>0</v>
      </c>
      <c r="O2072" s="77">
        <v>0</v>
      </c>
      <c r="P2072" s="54">
        <v>10.9</v>
      </c>
      <c r="Q2072" s="77">
        <v>0</v>
      </c>
      <c r="R2072" s="80">
        <v>0</v>
      </c>
      <c r="S2072" s="77">
        <v>2.25</v>
      </c>
      <c r="T2072" s="77">
        <f>STOCK[[#This Row],[Costo Unitario (USD)]]+STOCK[[#This Row],[Costo Envío (USD)]]+STOCK[[#This Row],[Comisión 10%]]</f>
        <v>17.65</v>
      </c>
      <c r="U2072" s="53">
        <f>STOCK[[#This Row],[Costo total]]*1.5</f>
        <v>26.475</v>
      </c>
      <c r="V2072" s="54">
        <v>45</v>
      </c>
      <c r="W2072" s="77">
        <f>STOCK[[#This Row],[Precio Final]]-STOCK[[#This Row],[Costo total]]</f>
        <v>27.35</v>
      </c>
      <c r="X2072" s="77">
        <f>STOCK[[#This Row],[Ganancia Unitaria]]*STOCK[[#This Row],[Salidas]]</f>
        <v>0</v>
      </c>
      <c r="Y2072" s="54"/>
      <c r="Z2072" s="122"/>
      <c r="AA2072" s="54"/>
      <c r="AB2072" s="54"/>
      <c r="AC2072" s="54"/>
      <c r="AD2072" s="98"/>
    </row>
    <row r="2073" s="53" customFormat="1" ht="50" customHeight="1" spans="1:30">
      <c r="A2073" s="99" t="s">
        <v>4020</v>
      </c>
      <c r="B2073" s="117"/>
      <c r="C2073" s="54"/>
      <c r="D2073" s="118" t="s">
        <v>488</v>
      </c>
      <c r="E2073" s="120" t="s">
        <v>4021</v>
      </c>
      <c r="F2073" s="125" t="s">
        <v>2108</v>
      </c>
      <c r="G2073" s="54"/>
      <c r="H2073" s="77">
        <f>STOCK[[#This Row],[Precio Final]]</f>
        <v>45</v>
      </c>
      <c r="I2073" s="82">
        <f>STOCK[[#This Row],[Precio Venta Ideal (x1.5)]]</f>
        <v>26.475</v>
      </c>
      <c r="J2073" s="121">
        <v>4</v>
      </c>
      <c r="K2073" s="80">
        <f>SUMIFS(VENTAS[Cantidad],VENTAS[Código del producto Vendido],STOCK[[#This Row],[Code]])</f>
        <v>0</v>
      </c>
      <c r="L2073" s="80">
        <f>STOCK[[#This Row],[Entradas]]-STOCK[[#This Row],[Salidas]]</f>
        <v>4</v>
      </c>
      <c r="M2073" s="77">
        <f>STOCK[[#This Row],[Precio Final]]*10%</f>
        <v>4.5</v>
      </c>
      <c r="N2073" s="54">
        <v>0</v>
      </c>
      <c r="O2073" s="77">
        <v>0</v>
      </c>
      <c r="P2073" s="54">
        <v>10.9</v>
      </c>
      <c r="Q2073" s="77">
        <v>0</v>
      </c>
      <c r="R2073" s="80">
        <v>0</v>
      </c>
      <c r="S2073" s="77">
        <v>2.25</v>
      </c>
      <c r="T2073" s="77">
        <f>STOCK[[#This Row],[Costo Unitario (USD)]]+STOCK[[#This Row],[Costo Envío (USD)]]+STOCK[[#This Row],[Comisión 10%]]</f>
        <v>17.65</v>
      </c>
      <c r="U2073" s="53">
        <f>STOCK[[#This Row],[Costo total]]*1.5</f>
        <v>26.475</v>
      </c>
      <c r="V2073" s="54">
        <v>45</v>
      </c>
      <c r="W2073" s="77">
        <f>STOCK[[#This Row],[Precio Final]]-STOCK[[#This Row],[Costo total]]</f>
        <v>27.35</v>
      </c>
      <c r="X2073" s="77">
        <f>STOCK[[#This Row],[Ganancia Unitaria]]*STOCK[[#This Row],[Salidas]]</f>
        <v>0</v>
      </c>
      <c r="Y2073" s="54"/>
      <c r="Z2073" s="122"/>
      <c r="AA2073" s="54"/>
      <c r="AB2073" s="54"/>
      <c r="AC2073" s="54"/>
      <c r="AD2073" s="98"/>
    </row>
    <row r="2074" s="53" customFormat="1" ht="50" customHeight="1" spans="1:30">
      <c r="A2074" s="99" t="s">
        <v>4022</v>
      </c>
      <c r="B2074" s="117"/>
      <c r="C2074" s="54"/>
      <c r="D2074" s="118" t="s">
        <v>488</v>
      </c>
      <c r="E2074" s="120" t="s">
        <v>4023</v>
      </c>
      <c r="F2074" s="125" t="s">
        <v>2108</v>
      </c>
      <c r="G2074" s="54"/>
      <c r="H2074" s="77">
        <f>STOCK[[#This Row],[Precio Final]]</f>
        <v>45</v>
      </c>
      <c r="I2074" s="82">
        <f>STOCK[[#This Row],[Precio Venta Ideal (x1.5)]]</f>
        <v>26.475</v>
      </c>
      <c r="J2074" s="121">
        <v>3</v>
      </c>
      <c r="K2074" s="80">
        <f>SUMIFS(VENTAS[Cantidad],VENTAS[Código del producto Vendido],STOCK[[#This Row],[Code]])</f>
        <v>0</v>
      </c>
      <c r="L2074" s="80">
        <f>STOCK[[#This Row],[Entradas]]-STOCK[[#This Row],[Salidas]]</f>
        <v>3</v>
      </c>
      <c r="M2074" s="77">
        <f>STOCK[[#This Row],[Precio Final]]*10%</f>
        <v>4.5</v>
      </c>
      <c r="N2074" s="54">
        <v>0</v>
      </c>
      <c r="O2074" s="77">
        <v>0</v>
      </c>
      <c r="P2074" s="54">
        <v>10.9</v>
      </c>
      <c r="Q2074" s="77">
        <v>0</v>
      </c>
      <c r="R2074" s="80">
        <v>0</v>
      </c>
      <c r="S2074" s="77">
        <v>2.25</v>
      </c>
      <c r="T2074" s="77">
        <f>STOCK[[#This Row],[Costo Unitario (USD)]]+STOCK[[#This Row],[Costo Envío (USD)]]+STOCK[[#This Row],[Comisión 10%]]</f>
        <v>17.65</v>
      </c>
      <c r="U2074" s="53">
        <f>STOCK[[#This Row],[Costo total]]*1.5</f>
        <v>26.475</v>
      </c>
      <c r="V2074" s="54">
        <v>45</v>
      </c>
      <c r="W2074" s="77">
        <f>STOCK[[#This Row],[Precio Final]]-STOCK[[#This Row],[Costo total]]</f>
        <v>27.35</v>
      </c>
      <c r="X2074" s="77">
        <f>STOCK[[#This Row],[Ganancia Unitaria]]*STOCK[[#This Row],[Salidas]]</f>
        <v>0</v>
      </c>
      <c r="Y2074" s="54"/>
      <c r="Z2074" s="122"/>
      <c r="AA2074" s="54"/>
      <c r="AB2074" s="54"/>
      <c r="AC2074" s="54"/>
      <c r="AD2074" s="98"/>
    </row>
    <row r="2075" s="53" customFormat="1" ht="50" customHeight="1" spans="1:30">
      <c r="A2075" s="99" t="s">
        <v>4024</v>
      </c>
      <c r="B2075" s="117"/>
      <c r="C2075" s="54"/>
      <c r="D2075" s="118" t="s">
        <v>392</v>
      </c>
      <c r="E2075" s="120" t="s">
        <v>4025</v>
      </c>
      <c r="F2075" s="125" t="s">
        <v>4015</v>
      </c>
      <c r="G2075" s="54"/>
      <c r="H2075" s="77">
        <f>STOCK[[#This Row],[Precio Final]]</f>
        <v>40</v>
      </c>
      <c r="I2075" s="82">
        <f>STOCK[[#This Row],[Precio Venta Ideal (x1.5)]]</f>
        <v>41.04</v>
      </c>
      <c r="J2075" s="121">
        <v>1</v>
      </c>
      <c r="K2075" s="80">
        <f>SUMIFS(VENTAS[Cantidad],VENTAS[Código del producto Vendido],STOCK[[#This Row],[Code]])</f>
        <v>0</v>
      </c>
      <c r="L2075" s="80">
        <f>STOCK[[#This Row],[Entradas]]-STOCK[[#This Row],[Salidas]]</f>
        <v>1</v>
      </c>
      <c r="M2075" s="77">
        <f>STOCK[[#This Row],[Precio Final]]*10%</f>
        <v>4</v>
      </c>
      <c r="N2075" s="54">
        <v>0</v>
      </c>
      <c r="O2075" s="77">
        <v>0</v>
      </c>
      <c r="P2075" s="54">
        <v>21.11</v>
      </c>
      <c r="Q2075" s="77">
        <v>0</v>
      </c>
      <c r="R2075" s="80">
        <v>0</v>
      </c>
      <c r="S2075" s="77">
        <v>2.25</v>
      </c>
      <c r="T2075" s="77">
        <f>STOCK[[#This Row],[Costo Unitario (USD)]]+STOCK[[#This Row],[Costo Envío (USD)]]+STOCK[[#This Row],[Comisión 10%]]</f>
        <v>27.36</v>
      </c>
      <c r="U2075" s="53">
        <f>STOCK[[#This Row],[Costo total]]*1.5</f>
        <v>41.04</v>
      </c>
      <c r="V2075" s="54">
        <v>40</v>
      </c>
      <c r="W2075" s="77">
        <f>STOCK[[#This Row],[Precio Final]]-STOCK[[#This Row],[Costo total]]</f>
        <v>12.64</v>
      </c>
      <c r="X2075" s="77">
        <f>STOCK[[#This Row],[Ganancia Unitaria]]*STOCK[[#This Row],[Salidas]]</f>
        <v>0</v>
      </c>
      <c r="Y2075" s="54"/>
      <c r="Z2075" s="122"/>
      <c r="AA2075" s="54"/>
      <c r="AB2075" s="54"/>
      <c r="AC2075" s="54"/>
      <c r="AD2075" s="98"/>
    </row>
    <row r="2076" s="53" customFormat="1" ht="50" customHeight="1" spans="1:30">
      <c r="A2076" s="99" t="s">
        <v>4026</v>
      </c>
      <c r="B2076" s="117"/>
      <c r="C2076" s="54"/>
      <c r="D2076" s="118" t="s">
        <v>44</v>
      </c>
      <c r="E2076" s="120" t="s">
        <v>4027</v>
      </c>
      <c r="F2076" s="125" t="s">
        <v>62</v>
      </c>
      <c r="G2076" s="54"/>
      <c r="H2076" s="77">
        <f>STOCK[[#This Row],[Precio Final]]</f>
        <v>30</v>
      </c>
      <c r="I2076" s="82">
        <f>STOCK[[#This Row],[Precio Venta Ideal (x1.5)]]</f>
        <v>25.575</v>
      </c>
      <c r="J2076" s="121">
        <v>2</v>
      </c>
      <c r="K2076" s="80">
        <f>SUMIFS(VENTAS[Cantidad],VENTAS[Código del producto Vendido],STOCK[[#This Row],[Code]])</f>
        <v>0</v>
      </c>
      <c r="L2076" s="80">
        <f>STOCK[[#This Row],[Entradas]]-STOCK[[#This Row],[Salidas]]</f>
        <v>2</v>
      </c>
      <c r="M2076" s="77">
        <f>STOCK[[#This Row],[Precio Final]]*10%</f>
        <v>3</v>
      </c>
      <c r="N2076" s="54">
        <v>0</v>
      </c>
      <c r="O2076" s="77">
        <v>0</v>
      </c>
      <c r="P2076" s="54">
        <v>9.05</v>
      </c>
      <c r="Q2076" s="77">
        <v>0</v>
      </c>
      <c r="R2076" s="80">
        <v>0</v>
      </c>
      <c r="S2076" s="54">
        <v>5</v>
      </c>
      <c r="T2076" s="77">
        <f>STOCK[[#This Row],[Costo Unitario (USD)]]+STOCK[[#This Row],[Costo Envío (USD)]]+STOCK[[#This Row],[Comisión 10%]]</f>
        <v>17.05</v>
      </c>
      <c r="U2076" s="53">
        <f>STOCK[[#This Row],[Costo total]]*1.5</f>
        <v>25.575</v>
      </c>
      <c r="V2076" s="54">
        <v>30</v>
      </c>
      <c r="W2076" s="77">
        <f>STOCK[[#This Row],[Precio Final]]-STOCK[[#This Row],[Costo total]]</f>
        <v>12.95</v>
      </c>
      <c r="X2076" s="77">
        <f>STOCK[[#This Row],[Ganancia Unitaria]]*STOCK[[#This Row],[Salidas]]</f>
        <v>0</v>
      </c>
      <c r="Y2076" s="54"/>
      <c r="Z2076" s="122"/>
      <c r="AA2076" s="54"/>
      <c r="AB2076" s="54"/>
      <c r="AC2076" s="54"/>
      <c r="AD2076" s="98"/>
    </row>
    <row r="2077" s="53" customFormat="1" ht="50" customHeight="1" spans="1:30">
      <c r="A2077" s="99" t="s">
        <v>4028</v>
      </c>
      <c r="B2077" s="117"/>
      <c r="C2077" s="54"/>
      <c r="D2077" s="118" t="s">
        <v>44</v>
      </c>
      <c r="E2077" s="120" t="s">
        <v>4027</v>
      </c>
      <c r="F2077" s="125" t="s">
        <v>49</v>
      </c>
      <c r="G2077" s="54"/>
      <c r="H2077" s="77">
        <f>STOCK[[#This Row],[Precio Final]]</f>
        <v>30</v>
      </c>
      <c r="I2077" s="82">
        <f>STOCK[[#This Row],[Precio Venta Ideal (x1.5)]]</f>
        <v>25.575</v>
      </c>
      <c r="J2077" s="121">
        <v>2</v>
      </c>
      <c r="K2077" s="80">
        <f>SUMIFS(VENTAS[Cantidad],VENTAS[Código del producto Vendido],STOCK[[#This Row],[Code]])</f>
        <v>0</v>
      </c>
      <c r="L2077" s="80">
        <f>STOCK[[#This Row],[Entradas]]-STOCK[[#This Row],[Salidas]]</f>
        <v>2</v>
      </c>
      <c r="M2077" s="77">
        <f>STOCK[[#This Row],[Precio Final]]*10%</f>
        <v>3</v>
      </c>
      <c r="N2077" s="54">
        <v>0</v>
      </c>
      <c r="O2077" s="77">
        <v>0</v>
      </c>
      <c r="P2077" s="54">
        <v>9.05</v>
      </c>
      <c r="Q2077" s="77">
        <v>0</v>
      </c>
      <c r="R2077" s="80">
        <v>0</v>
      </c>
      <c r="S2077" s="54">
        <v>5</v>
      </c>
      <c r="T2077" s="77">
        <f>STOCK[[#This Row],[Costo Unitario (USD)]]+STOCK[[#This Row],[Costo Envío (USD)]]+STOCK[[#This Row],[Comisión 10%]]</f>
        <v>17.05</v>
      </c>
      <c r="U2077" s="53">
        <f>STOCK[[#This Row],[Costo total]]*1.5</f>
        <v>25.575</v>
      </c>
      <c r="V2077" s="54">
        <v>30</v>
      </c>
      <c r="W2077" s="77">
        <f>STOCK[[#This Row],[Precio Final]]-STOCK[[#This Row],[Costo total]]</f>
        <v>12.95</v>
      </c>
      <c r="X2077" s="77">
        <f>STOCK[[#This Row],[Ganancia Unitaria]]*STOCK[[#This Row],[Salidas]]</f>
        <v>0</v>
      </c>
      <c r="Y2077" s="54"/>
      <c r="Z2077" s="122"/>
      <c r="AA2077" s="54"/>
      <c r="AB2077" s="54"/>
      <c r="AC2077" s="54"/>
      <c r="AD2077" s="98"/>
    </row>
    <row r="2078" s="53" customFormat="1" ht="50" customHeight="1" spans="1:30">
      <c r="A2078" s="99" t="s">
        <v>4029</v>
      </c>
      <c r="B2078" s="117"/>
      <c r="C2078" s="54"/>
      <c r="D2078" s="118" t="s">
        <v>44</v>
      </c>
      <c r="E2078" s="120" t="s">
        <v>4027</v>
      </c>
      <c r="F2078" s="125" t="s">
        <v>46</v>
      </c>
      <c r="G2078" s="54"/>
      <c r="H2078" s="77">
        <f>STOCK[[#This Row],[Precio Final]]</f>
        <v>30</v>
      </c>
      <c r="I2078" s="82">
        <f>STOCK[[#This Row],[Precio Venta Ideal (x1.5)]]</f>
        <v>25.575</v>
      </c>
      <c r="J2078" s="121">
        <v>3</v>
      </c>
      <c r="K2078" s="80">
        <f>SUMIFS(VENTAS[Cantidad],VENTAS[Código del producto Vendido],STOCK[[#This Row],[Code]])</f>
        <v>0</v>
      </c>
      <c r="L2078" s="80">
        <f>STOCK[[#This Row],[Entradas]]-STOCK[[#This Row],[Salidas]]</f>
        <v>3</v>
      </c>
      <c r="M2078" s="77">
        <f>STOCK[[#This Row],[Precio Final]]*10%</f>
        <v>3</v>
      </c>
      <c r="N2078" s="54">
        <v>0</v>
      </c>
      <c r="O2078" s="77">
        <v>0</v>
      </c>
      <c r="P2078" s="54">
        <v>9.05</v>
      </c>
      <c r="Q2078" s="77">
        <v>0</v>
      </c>
      <c r="R2078" s="80">
        <v>0</v>
      </c>
      <c r="S2078" s="54">
        <v>5</v>
      </c>
      <c r="T2078" s="77">
        <f>STOCK[[#This Row],[Costo Unitario (USD)]]+STOCK[[#This Row],[Costo Envío (USD)]]+STOCK[[#This Row],[Comisión 10%]]</f>
        <v>17.05</v>
      </c>
      <c r="U2078" s="53">
        <f>STOCK[[#This Row],[Costo total]]*1.5</f>
        <v>25.575</v>
      </c>
      <c r="V2078" s="54">
        <v>30</v>
      </c>
      <c r="W2078" s="77">
        <f>STOCK[[#This Row],[Precio Final]]-STOCK[[#This Row],[Costo total]]</f>
        <v>12.95</v>
      </c>
      <c r="X2078" s="77">
        <f>STOCK[[#This Row],[Ganancia Unitaria]]*STOCK[[#This Row],[Salidas]]</f>
        <v>0</v>
      </c>
      <c r="Y2078" s="54"/>
      <c r="Z2078" s="122"/>
      <c r="AA2078" s="54"/>
      <c r="AB2078" s="54"/>
      <c r="AC2078" s="54"/>
      <c r="AD2078" s="98"/>
    </row>
    <row r="2079" s="53" customFormat="1" ht="50" customHeight="1" spans="1:30">
      <c r="A2079" s="99" t="s">
        <v>4030</v>
      </c>
      <c r="B2079" s="117"/>
      <c r="C2079" s="54"/>
      <c r="D2079" s="118" t="s">
        <v>515</v>
      </c>
      <c r="E2079" s="120" t="s">
        <v>4031</v>
      </c>
      <c r="F2079" s="125" t="s">
        <v>766</v>
      </c>
      <c r="G2079" s="54"/>
      <c r="H2079" s="77">
        <f>STOCK[[#This Row],[Precio Final]]</f>
        <v>40</v>
      </c>
      <c r="I2079" s="82">
        <f>STOCK[[#This Row],[Precio Venta Ideal (x1.5)]]</f>
        <v>35.715</v>
      </c>
      <c r="J2079" s="121">
        <v>2</v>
      </c>
      <c r="K2079" s="80">
        <f>SUMIFS(VENTAS[Cantidad],VENTAS[Código del producto Vendido],STOCK[[#This Row],[Code]])</f>
        <v>0</v>
      </c>
      <c r="L2079" s="80">
        <f>STOCK[[#This Row],[Entradas]]-STOCK[[#This Row],[Salidas]]</f>
        <v>2</v>
      </c>
      <c r="M2079" s="77">
        <f>STOCK[[#This Row],[Precio Final]]*10%</f>
        <v>4</v>
      </c>
      <c r="N2079" s="54">
        <v>0</v>
      </c>
      <c r="O2079" s="77">
        <v>0</v>
      </c>
      <c r="P2079" s="54">
        <v>14.81</v>
      </c>
      <c r="Q2079" s="54"/>
      <c r="R2079" s="72"/>
      <c r="S2079" s="54">
        <v>5</v>
      </c>
      <c r="T2079" s="77">
        <f>STOCK[[#This Row],[Costo Unitario (USD)]]+STOCK[[#This Row],[Costo Envío (USD)]]+STOCK[[#This Row],[Comisión 10%]]</f>
        <v>23.81</v>
      </c>
      <c r="U2079" s="53">
        <f>STOCK[[#This Row],[Costo total]]*1.5</f>
        <v>35.715</v>
      </c>
      <c r="V2079" s="54">
        <v>40</v>
      </c>
      <c r="W2079" s="77">
        <f>STOCK[[#This Row],[Precio Final]]-STOCK[[#This Row],[Costo total]]</f>
        <v>16.19</v>
      </c>
      <c r="X2079" s="77">
        <f>STOCK[[#This Row],[Ganancia Unitaria]]*STOCK[[#This Row],[Salidas]]</f>
        <v>0</v>
      </c>
      <c r="Y2079" s="54"/>
      <c r="Z2079" s="122"/>
      <c r="AA2079" s="54"/>
      <c r="AB2079" s="54"/>
      <c r="AC2079" s="54"/>
      <c r="AD2079" s="98"/>
    </row>
    <row r="2080" s="53" customFormat="1" ht="50" customHeight="1" spans="1:30">
      <c r="A2080" s="99" t="s">
        <v>4032</v>
      </c>
      <c r="B2080" s="117"/>
      <c r="C2080" s="54"/>
      <c r="D2080" s="118" t="s">
        <v>515</v>
      </c>
      <c r="E2080" s="120" t="s">
        <v>4031</v>
      </c>
      <c r="F2080" s="125" t="s">
        <v>540</v>
      </c>
      <c r="G2080" s="54"/>
      <c r="H2080" s="77">
        <f>STOCK[[#This Row],[Precio Final]]</f>
        <v>40</v>
      </c>
      <c r="I2080" s="82">
        <f>STOCK[[#This Row],[Precio Venta Ideal (x1.5)]]</f>
        <v>35.715</v>
      </c>
      <c r="J2080" s="121">
        <v>2</v>
      </c>
      <c r="K2080" s="80">
        <f>SUMIFS(VENTAS[Cantidad],VENTAS[Código del producto Vendido],STOCK[[#This Row],[Code]])</f>
        <v>0</v>
      </c>
      <c r="L2080" s="80">
        <f>STOCK[[#This Row],[Entradas]]-STOCK[[#This Row],[Salidas]]</f>
        <v>2</v>
      </c>
      <c r="M2080" s="77">
        <f>STOCK[[#This Row],[Precio Final]]*10%</f>
        <v>4</v>
      </c>
      <c r="N2080" s="54">
        <v>0</v>
      </c>
      <c r="O2080" s="77">
        <v>0</v>
      </c>
      <c r="P2080" s="54">
        <v>14.81</v>
      </c>
      <c r="Q2080" s="54"/>
      <c r="R2080" s="72"/>
      <c r="S2080" s="54">
        <v>5</v>
      </c>
      <c r="T2080" s="77">
        <f>STOCK[[#This Row],[Costo Unitario (USD)]]+STOCK[[#This Row],[Costo Envío (USD)]]+STOCK[[#This Row],[Comisión 10%]]</f>
        <v>23.81</v>
      </c>
      <c r="U2080" s="53">
        <f>STOCK[[#This Row],[Costo total]]*1.5</f>
        <v>35.715</v>
      </c>
      <c r="V2080" s="54">
        <v>40</v>
      </c>
      <c r="W2080" s="77">
        <f>STOCK[[#This Row],[Precio Final]]-STOCK[[#This Row],[Costo total]]</f>
        <v>16.19</v>
      </c>
      <c r="X2080" s="77">
        <f>STOCK[[#This Row],[Ganancia Unitaria]]*STOCK[[#This Row],[Salidas]]</f>
        <v>0</v>
      </c>
      <c r="Y2080" s="54"/>
      <c r="Z2080" s="122"/>
      <c r="AA2080" s="54"/>
      <c r="AB2080" s="54"/>
      <c r="AC2080" s="54"/>
      <c r="AD2080" s="98"/>
    </row>
    <row r="2081" s="53" customFormat="1" ht="50" customHeight="1" spans="1:30">
      <c r="A2081" s="99" t="s">
        <v>4033</v>
      </c>
      <c r="B2081" s="117"/>
      <c r="C2081" s="54"/>
      <c r="D2081" s="118" t="s">
        <v>515</v>
      </c>
      <c r="E2081" s="120" t="s">
        <v>4031</v>
      </c>
      <c r="F2081" s="125" t="s">
        <v>759</v>
      </c>
      <c r="G2081" s="54"/>
      <c r="H2081" s="77">
        <f>STOCK[[#This Row],[Precio Final]]</f>
        <v>35</v>
      </c>
      <c r="I2081" s="82">
        <f>STOCK[[#This Row],[Precio Venta Ideal (x1.5)]]</f>
        <v>34.965</v>
      </c>
      <c r="J2081" s="121">
        <v>2</v>
      </c>
      <c r="K2081" s="80">
        <f>SUMIFS(VENTAS[Cantidad],VENTAS[Código del producto Vendido],STOCK[[#This Row],[Code]])</f>
        <v>0</v>
      </c>
      <c r="L2081" s="80">
        <f>STOCK[[#This Row],[Entradas]]-STOCK[[#This Row],[Salidas]]</f>
        <v>2</v>
      </c>
      <c r="M2081" s="77">
        <f>STOCK[[#This Row],[Precio Final]]*10%</f>
        <v>3.5</v>
      </c>
      <c r="N2081" s="54">
        <v>0</v>
      </c>
      <c r="O2081" s="77">
        <v>0</v>
      </c>
      <c r="P2081" s="54">
        <v>14.81</v>
      </c>
      <c r="Q2081" s="54"/>
      <c r="R2081" s="72"/>
      <c r="S2081" s="54">
        <v>5</v>
      </c>
      <c r="T2081" s="77">
        <f>STOCK[[#This Row],[Costo Unitario (USD)]]+STOCK[[#This Row],[Costo Envío (USD)]]+STOCK[[#This Row],[Comisión 10%]]</f>
        <v>23.31</v>
      </c>
      <c r="U2081" s="53">
        <f>STOCK[[#This Row],[Costo total]]*1.5</f>
        <v>34.965</v>
      </c>
      <c r="V2081" s="54">
        <v>35</v>
      </c>
      <c r="W2081" s="77">
        <f>STOCK[[#This Row],[Precio Final]]-STOCK[[#This Row],[Costo total]]</f>
        <v>11.69</v>
      </c>
      <c r="X2081" s="77">
        <f>STOCK[[#This Row],[Ganancia Unitaria]]*STOCK[[#This Row],[Salidas]]</f>
        <v>0</v>
      </c>
      <c r="Y2081" s="54"/>
      <c r="Z2081" s="122"/>
      <c r="AA2081" s="54"/>
      <c r="AB2081" s="54"/>
      <c r="AC2081" s="54"/>
      <c r="AD2081" s="98"/>
    </row>
    <row r="2082" s="53" customFormat="1" ht="50" customHeight="1" spans="1:30">
      <c r="A2082" s="99" t="s">
        <v>4034</v>
      </c>
      <c r="B2082" s="117"/>
      <c r="C2082" s="54"/>
      <c r="D2082" s="118" t="s">
        <v>392</v>
      </c>
      <c r="E2082" s="120"/>
      <c r="F2082" s="125"/>
      <c r="G2082" s="54"/>
      <c r="H2082" s="77">
        <f>STOCK[[#This Row],[Precio Final]]</f>
        <v>0</v>
      </c>
      <c r="I2082" s="82">
        <f>STOCK[[#This Row],[Precio Venta Ideal (x1.5)]]</f>
        <v>0</v>
      </c>
      <c r="J2082" s="121">
        <v>1</v>
      </c>
      <c r="K2082" s="80">
        <f>SUMIFS(VENTAS[Cantidad],VENTAS[Código del producto Vendido],STOCK[[#This Row],[Code]])</f>
        <v>0</v>
      </c>
      <c r="L2082" s="80">
        <f>STOCK[[#This Row],[Entradas]]-STOCK[[#This Row],[Salidas]]</f>
        <v>1</v>
      </c>
      <c r="M2082" s="54"/>
      <c r="N2082" s="54">
        <v>0</v>
      </c>
      <c r="O2082" s="77">
        <v>0</v>
      </c>
      <c r="P2082" s="54"/>
      <c r="Q2082" s="54"/>
      <c r="R2082" s="72"/>
      <c r="S2082" s="54"/>
      <c r="T2082" s="54"/>
      <c r="U2082" s="54"/>
      <c r="V2082" s="54"/>
      <c r="W2082" s="54"/>
      <c r="X2082" s="54"/>
      <c r="Y2082" s="54"/>
      <c r="Z2082" s="122"/>
      <c r="AA2082" s="54"/>
      <c r="AB2082" s="54"/>
      <c r="AC2082" s="54"/>
      <c r="AD2082" s="98"/>
    </row>
    <row r="2083" s="53" customFormat="1" ht="50" customHeight="1" spans="1:30">
      <c r="A2083" s="99" t="s">
        <v>4035</v>
      </c>
      <c r="B2083" s="117"/>
      <c r="C2083" s="54"/>
      <c r="D2083" s="118" t="s">
        <v>392</v>
      </c>
      <c r="E2083" s="120"/>
      <c r="F2083" s="125"/>
      <c r="G2083" s="54"/>
      <c r="H2083" s="77">
        <f>STOCK[[#This Row],[Precio Final]]</f>
        <v>0</v>
      </c>
      <c r="I2083" s="82">
        <f>STOCK[[#This Row],[Precio Venta Ideal (x1.5)]]</f>
        <v>0</v>
      </c>
      <c r="J2083" s="121">
        <v>1</v>
      </c>
      <c r="K2083" s="80">
        <f>SUMIFS(VENTAS[Cantidad],VENTAS[Código del producto Vendido],STOCK[[#This Row],[Code]])</f>
        <v>0</v>
      </c>
      <c r="L2083" s="80">
        <f>STOCK[[#This Row],[Entradas]]-STOCK[[#This Row],[Salidas]]</f>
        <v>1</v>
      </c>
      <c r="M2083" s="54"/>
      <c r="N2083" s="54">
        <v>0</v>
      </c>
      <c r="O2083" s="77">
        <v>0</v>
      </c>
      <c r="P2083" s="54"/>
      <c r="Q2083" s="54"/>
      <c r="R2083" s="72"/>
      <c r="S2083" s="54"/>
      <c r="T2083" s="54"/>
      <c r="U2083" s="54"/>
      <c r="V2083" s="54"/>
      <c r="W2083" s="54"/>
      <c r="X2083" s="54"/>
      <c r="Y2083" s="54"/>
      <c r="Z2083" s="122"/>
      <c r="AA2083" s="54"/>
      <c r="AB2083" s="54"/>
      <c r="AC2083" s="54"/>
      <c r="AD2083" s="98"/>
    </row>
    <row r="2084" s="53" customFormat="1" ht="50" customHeight="1" spans="1:30">
      <c r="A2084" s="99" t="s">
        <v>4036</v>
      </c>
      <c r="B2084" s="117"/>
      <c r="C2084" s="54"/>
      <c r="D2084" s="118" t="s">
        <v>392</v>
      </c>
      <c r="E2084" s="120"/>
      <c r="F2084" s="125"/>
      <c r="G2084" s="54"/>
      <c r="H2084" s="77">
        <f>STOCK[[#This Row],[Precio Final]]</f>
        <v>0</v>
      </c>
      <c r="I2084" s="82">
        <f>STOCK[[#This Row],[Precio Venta Ideal (x1.5)]]</f>
        <v>0</v>
      </c>
      <c r="J2084" s="121">
        <v>1</v>
      </c>
      <c r="K2084" s="80">
        <f>SUMIFS(VENTAS[Cantidad],VENTAS[Código del producto Vendido],STOCK[[#This Row],[Code]])</f>
        <v>0</v>
      </c>
      <c r="L2084" s="80">
        <f>STOCK[[#This Row],[Entradas]]-STOCK[[#This Row],[Salidas]]</f>
        <v>1</v>
      </c>
      <c r="M2084" s="54"/>
      <c r="N2084" s="54">
        <v>0</v>
      </c>
      <c r="O2084" s="77">
        <v>0</v>
      </c>
      <c r="P2084" s="54"/>
      <c r="Q2084" s="54"/>
      <c r="R2084" s="72"/>
      <c r="S2084" s="54"/>
      <c r="T2084" s="54"/>
      <c r="U2084" s="54"/>
      <c r="V2084" s="54"/>
      <c r="W2084" s="54"/>
      <c r="X2084" s="54"/>
      <c r="Y2084" s="54"/>
      <c r="Z2084" s="122"/>
      <c r="AA2084" s="54"/>
      <c r="AB2084" s="54"/>
      <c r="AC2084" s="54"/>
      <c r="AD2084" s="98"/>
    </row>
    <row r="2085" s="53" customFormat="1" ht="50" customHeight="1" spans="1:30">
      <c r="A2085" s="99" t="s">
        <v>4037</v>
      </c>
      <c r="B2085" s="117"/>
      <c r="C2085" s="54"/>
      <c r="D2085" s="118" t="s">
        <v>392</v>
      </c>
      <c r="E2085" s="120"/>
      <c r="F2085" s="125"/>
      <c r="G2085" s="54"/>
      <c r="H2085" s="77">
        <f>STOCK[[#This Row],[Precio Final]]</f>
        <v>0</v>
      </c>
      <c r="I2085" s="82">
        <f>STOCK[[#This Row],[Precio Venta Ideal (x1.5)]]</f>
        <v>0</v>
      </c>
      <c r="J2085" s="121">
        <v>1</v>
      </c>
      <c r="K2085" s="80">
        <f>SUMIFS(VENTAS[Cantidad],VENTAS[Código del producto Vendido],STOCK[[#This Row],[Code]])</f>
        <v>0</v>
      </c>
      <c r="L2085" s="80">
        <f>STOCK[[#This Row],[Entradas]]-STOCK[[#This Row],[Salidas]]</f>
        <v>1</v>
      </c>
      <c r="M2085" s="54"/>
      <c r="N2085" s="54"/>
      <c r="O2085" s="54"/>
      <c r="P2085" s="54"/>
      <c r="Q2085" s="54"/>
      <c r="R2085" s="72"/>
      <c r="S2085" s="54"/>
      <c r="T2085" s="54"/>
      <c r="U2085" s="54"/>
      <c r="V2085" s="54"/>
      <c r="W2085" s="54"/>
      <c r="X2085" s="54"/>
      <c r="Y2085" s="54"/>
      <c r="Z2085" s="122"/>
      <c r="AA2085" s="54"/>
      <c r="AB2085" s="54"/>
      <c r="AC2085" s="54"/>
      <c r="AD2085" s="98"/>
    </row>
    <row r="2086" s="53" customFormat="1" ht="50" customHeight="1" spans="1:30">
      <c r="A2086" s="99" t="s">
        <v>4038</v>
      </c>
      <c r="B2086" s="117"/>
      <c r="C2086" s="54"/>
      <c r="D2086" s="118" t="s">
        <v>392</v>
      </c>
      <c r="E2086" s="120"/>
      <c r="F2086" s="125"/>
      <c r="G2086" s="54"/>
      <c r="H2086" s="77">
        <f>STOCK[[#This Row],[Precio Final]]</f>
        <v>0</v>
      </c>
      <c r="I2086" s="82">
        <f>STOCK[[#This Row],[Precio Venta Ideal (x1.5)]]</f>
        <v>0</v>
      </c>
      <c r="J2086" s="121">
        <v>1</v>
      </c>
      <c r="K2086" s="80">
        <f>SUMIFS(VENTAS[Cantidad],VENTAS[Código del producto Vendido],STOCK[[#This Row],[Code]])</f>
        <v>0</v>
      </c>
      <c r="L2086" s="80">
        <f>STOCK[[#This Row],[Entradas]]-STOCK[[#This Row],[Salidas]]</f>
        <v>1</v>
      </c>
      <c r="M2086" s="54"/>
      <c r="N2086" s="54"/>
      <c r="O2086" s="54"/>
      <c r="P2086" s="54"/>
      <c r="Q2086" s="54"/>
      <c r="R2086" s="72"/>
      <c r="S2086" s="54"/>
      <c r="T2086" s="54"/>
      <c r="U2086" s="54"/>
      <c r="V2086" s="54"/>
      <c r="W2086" s="54"/>
      <c r="X2086" s="54"/>
      <c r="Y2086" s="54"/>
      <c r="Z2086" s="122"/>
      <c r="AA2086" s="54"/>
      <c r="AB2086" s="54"/>
      <c r="AC2086" s="54"/>
      <c r="AD2086" s="98"/>
    </row>
    <row r="2087" s="53" customFormat="1" ht="50" customHeight="1" spans="1:30">
      <c r="A2087" s="99" t="s">
        <v>4039</v>
      </c>
      <c r="B2087" s="117"/>
      <c r="C2087" s="54"/>
      <c r="D2087" s="118" t="s">
        <v>392</v>
      </c>
      <c r="E2087" s="120"/>
      <c r="F2087" s="125"/>
      <c r="G2087" s="54"/>
      <c r="H2087" s="77">
        <f>STOCK[[#This Row],[Precio Final]]</f>
        <v>0</v>
      </c>
      <c r="I2087" s="82">
        <f>STOCK[[#This Row],[Precio Venta Ideal (x1.5)]]</f>
        <v>0</v>
      </c>
      <c r="J2087" s="121">
        <v>1</v>
      </c>
      <c r="K2087" s="80">
        <f>SUMIFS(VENTAS[Cantidad],VENTAS[Código del producto Vendido],STOCK[[#This Row],[Code]])</f>
        <v>0</v>
      </c>
      <c r="L2087" s="127">
        <f>STOCK[[#This Row],[Entradas]]-STOCK[[#This Row],[Salidas]]</f>
        <v>1</v>
      </c>
      <c r="M2087" s="54"/>
      <c r="N2087" s="54"/>
      <c r="O2087" s="54"/>
      <c r="P2087" s="54"/>
      <c r="Q2087" s="54"/>
      <c r="R2087" s="72"/>
      <c r="S2087" s="54"/>
      <c r="T2087" s="54"/>
      <c r="U2087" s="54"/>
      <c r="V2087" s="54"/>
      <c r="W2087" s="54"/>
      <c r="X2087" s="54"/>
      <c r="Y2087" s="54"/>
      <c r="Z2087" s="122"/>
      <c r="AA2087" s="54"/>
      <c r="AB2087" s="54"/>
      <c r="AC2087" s="54"/>
      <c r="AD2087" s="98"/>
    </row>
    <row r="2088" s="53" customFormat="1" ht="50" customHeight="1" spans="1:30">
      <c r="A2088" s="99" t="s">
        <v>4040</v>
      </c>
      <c r="B2088" s="117"/>
      <c r="C2088" s="54"/>
      <c r="D2088" s="118" t="s">
        <v>392</v>
      </c>
      <c r="E2088" s="120"/>
      <c r="F2088" s="125"/>
      <c r="G2088" s="54"/>
      <c r="H2088" s="77">
        <f>STOCK[[#This Row],[Precio Final]]</f>
        <v>0</v>
      </c>
      <c r="I2088" s="82">
        <f>STOCK[[#This Row],[Precio Venta Ideal (x1.5)]]</f>
        <v>0</v>
      </c>
      <c r="J2088" s="121">
        <v>1</v>
      </c>
      <c r="K2088" s="80">
        <f>SUMIFS(VENTAS[Cantidad],VENTAS[Código del producto Vendido],STOCK[[#This Row],[Code]])</f>
        <v>0</v>
      </c>
      <c r="L2088" s="127">
        <f>STOCK[[#This Row],[Entradas]]-STOCK[[#This Row],[Salidas]]</f>
        <v>1</v>
      </c>
      <c r="M2088" s="54"/>
      <c r="N2088" s="54"/>
      <c r="O2088" s="54"/>
      <c r="P2088" s="54"/>
      <c r="Q2088" s="54"/>
      <c r="R2088" s="72"/>
      <c r="S2088" s="54"/>
      <c r="T2088" s="54"/>
      <c r="U2088" s="54"/>
      <c r="V2088" s="54"/>
      <c r="W2088" s="54"/>
      <c r="X2088" s="54"/>
      <c r="Y2088" s="54"/>
      <c r="Z2088" s="122"/>
      <c r="AA2088" s="54"/>
      <c r="AB2088" s="54"/>
      <c r="AC2088" s="54"/>
      <c r="AD2088" s="98"/>
    </row>
    <row r="2089" s="53" customFormat="1" ht="50" customHeight="1" spans="1:30">
      <c r="A2089" s="99" t="s">
        <v>4041</v>
      </c>
      <c r="B2089" s="117"/>
      <c r="C2089" s="54"/>
      <c r="D2089" s="118" t="s">
        <v>392</v>
      </c>
      <c r="E2089" s="120"/>
      <c r="F2089" s="125"/>
      <c r="G2089" s="54"/>
      <c r="H2089" s="77">
        <f>STOCK[[#This Row],[Precio Final]]</f>
        <v>0</v>
      </c>
      <c r="I2089" s="82">
        <f>STOCK[[#This Row],[Precio Venta Ideal (x1.5)]]</f>
        <v>0</v>
      </c>
      <c r="J2089" s="121">
        <v>1</v>
      </c>
      <c r="K2089" s="80">
        <f>SUMIFS(VENTAS[Cantidad],VENTAS[Código del producto Vendido],STOCK[[#This Row],[Code]])</f>
        <v>0</v>
      </c>
      <c r="L2089" s="127">
        <f>STOCK[[#This Row],[Entradas]]-STOCK[[#This Row],[Salidas]]</f>
        <v>1</v>
      </c>
      <c r="M2089" s="54"/>
      <c r="N2089" s="54"/>
      <c r="O2089" s="54"/>
      <c r="P2089" s="54"/>
      <c r="Q2089" s="54"/>
      <c r="R2089" s="72"/>
      <c r="S2089" s="54"/>
      <c r="T2089" s="54"/>
      <c r="U2089" s="54"/>
      <c r="V2089" s="54"/>
      <c r="W2089" s="54"/>
      <c r="X2089" s="54"/>
      <c r="Y2089" s="54"/>
      <c r="Z2089" s="122"/>
      <c r="AA2089" s="54"/>
      <c r="AB2089" s="54"/>
      <c r="AC2089" s="54"/>
      <c r="AD2089" s="98"/>
    </row>
    <row r="2090" s="53" customFormat="1" ht="50" customHeight="1" spans="1:30">
      <c r="A2090" s="54"/>
      <c r="B2090" s="117"/>
      <c r="C2090" s="54"/>
      <c r="D2090" s="118"/>
      <c r="E2090" s="120"/>
      <c r="F2090" s="125"/>
      <c r="G2090" s="54"/>
      <c r="H2090" s="54"/>
      <c r="I2090" s="128"/>
      <c r="J2090" s="121"/>
      <c r="K2090" s="72"/>
      <c r="L2090" s="72"/>
      <c r="M2090" s="54"/>
      <c r="N2090" s="54"/>
      <c r="O2090" s="54"/>
      <c r="P2090" s="54"/>
      <c r="Q2090" s="54"/>
      <c r="R2090" s="72"/>
      <c r="S2090" s="54"/>
      <c r="T2090" s="54"/>
      <c r="U2090" s="54"/>
      <c r="V2090" s="54"/>
      <c r="W2090" s="54"/>
      <c r="X2090" s="54"/>
      <c r="Y2090" s="54"/>
      <c r="Z2090" s="122"/>
      <c r="AA2090" s="54"/>
      <c r="AB2090" s="54"/>
      <c r="AC2090" s="54"/>
      <c r="AD2090" s="98"/>
    </row>
    <row r="2091" s="53" customFormat="1" ht="50" customHeight="1" spans="1:30">
      <c r="A2091" s="54"/>
      <c r="B2091" s="117"/>
      <c r="C2091" s="54"/>
      <c r="D2091" s="118"/>
      <c r="E2091" s="120"/>
      <c r="F2091" s="125"/>
      <c r="G2091" s="54"/>
      <c r="H2091" s="54"/>
      <c r="I2091" s="128"/>
      <c r="J2091" s="121"/>
      <c r="K2091" s="72"/>
      <c r="L2091" s="72"/>
      <c r="M2091" s="54"/>
      <c r="N2091" s="54"/>
      <c r="O2091" s="54"/>
      <c r="P2091" s="54"/>
      <c r="Q2091" s="54"/>
      <c r="R2091" s="72"/>
      <c r="S2091" s="54"/>
      <c r="T2091" s="54"/>
      <c r="U2091" s="54"/>
      <c r="V2091" s="54"/>
      <c r="W2091" s="54"/>
      <c r="X2091" s="54"/>
      <c r="Y2091" s="54"/>
      <c r="Z2091" s="122"/>
      <c r="AA2091" s="54"/>
      <c r="AB2091" s="54"/>
      <c r="AC2091" s="54"/>
      <c r="AD2091" s="98"/>
    </row>
    <row r="2092" s="53" customFormat="1" ht="50" customHeight="1" spans="1:30">
      <c r="A2092" s="54"/>
      <c r="B2092" s="117"/>
      <c r="C2092" s="54"/>
      <c r="D2092" s="118"/>
      <c r="E2092" s="120"/>
      <c r="F2092" s="125"/>
      <c r="G2092" s="54"/>
      <c r="H2092" s="54"/>
      <c r="I2092" s="128"/>
      <c r="J2092" s="121"/>
      <c r="K2092" s="72"/>
      <c r="L2092" s="72"/>
      <c r="M2092" s="54"/>
      <c r="N2092" s="54"/>
      <c r="O2092" s="54"/>
      <c r="P2092" s="54"/>
      <c r="Q2092" s="54"/>
      <c r="R2092" s="72"/>
      <c r="S2092" s="54"/>
      <c r="T2092" s="54"/>
      <c r="U2092" s="54"/>
      <c r="V2092" s="54"/>
      <c r="W2092" s="54"/>
      <c r="X2092" s="54"/>
      <c r="Y2092" s="54"/>
      <c r="Z2092" s="122"/>
      <c r="AA2092" s="54"/>
      <c r="AB2092" s="54"/>
      <c r="AC2092" s="54"/>
      <c r="AD2092" s="98"/>
    </row>
    <row r="2093" s="53" customFormat="1" ht="50" customHeight="1" spans="1:30">
      <c r="A2093" s="54"/>
      <c r="B2093" s="117"/>
      <c r="C2093" s="54"/>
      <c r="D2093" s="118"/>
      <c r="E2093" s="120"/>
      <c r="F2093" s="125"/>
      <c r="G2093" s="54"/>
      <c r="H2093" s="54"/>
      <c r="I2093" s="128"/>
      <c r="J2093" s="121"/>
      <c r="K2093" s="72"/>
      <c r="L2093" s="72"/>
      <c r="M2093" s="54"/>
      <c r="N2093" s="54"/>
      <c r="O2093" s="54"/>
      <c r="P2093" s="54"/>
      <c r="Q2093" s="54"/>
      <c r="R2093" s="72"/>
      <c r="S2093" s="54"/>
      <c r="T2093" s="54"/>
      <c r="U2093" s="54"/>
      <c r="V2093" s="54"/>
      <c r="W2093" s="54"/>
      <c r="X2093" s="54"/>
      <c r="Y2093" s="54"/>
      <c r="Z2093" s="122"/>
      <c r="AA2093" s="54"/>
      <c r="AB2093" s="54"/>
      <c r="AC2093" s="54"/>
      <c r="AD2093" s="98"/>
    </row>
    <row r="2094" s="53" customFormat="1" ht="50" customHeight="1" spans="1:30">
      <c r="A2094" s="54"/>
      <c r="B2094" s="117"/>
      <c r="C2094" s="54"/>
      <c r="D2094" s="118"/>
      <c r="E2094" s="120"/>
      <c r="F2094" s="125"/>
      <c r="G2094" s="54"/>
      <c r="H2094" s="54"/>
      <c r="I2094" s="128"/>
      <c r="J2094" s="121"/>
      <c r="K2094" s="72"/>
      <c r="L2094" s="72"/>
      <c r="M2094" s="54"/>
      <c r="N2094" s="54"/>
      <c r="O2094" s="54"/>
      <c r="P2094" s="54"/>
      <c r="Q2094" s="54"/>
      <c r="R2094" s="72"/>
      <c r="S2094" s="54"/>
      <c r="T2094" s="54"/>
      <c r="U2094" s="54"/>
      <c r="V2094" s="54"/>
      <c r="W2094" s="54"/>
      <c r="X2094" s="54"/>
      <c r="Y2094" s="54"/>
      <c r="Z2094" s="122"/>
      <c r="AA2094" s="54"/>
      <c r="AB2094" s="54"/>
      <c r="AC2094" s="54"/>
      <c r="AD2094" s="98"/>
    </row>
    <row r="2095" s="53" customFormat="1" ht="50" customHeight="1" spans="1:30">
      <c r="A2095" s="54"/>
      <c r="B2095" s="117"/>
      <c r="C2095" s="54"/>
      <c r="D2095" s="118"/>
      <c r="E2095" s="120"/>
      <c r="F2095" s="125"/>
      <c r="G2095" s="54"/>
      <c r="H2095" s="54"/>
      <c r="I2095" s="128"/>
      <c r="J2095" s="121"/>
      <c r="K2095" s="72"/>
      <c r="L2095" s="72"/>
      <c r="M2095" s="54"/>
      <c r="N2095" s="54"/>
      <c r="O2095" s="54"/>
      <c r="P2095" s="54"/>
      <c r="Q2095" s="54"/>
      <c r="R2095" s="72"/>
      <c r="S2095" s="54"/>
      <c r="T2095" s="54"/>
      <c r="U2095" s="54"/>
      <c r="V2095" s="54"/>
      <c r="W2095" s="54"/>
      <c r="X2095" s="54"/>
      <c r="Y2095" s="54"/>
      <c r="Z2095" s="122"/>
      <c r="AA2095" s="54"/>
      <c r="AB2095" s="54"/>
      <c r="AC2095" s="54"/>
      <c r="AD2095" s="98"/>
    </row>
    <row r="2096" s="53" customFormat="1" ht="50" customHeight="1" spans="1:30">
      <c r="A2096" s="54"/>
      <c r="B2096" s="117"/>
      <c r="C2096" s="54"/>
      <c r="D2096" s="118"/>
      <c r="E2096" s="120"/>
      <c r="F2096" s="125"/>
      <c r="G2096" s="54"/>
      <c r="H2096" s="54"/>
      <c r="I2096" s="128"/>
      <c r="J2096" s="121"/>
      <c r="K2096" s="72"/>
      <c r="L2096" s="72"/>
      <c r="M2096" s="54"/>
      <c r="N2096" s="54"/>
      <c r="O2096" s="54"/>
      <c r="P2096" s="54"/>
      <c r="Q2096" s="54"/>
      <c r="R2096" s="72"/>
      <c r="S2096" s="54"/>
      <c r="T2096" s="54"/>
      <c r="U2096" s="54"/>
      <c r="V2096" s="54"/>
      <c r="W2096" s="54"/>
      <c r="X2096" s="54"/>
      <c r="Y2096" s="54"/>
      <c r="Z2096" s="122"/>
      <c r="AA2096" s="54"/>
      <c r="AB2096" s="54"/>
      <c r="AC2096" s="54"/>
      <c r="AD2096" s="98"/>
    </row>
    <row r="2097" s="53" customFormat="1" ht="50" customHeight="1" spans="1:30">
      <c r="A2097" s="54"/>
      <c r="B2097" s="117"/>
      <c r="C2097" s="54"/>
      <c r="D2097" s="118"/>
      <c r="E2097" s="120"/>
      <c r="F2097" s="125"/>
      <c r="G2097" s="54"/>
      <c r="H2097" s="54"/>
      <c r="I2097" s="128"/>
      <c r="J2097" s="121"/>
      <c r="K2097" s="72"/>
      <c r="L2097" s="72"/>
      <c r="M2097" s="54"/>
      <c r="N2097" s="54"/>
      <c r="O2097" s="54"/>
      <c r="P2097" s="54"/>
      <c r="Q2097" s="54"/>
      <c r="R2097" s="72"/>
      <c r="S2097" s="54"/>
      <c r="T2097" s="54"/>
      <c r="U2097" s="54"/>
      <c r="V2097" s="54"/>
      <c r="W2097" s="54"/>
      <c r="X2097" s="54"/>
      <c r="Y2097" s="54"/>
      <c r="Z2097" s="122"/>
      <c r="AA2097" s="54"/>
      <c r="AB2097" s="54"/>
      <c r="AC2097" s="54"/>
      <c r="AD2097" s="98"/>
    </row>
    <row r="2098" s="53" customFormat="1" ht="50" customHeight="1" spans="1:30">
      <c r="A2098" s="54"/>
      <c r="B2098" s="117"/>
      <c r="C2098" s="54"/>
      <c r="D2098" s="118"/>
      <c r="E2098" s="120"/>
      <c r="F2098" s="125"/>
      <c r="G2098" s="54"/>
      <c r="H2098" s="54"/>
      <c r="I2098" s="128"/>
      <c r="J2098" s="121"/>
      <c r="K2098" s="72"/>
      <c r="L2098" s="72"/>
      <c r="M2098" s="54"/>
      <c r="N2098" s="54"/>
      <c r="O2098" s="54"/>
      <c r="P2098" s="54"/>
      <c r="Q2098" s="54"/>
      <c r="R2098" s="72"/>
      <c r="S2098" s="54"/>
      <c r="T2098" s="54"/>
      <c r="U2098" s="54"/>
      <c r="V2098" s="54"/>
      <c r="W2098" s="54"/>
      <c r="X2098" s="54"/>
      <c r="Y2098" s="54"/>
      <c r="Z2098" s="122"/>
      <c r="AA2098" s="54"/>
      <c r="AB2098" s="54"/>
      <c r="AC2098" s="54"/>
      <c r="AD2098" s="98"/>
    </row>
    <row r="2099" s="53" customFormat="1" ht="50" customHeight="1" spans="1:30">
      <c r="A2099" s="54"/>
      <c r="B2099" s="117"/>
      <c r="C2099" s="54"/>
      <c r="D2099" s="118"/>
      <c r="E2099" s="120"/>
      <c r="F2099" s="125"/>
      <c r="G2099" s="54"/>
      <c r="H2099" s="54"/>
      <c r="I2099" s="128"/>
      <c r="J2099" s="121"/>
      <c r="K2099" s="72"/>
      <c r="L2099" s="72"/>
      <c r="M2099" s="54"/>
      <c r="N2099" s="54"/>
      <c r="O2099" s="54"/>
      <c r="P2099" s="54"/>
      <c r="Q2099" s="54"/>
      <c r="R2099" s="72"/>
      <c r="S2099" s="54"/>
      <c r="T2099" s="54"/>
      <c r="U2099" s="54"/>
      <c r="V2099" s="54"/>
      <c r="W2099" s="54"/>
      <c r="X2099" s="54"/>
      <c r="Y2099" s="54"/>
      <c r="Z2099" s="122"/>
      <c r="AA2099" s="54"/>
      <c r="AB2099" s="54"/>
      <c r="AC2099" s="54"/>
      <c r="AD2099" s="98"/>
    </row>
    <row r="2100" s="53" customFormat="1" ht="50" customHeight="1" spans="1:30">
      <c r="A2100" s="54"/>
      <c r="B2100" s="117"/>
      <c r="C2100" s="54"/>
      <c r="D2100" s="118"/>
      <c r="E2100" s="120"/>
      <c r="F2100" s="125"/>
      <c r="G2100" s="54"/>
      <c r="H2100" s="54"/>
      <c r="I2100" s="128"/>
      <c r="J2100" s="121"/>
      <c r="K2100" s="72"/>
      <c r="L2100" s="72"/>
      <c r="M2100" s="54"/>
      <c r="N2100" s="54"/>
      <c r="O2100" s="54"/>
      <c r="P2100" s="54"/>
      <c r="Q2100" s="54"/>
      <c r="R2100" s="72"/>
      <c r="S2100" s="54"/>
      <c r="T2100" s="54"/>
      <c r="U2100" s="54"/>
      <c r="V2100" s="54"/>
      <c r="W2100" s="54"/>
      <c r="X2100" s="54"/>
      <c r="Y2100" s="54"/>
      <c r="Z2100" s="122"/>
      <c r="AA2100" s="54"/>
      <c r="AB2100" s="54"/>
      <c r="AC2100" s="54"/>
      <c r="AD2100" s="98"/>
    </row>
    <row r="2101" s="53" customFormat="1" ht="50" customHeight="1" spans="1:30">
      <c r="A2101" s="54"/>
      <c r="B2101" s="117"/>
      <c r="C2101" s="54"/>
      <c r="D2101" s="118"/>
      <c r="E2101" s="120"/>
      <c r="F2101" s="125"/>
      <c r="G2101" s="54"/>
      <c r="H2101" s="54"/>
      <c r="I2101" s="128"/>
      <c r="J2101" s="121"/>
      <c r="K2101" s="72"/>
      <c r="L2101" s="72"/>
      <c r="M2101" s="54"/>
      <c r="N2101" s="54"/>
      <c r="O2101" s="54"/>
      <c r="P2101" s="54"/>
      <c r="Q2101" s="54"/>
      <c r="R2101" s="72"/>
      <c r="S2101" s="54"/>
      <c r="T2101" s="54"/>
      <c r="U2101" s="54"/>
      <c r="V2101" s="54"/>
      <c r="W2101" s="54"/>
      <c r="X2101" s="54"/>
      <c r="Y2101" s="54"/>
      <c r="Z2101" s="122"/>
      <c r="AA2101" s="54"/>
      <c r="AB2101" s="54"/>
      <c r="AC2101" s="54"/>
      <c r="AD2101" s="98"/>
    </row>
    <row r="2102" s="53" customFormat="1" ht="50" customHeight="1" spans="1:30">
      <c r="A2102" s="54"/>
      <c r="B2102" s="117"/>
      <c r="C2102" s="54"/>
      <c r="D2102" s="118"/>
      <c r="E2102" s="120"/>
      <c r="F2102" s="125"/>
      <c r="G2102" s="54"/>
      <c r="H2102" s="54"/>
      <c r="I2102" s="128"/>
      <c r="J2102" s="121"/>
      <c r="K2102" s="72"/>
      <c r="L2102" s="72"/>
      <c r="M2102" s="54"/>
      <c r="N2102" s="54"/>
      <c r="O2102" s="54"/>
      <c r="P2102" s="54"/>
      <c r="Q2102" s="54"/>
      <c r="R2102" s="72"/>
      <c r="S2102" s="54"/>
      <c r="T2102" s="54"/>
      <c r="U2102" s="54"/>
      <c r="V2102" s="54"/>
      <c r="W2102" s="54"/>
      <c r="X2102" s="54"/>
      <c r="Y2102" s="54"/>
      <c r="Z2102" s="122"/>
      <c r="AA2102" s="54"/>
      <c r="AB2102" s="54"/>
      <c r="AC2102" s="54"/>
      <c r="AD2102" s="98"/>
    </row>
    <row r="2103" s="53" customFormat="1" ht="50" customHeight="1" spans="1:30">
      <c r="A2103" s="54"/>
      <c r="B2103" s="54"/>
      <c r="C2103" s="54"/>
      <c r="D2103" s="54"/>
      <c r="E2103" s="68"/>
      <c r="F2103" s="54"/>
      <c r="G2103" s="54"/>
      <c r="H2103" s="54"/>
      <c r="I2103" s="128"/>
      <c r="J2103" s="72"/>
      <c r="K2103" s="72"/>
      <c r="L2103" s="72"/>
      <c r="M2103" s="54"/>
      <c r="N2103" s="54"/>
      <c r="O2103" s="54"/>
      <c r="P2103" s="54"/>
      <c r="Q2103" s="72"/>
      <c r="R2103" s="54"/>
      <c r="S2103" s="54"/>
      <c r="T2103" s="54"/>
      <c r="U2103" s="54"/>
      <c r="V2103" s="54"/>
      <c r="W2103" s="54"/>
      <c r="X2103" s="54"/>
      <c r="Y2103" s="54"/>
      <c r="Z2103" s="54"/>
      <c r="AA2103" s="54"/>
      <c r="AB2103" s="54"/>
      <c r="AC2103" s="54"/>
      <c r="AD2103" s="84"/>
    </row>
    <row r="2104" s="53" customFormat="1" ht="204" customHeight="1" spans="1:30">
      <c r="A2104" s="123" t="s">
        <v>4042</v>
      </c>
      <c r="B2104" s="124" t="s">
        <v>4043</v>
      </c>
      <c r="C2104" s="124" t="s">
        <v>4043</v>
      </c>
      <c r="D2104" s="123" t="s">
        <v>4042</v>
      </c>
      <c r="E2104" s="123" t="s">
        <v>4042</v>
      </c>
      <c r="F2104" s="123" t="s">
        <v>4042</v>
      </c>
      <c r="G2104" s="126"/>
      <c r="H2104" s="124" t="s">
        <v>4043</v>
      </c>
      <c r="I2104" s="124" t="s">
        <v>4043</v>
      </c>
      <c r="J2104" s="123">
        <v>2</v>
      </c>
      <c r="K2104" s="124" t="s">
        <v>4043</v>
      </c>
      <c r="L2104" s="124" t="s">
        <v>4043</v>
      </c>
      <c r="M2104" s="124" t="s">
        <v>4043</v>
      </c>
      <c r="N2104" s="126"/>
      <c r="O2104" s="126"/>
      <c r="P2104" s="123" t="s">
        <v>4042</v>
      </c>
      <c r="Q2104" s="126"/>
      <c r="R2104" s="126"/>
      <c r="S2104" s="123" t="s">
        <v>4042</v>
      </c>
      <c r="T2104" s="124" t="s">
        <v>4043</v>
      </c>
      <c r="U2104" s="124" t="s">
        <v>4043</v>
      </c>
      <c r="V2104" s="123" t="s">
        <v>4042</v>
      </c>
      <c r="W2104" s="124" t="s">
        <v>4043</v>
      </c>
      <c r="X2104" s="124" t="s">
        <v>4043</v>
      </c>
      <c r="Y2104" s="129"/>
      <c r="Z2104" s="126"/>
      <c r="AA2104" s="124" t="s">
        <v>4043</v>
      </c>
      <c r="AB2104" s="124" t="s">
        <v>4043</v>
      </c>
      <c r="AC2104" s="126"/>
      <c r="AD2104" s="84"/>
    </row>
    <row r="2105" s="55" customFormat="1" ht="50" customHeight="1" spans="1:29">
      <c r="A2105" s="56"/>
      <c r="B2105" s="56"/>
      <c r="C2105" s="56"/>
      <c r="D2105" s="57"/>
      <c r="E2105" s="59"/>
      <c r="F2105" s="59"/>
      <c r="G2105" s="56"/>
      <c r="H2105" s="56"/>
      <c r="I2105" s="56"/>
      <c r="J2105" s="56"/>
      <c r="K2105" s="56"/>
      <c r="L2105" s="56"/>
      <c r="M2105" s="56"/>
      <c r="N2105" s="56"/>
      <c r="O2105" s="60"/>
      <c r="P2105" s="60"/>
      <c r="Q2105" s="56"/>
      <c r="R2105" s="56"/>
      <c r="S2105" s="60"/>
      <c r="T2105" s="60"/>
      <c r="U2105" s="61"/>
      <c r="V2105" s="60"/>
      <c r="W2105" s="60"/>
      <c r="X2105" s="60"/>
      <c r="Y2105" s="62"/>
      <c r="Z2105" s="56"/>
      <c r="AA2105" s="56"/>
      <c r="AB2105" s="56"/>
      <c r="AC2105" s="56"/>
    </row>
    <row r="2106" s="55" customFormat="1" ht="50" customHeight="1" spans="1:29">
      <c r="A2106" s="56"/>
      <c r="B2106" s="56"/>
      <c r="C2106" s="56"/>
      <c r="D2106" s="57"/>
      <c r="E2106" s="59"/>
      <c r="F2106" s="59"/>
      <c r="G2106" s="56"/>
      <c r="H2106" s="56"/>
      <c r="I2106" s="56"/>
      <c r="J2106" s="56"/>
      <c r="K2106" s="56"/>
      <c r="L2106" s="56"/>
      <c r="M2106" s="56"/>
      <c r="N2106" s="56"/>
      <c r="O2106" s="60"/>
      <c r="P2106" s="60"/>
      <c r="Q2106" s="56"/>
      <c r="R2106" s="56"/>
      <c r="S2106" s="60"/>
      <c r="T2106" s="60"/>
      <c r="U2106" s="61"/>
      <c r="V2106" s="60"/>
      <c r="W2106" s="60"/>
      <c r="X2106" s="60"/>
      <c r="Y2106" s="62"/>
      <c r="Z2106" s="56"/>
      <c r="AA2106" s="56"/>
      <c r="AB2106" s="56"/>
      <c r="AC2106" s="56"/>
    </row>
    <row r="2107" s="55" customFormat="1" ht="50" customHeight="1" spans="1:29">
      <c r="A2107" s="56"/>
      <c r="B2107" s="56"/>
      <c r="C2107" s="56"/>
      <c r="D2107" s="57"/>
      <c r="E2107" s="59"/>
      <c r="F2107" s="59"/>
      <c r="G2107" s="56"/>
      <c r="H2107" s="56"/>
      <c r="I2107" s="56"/>
      <c r="J2107" s="56"/>
      <c r="K2107" s="56"/>
      <c r="L2107" s="56"/>
      <c r="M2107" s="56"/>
      <c r="N2107" s="56"/>
      <c r="O2107" s="60"/>
      <c r="P2107" s="60"/>
      <c r="Q2107" s="56"/>
      <c r="R2107" s="56"/>
      <c r="S2107" s="60"/>
      <c r="T2107" s="60"/>
      <c r="U2107" s="61"/>
      <c r="V2107" s="60"/>
      <c r="W2107" s="60"/>
      <c r="X2107" s="60"/>
      <c r="Y2107" s="62"/>
      <c r="Z2107" s="56"/>
      <c r="AA2107" s="56"/>
      <c r="AB2107" s="56"/>
      <c r="AC2107" s="56"/>
    </row>
    <row r="2108" s="56" customFormat="1" ht="13" customHeight="1" spans="4:25">
      <c r="D2108" s="57"/>
      <c r="E2108" s="59"/>
      <c r="F2108" s="59"/>
      <c r="O2108" s="60"/>
      <c r="P2108" s="60"/>
      <c r="S2108" s="60"/>
      <c r="T2108" s="60"/>
      <c r="U2108" s="61"/>
      <c r="V2108" s="60"/>
      <c r="W2108" s="60"/>
      <c r="X2108" s="60"/>
      <c r="Y2108" s="62"/>
    </row>
    <row r="2109" s="56" customFormat="1" customHeight="1" spans="4:25">
      <c r="D2109" s="57"/>
      <c r="E2109" s="59"/>
      <c r="F2109" s="59"/>
      <c r="O2109" s="60"/>
      <c r="P2109" s="60"/>
      <c r="S2109" s="60"/>
      <c r="T2109" s="60"/>
      <c r="U2109" s="61"/>
      <c r="V2109" s="60"/>
      <c r="W2109" s="60"/>
      <c r="X2109" s="60"/>
      <c r="Y2109" s="62"/>
    </row>
  </sheetData>
  <conditionalFormatting sqref="A2:B2">
    <cfRule type="expression" dxfId="30" priority="217">
      <formula>$L2=0</formula>
    </cfRule>
    <cfRule type="duplicateValues" dxfId="31" priority="2739"/>
  </conditionalFormatting>
  <conditionalFormatting sqref="C2">
    <cfRule type="expression" dxfId="30" priority="213">
      <formula>$L2=0</formula>
    </cfRule>
  </conditionalFormatting>
  <conditionalFormatting sqref="D2:G2">
    <cfRule type="expression" dxfId="30" priority="214">
      <formula>$L2=0</formula>
    </cfRule>
  </conditionalFormatting>
  <conditionalFormatting sqref="N2:R2">
    <cfRule type="expression" dxfId="30" priority="215">
      <formula>$L2=0</formula>
    </cfRule>
  </conditionalFormatting>
  <conditionalFormatting sqref="U2">
    <cfRule type="expression" dxfId="30" priority="212">
      <formula>$L2=0</formula>
    </cfRule>
  </conditionalFormatting>
  <conditionalFormatting sqref="Y2">
    <cfRule type="expression" dxfId="30" priority="77">
      <formula>$L2=0</formula>
    </cfRule>
  </conditionalFormatting>
  <conditionalFormatting sqref="Z2:AC2">
    <cfRule type="expression" dxfId="30" priority="76">
      <formula>$L2=0</formula>
    </cfRule>
  </conditionalFormatting>
  <conditionalFormatting sqref="A3:B3">
    <cfRule type="expression" dxfId="30" priority="164">
      <formula>$L3=0</formula>
    </cfRule>
    <cfRule type="duplicateValues" dxfId="31" priority="2740"/>
  </conditionalFormatting>
  <conditionalFormatting sqref="C3">
    <cfRule type="expression" dxfId="30" priority="160">
      <formula>$L3=0</formula>
    </cfRule>
  </conditionalFormatting>
  <conditionalFormatting sqref="D3:G3">
    <cfRule type="expression" dxfId="30" priority="161">
      <formula>$L3=0</formula>
    </cfRule>
  </conditionalFormatting>
  <conditionalFormatting sqref="N3:R3">
    <cfRule type="expression" dxfId="30" priority="162">
      <formula>$L3=0</formula>
    </cfRule>
    <cfRule type="containsBlanks" dxfId="32" priority="163">
      <formula>LEN(TRIM(N3))=0</formula>
    </cfRule>
  </conditionalFormatting>
  <conditionalFormatting sqref="Y3:AC3">
    <cfRule type="expression" dxfId="30" priority="75">
      <formula>$L3=0</formula>
    </cfRule>
  </conditionalFormatting>
  <conditionalFormatting sqref="B1603:B1605">
    <cfRule type="expression" dxfId="30" priority="2790">
      <formula>$L1604=0</formula>
    </cfRule>
    <cfRule type="duplicateValues" dxfId="31" priority="2791"/>
  </conditionalFormatting>
  <conditionalFormatting sqref="P1214:P1215">
    <cfRule type="expression" dxfId="30" priority="35">
      <formula>$L1214=0</formula>
    </cfRule>
    <cfRule type="containsBlanks" dxfId="32" priority="36">
      <formula>LEN(TRIM(P1214))=0</formula>
    </cfRule>
  </conditionalFormatting>
  <conditionalFormatting sqref="S1929:S2014">
    <cfRule type="containsBlanks" dxfId="32" priority="1">
      <formula>LEN(TRIM(S1929))=0</formula>
    </cfRule>
    <cfRule type="expression" dxfId="30" priority="2">
      <formula>$L1929=0</formula>
    </cfRule>
  </conditionalFormatting>
  <conditionalFormatting sqref="A1161:C1161 A1315:J1431 A1432:T1529 E1161:G1161 H2:M1311 H1312:J1314 H1530:I2089 K1312:K1431 K1530:M2069 L1312:M1314 L1315:Z1346 L1347:T1431 N1161:R1161 O1530:O2084 S2:T1314 T1530:T1541 T1542:U2081 U3:X3 U5:X5 U7:X7 U9:X9 U11:X11 U13:X13 U15:X15 U17:X17 U19:X19 U21:X21 U23:X23 U25:X25 U27:X27 U29:X29 U31:X31 U33:X33 U35:X35 U37:X37 U39:X39 U41:X41 U43:X43 U45:X45 U47:X47 U49:X49 U51:X51 U53:X53 U55:X55 U57:X57 U59:X59 U61:X61 U63:X63 U65:X65 U67:X67 U69:X69 U71:X71 U73:X73 U75:X75 U77:X77 U79:X79 U81:X81 U83:X83 U85:X85 U87:X87 U89:X89 U91:X91 U93:X93 U95:X95 U97:X97 U99:X99 U101:X101 U103:X103 U105:X105 U107:X107 U109:X109 U111:X111 U113:X113 U115:X115 U117:X117 U119:X119 U121:X121 U123:X123 U125:X125 U127:X127 U129:X129 U131:X131 U133:X133 U135:X135 U137:X137 U139:X139 U141:X141 U143:X143 U145:X145 U147:X147 U149:X149 U151:X151 U153:X153 U155:X155 U157:X157 U159:X159 U161:X161 U163:X163 U165:X165 U167:X167 U169:X169 U171:X171 U173:X173 U175:X175 U177:X177 U179:X179 U181:X181 U183:X183 U185:X185 U187:X187 U189:X189 U191:X191 U193:X193 U195:X195 U197:X197 U199:X199 U201:X201 U203:X203 U205:X205 U207:X207 U209:X209 U211:X211 U213:X213 U215:X215 U217:X217 U219:X219 U221:X221 U223:X223 U225:X225 U227:X227 U229:X229 U231:X231 U233:X233 U235:X235 U237:X237 U239:X239 U241:X241 U243:X243 U245:X245 U247:X247 U249:X249 U251:X251 U253:X253 U255:X255 U257:X257 U259:X259 U261:X261 U263:X263 U265:X265 U267:X267 U269:X269 U271:X271 U273:X273 U275:X275 U277:X277 U279:X279 U281:X281 U283:X283 U285:X285 U287:X287 U289:X289 U291:X291 U293:X293 U295:X295 U297:X297 U299:X299 U301:X301 U303:X303 U305:X305 U307:X307 U309:X309 U311:X311 U313:X313 U315:X315 U317:X317 U319:X319 U321:X321 U323:X323 U325:X325 U327:X327 U330:X330 U332:X332 U334:X334 U336:X336 U338:X338 U340:X340 U342:X342 U344:X344 U346:X346 U348:X348 U350:X350 U352:X352 U354:X354 U356:X356 U358:X358 U360:X360 U362:X362 U364:X364 U366:X366 U368:X368 U370:X370 U372:X372 U374:X374 U376:X376 U378:X378 U380:X380 U382:X382 U384:X384 U386:X386 U388:X388 U390:X390 U392:X392 U394:X394 U396:X396 U398:X398 U400:X400 U402:X402 U404:X404 U406:X406 U408:X408 U410:X410 U412:X412 U414:X414 U416:X416 U418:X418 U420:X420 U422:X422 U424:X424 U426:X426 U428:X428 U430:X430 U432:X432 U434:X434 U436:X436 U438:X438 U440:X440 U442:X442 U444:X444 U446:X446 U448:X448 U450:X450 U452:X452 U454:X454 U456:X456 U458:X458 U460:X460 U462:X462 U464:X464 U466:X466 U468:X468 U470:X470 U472:X472 U474:X474 U476:X476 U478:X478 U480:X480 U482:X482 U484:X484 U486:X486 U488:X488 U490:X490 U492:X492 U494:X494 U496:X496 U498:X498 U500:X500 U502:X502 U504:X504 U506:X506 U508:X508 U510:X510 U512:X512 U514:X514 U516:X516 U518:X518 U520:X520 U522:X522 U524:X524 U526:X526 U528:X528 U530:X530 U532:X532 U534:X534 U536:X536 U538:X538 U541:X541 U543:X543 U545:X545 U547:X547 U549:X549 U551:X551 U553:X553 U555:X555 U557:X557 U559:X559 U561:X561 U563:X563 U565:X565 U567:X567 U569:X569 U571:X571 U573:X573 U575:X575 U577:X577 U579:X579 U581:X581 U583:X583 U585:X585 U587:X587 U589:X589 U591:X591 U593:X593 U595:X595 U597:X597 U599:X599 U601:X601 U603:X603 U605:X605 U607:X607 U609:X609 U611:X611 U613:X613 U615:X615 U617:X617 U619:X619 U621:X621 U623:X623 U625:X625 U627:X627 U629:X629 U631:X631 U633:X633 U635:X635 U637:X637 U639:X639 U641:X641 U643:X643 U645:X645 U647:X647 U649:X649 U651:X651 U653:X653 U655:X655 U657:X657 U659:X659 U661:X661 U663:X663 U665:X665 U667:X667 U669:X669 U671:X671 U673:X673 U675:X675 U677:X677 U679:X679 U681:X681 U683:X683 U685:X685 U687:X687 U689:X689 U691:X691 U693:X693 U695:X695 U697:X697 U699:X699 U701:X701 U703:X703 U705:X705 U707:X707 U709:X709 U711:X711 U713:X713 U715:X715 U717:X717 U719:X719 U721:X721 U723:X723 U725:X725 U727:X727 U729:X729 U731:X731 U733:X733 U735:X735 U737:X737 U739:X739 U741:X741 U743:X743 U745:X745 U747:X747 U749:X749 U751:X751 U753:X753 U755:X755 U757:X757 U759:X759 U761:X761 U763:X763 U765:X765 U767:X767 U769:X769 U771:X771 U773:X773 U775:X775 U777:X777 U779:X779 U781:X781 U783:X783 U785:X785 U787:X787 U789:X789 U791:X791 U793:X793 U795:X795 U797:X797 U799:X799 U801:X801 U803:X803 U805:X805 U807:X807 U809:X809 U811:X811 U813:X813 U815:X815 U817:X817 U819:X819 U821:X821 U823:X823 U825:X825 U827:X827 U829:X829 U831:X831 U833:X833 U835:X835 U837:X837 U839:X839 U841:X841 U843:X843 U845:X845 U847:X847 U849:X849 U851:X851 U853:X853 U855:X855 U857:X857 U859:X859 U861:X861 U863:X863 U865:X865 U867:X867 U869:X869 U871:X871 U873:X873 U875:X875 U877:X877 U879:X879 U881:X881 U883:X883 U885:X885 U887:X887 U889:X889 U891:X891 U893:X893 U895:X895 U897:X897 U899:X899 U901:X901 U903:X903 U905:X905 U907:X907 U909:X909 U911:X911 U913:X913 U915:X915 U917:X917 U919:X919 U921:X921 U923:X923 U925:X925 U927:X927 U929:X929 U931:X931 U933:X933 U935:X935 U937:X937 U939:X939 U941:X941 U943:X943 U945:X945 U947:X947 U949:X949 U951:X951 U953:X953 U955:X955 U957:X957 U959:X959 U961:X961 U963:X963 U965:X965 U967:X967 U969:X969 U971:X971 U973:X973 U975:X975 U977:X977 U979:X979 U981:X981 U983:X983 U985:X985 U987:X987 U989:X989 U991:X991 U993:X993 U995:X995 U997:X997 U999:X999 U1001:X1001 U1003:X1003 U1005:X1005 U1007:X1007 U1009:X1009 U1011:X1011 U1013:X1013 U1015:X1015 U1017:X1017 U1019:X1019 U1021:X1021 U1023:X1023 U1025:X1025 U1027:X1027 U1029:X1029 U1031:X1031 U1033:X1033 U1035:X1035 U1037:X1037 U1039:X1039 U1041:X1041 U1043:X1043 U1045:X1045 U1047:X1047 U1049:X1049 U1051:X1051 U1053:X1053 U1055:X1055 U1057:X1057 U1059:X1059 U1061:X1061 U1063:X1063 U1065:X1065 U1067:X1067 U1069:X1069 U1071:X1071 U1073:X1074 U1076:X1076 U1078:X1078 U1080:X1080 U1082:X1082 U1084:X1084 U1086:X1086 U1088:X1088 U1090:X1090 U1092:X1092 U1094:X1094 U1096:X1096 U1098:X1098 U1100:X1100 U1102:X1102 U1104:X1104 U1106:X1106 U1108:X1108 U1110:X1110 U1112:X1112 U1114:X1114 U1116:X1116 U1118:X1118 U1120:X1120 U1122:X1122 U1124:X1124 U1126:X1126 U1128:X1128 U1130:X1130 U1132:X1132 U1134:X1134 U1136:X1136 U1138:X1138 U1140:X1140 U1142:X1142 U1144:X1144 U1146:X1146 U1148:X1148 U1150:X1150 U1152:X1152 U1154:X1154 U1158:X1158 U1160:X1160 U1161:Z1161 U1163:X1163 U1165:X1165 U1167:X1167 U1169:X1169 U1171:X1171 U1173:X1173 U1175:X1175 U1177:X1177 U1179:X1179 U1181:X1181 U1183:X1183 U1185:X1185 U1187:X1187 U1189:X1189 U1191:X1191 U1193:X1193 U1195:X1195 U1197:X1197 U1199:X1199 U1201:X1201 U1203:X1203 U1205:X1205 U1207:X1207 U1209:X1209 U1211:X1211 U1213:X1213 U1216:X1216 U1218:X1218 U1228:X1228 U1230:X1230 U1232:X1232 U1234:X1234 U1236:X1236 U1238:X1238 U1240:X1240 U1242:X1242 U1244:X1244 U1246:X1246 U1248:X1248 U1250:X1250 U1252:X1252 U1254:X1254 U1256:X1256 U1258:X1258 U1260:X1260 U1262:X1262 U1264:X1264 U1266:X1266 U1268:X1268 U1270:X1270 U1272:X1272 U1274:X1274 U1276:X1276 U1278:X1278 U1280:X1280 U1282:X1282 U1284:X1284 U1286:X1286 U1288:X1288 U1290:X1290 U1292:X1292 U1294:X1294 U1296:X1296 U1298:X1298 U1300:X1300 U1302:X1302 U1304:X1304 U1306:X1306 U1308:X1314 U1347:U1541 V2:X2 V4:X4 V6:X6 V8:X8 V10:X10 V12:X12 V14:X14 V16:X16 V18:X18 V20:X20 V22:X22 V24:X24 V26:X26 V28:X28 V30:X30 V32:X32 V34:X34 V36:X36 V38:X38 V40:X40 V42:X42 V44:X44 V46:X46 V48:X48 V50:X50 V52:X52 V54:X54 V56:X56 V58:X58 V60:X60 V62:X62 V64:X64 V66:X66 V68:X68 V70:X70 V72:X72 V74:X74 V76:X76 V78:X78 V80:X80 V82:X82 V84:X84 V86:X86 V88:X88 V90:X90 V92:X92 V94:X94 V96:X96 V98:X98 V100:X100 V102:X102 V104:X104 V106:X106 V108:X108 V110:X110 V112:X112 V114:X114 V116:X116 V118:X118 V120:X120 V122:X122 V124:X124 V126:X126 V128:X128 V130:X130 V132:X132 V134:X134 V136:X136 V138:X138 V140:X140 V142:X142 V144:X144 V146:X146 V148:X148 V150:X150 V152:X152 V154:X154 V156:X156 V158:X158 V160:X160 V162:X162 V164:X164 V166:X166 V168:X168 V170:X170 V172:X172 V174:X174 V176:X176 V178:X178 V180:X180 V182:X182 V184:X184 V186:X186 V188:X188 V190:X190 V192:X192 V194:X194 V196:X196 V198:X198 V200:X200 V202:X202 V204:X204 V206:X206 V208:X208 V210:X210 V212:X212 V214:X214 V216:X216 V218:X218 V220:X220 V222:X222 V224:X224 V226:X226 V228:X228 V230:X230 V232:X232 V234:X234 V236:X236 V238:X238 V240:X240 V242:X242 V244:X244 V246:X246 V248:X248 V250:X250 V252:X252 V254:X254 V256:X256 V258:X258 V260:X260 V262:X262 V264:X264 V266:X266 V268:X268 V270:X270 V272:X272 V274:X274 V276:X276 V278:X278 V280:X280 V282:X282 V284:X284 V286:X286 V288:X288 V290:X290 V292:X292 V294:X294 V296:X296 V298:X298 V300:X300 V302:X302 V304:X304 V306:X306 V308:X308 V310:X310 V312:X312 V314:X314 V316:X316 V318:X318 V320:X320 V322:X322 V324:X324 V326:X326 V328:X329 V331:X331 V333:X333 V335:X335 V337:X337 V339:X339 V341:X341 V343:X343 V345:X345 V347:X347 V349:X349 V351:X351 V353:X353 V355:X355 V357:X357 V359:X359 V361:X361 V363:X363 V365:X365 V367:X367 V369:X369 V371:X371 V373:X373 V375:X375 V377:X377 V379:X379 V381:X381 V383:X383 V385:X385 V387:X387 V389:X389 V391:X391 V393:X393 V395:X395 V397:X397 V399:X399 V401:X401 V403:X403 V405:X405 V407:X407 V409:X409 V411:X411 V413:X413 V415:X415 V417:X417 V419:X419 V421:X421 V423:X423 V425:X425 V427:X427 V429:X429 V431:X431 V433:X433 V435:X435 V437:X437 V439:X439 V441:X441 V443:X443 V445:X445 V447:X447 V449:X449 V451:X451 V453:X453 V455:X455 V457:X457 V459:X459 V461:X461 V463:X463 V465:X465 V467:X467 V469:X469 V471:X471 V473:X473 V475:X475 V477:X477 V479:X479 V481:X481 V483:X483 V485:X485 V487:X487 V489:X489 V491:X491 V493:X493 V495:X495 V497:X497 V499:X499 V501:X501 V503:X503 V505:X505 V507:X507 V509:X509 V511:X511 V513:X513 V515:X515 V517:X517 V519:X519 V521:X521 V523:X523 V525:X525 V527:X527 V529:X529 V531:X531 V533:X533 V535:X535 V537:X537 V539:X540 V542:X542 V544:X544 V546:X546 V548:X548 V550:X550 V552:X552 V554:X554 V556:X556 V558:X558 V560:X560 V562:X562 V564:X564 V566:X566 V568:X568 V570:X570 V572:X572 V574:X574 V576:X576 V578:X578 V580:X580 V582:X582 V584:X584 V586:X586 V588:X588 V590:X590 V592:X592 V594:X594 V596:X596 V598:X598 V600:X600 V602:X602 V604:X604 V606:X606 V608:X608 V610:X610 V612:X612 V614:X614 V616:X616 V618:X618 V620:X620 V622:X622 V624:X624 V626:X626 V628:X628 V630:X630 V632:X632 V634:X634 V636:X636 V638:X638 V640:X640 V642:X642 V644:X644 V646:X646 V648:X648 V650:X650 V652:X652 V654:X654 V656:X656 V658:X658 V660:X660 V662:X662 V664:X664 V666:X666 V668:X668 V670:X670 V672:X672 V674:X674 V676:X676 V678:X678 V680:X680 V682:X682 V684:X684 V686:X686 V688:X688 V690:X690 V692:X692 V694:X694 V696:X696 V698:X698 V700:X700 V702:X702 V704:X704 V706:X706 V708:X708 V710:X710 V712:X712 V714:X714 V716:X716 V718:X718 V720:X720 V722:X722 V724:X724 V726:X726 V728:X728 V730:X730 V732:X732 V734:X734 V736:X736 V738:X738 V740:X740 V742:X742 V744:X744 V746:X746 V748:X748 V750:X750 V752:X752 V754:X754 V756:X756 V758:X758 V760:X760 V762:X762 V764:X764 V766:X766 V768:X768 V770:X770 V772:X772 V774:X774 V776:X776 V778:X778 V780:X780 V782:X782 V784:X784 V786:X786 V788:X788 V790:X790 V792:X792 V794:X794 V796:X796 V798:X798 V800:X800 V802:X802 V804:X804 V806:X806 V808:X808 V810:X810 V812:X812 V814:X814 V816:X816 V818:X818 V820:X820 V822:X822 V824:X824 V826:X826 V828:X828 V830:X830 V832:X832 V834:X834 V836:X836 V838:X838 V840:X840 V842:X842 V844:X844 V846:X846 V848:X848 V850:X850 V852:X852 V854:X854 V856:X856 V858:X858 V860:X860 V862:X862 V864:X864 V866:X866 V868:X868 V870:X870 V872:X872 V874:X874 V876:X876 V878:X878 V880:X880 V882:X882 V884:X884 V886:X886 V888:X888 V890:X890 V892:X892 V894:X894 V896:X896 V898:X898 V900:X900 V902:X902 V904:X904 V906:X906 V908:X908 V910:X910 V912:X912 V914:X914 V916:X916 V918:X918 V920:X920 V922:X922 V924:X924 V926:X926 V928:X928 V930:X930 V932:X932 V934:X934 V936:X936 V938:X938 V940:X940 V942:X942 V944:X944 V946:X946 V948:X948 V950:X950 V952:X952 V954:X954 V956:X956 V958:X958 V960:X960 V962:X962 V964:X964 V966:X966 V968:X968 V970:X970 V972:X972 V974:X974 V976:X976 V978:X978 V980:X980 V982:X982 V984:X984 V986:X986 V988:X988 V990:X990 V992:X992 V994:X994 V996:X996 V998:X998 V1000:X1000 V1002:X1002 V1004:X1004 V1006:X1006 V1008:X1008 V1010:X1010 V1012:X1012 V1014:X1014 V1016:X1016 V1018:X1018 V1020:X1020 V1022:X1022 V1024:X1024 V1026:X1026 V1028:X1028 V1030:X1030 V1032:X1032 V1034:X1034 V1036:X1036 V1038:X1038 V1040:X1040 V1042:X1042 V1044:X1044 V1046:X1046 V1048:X1048 V1050:X1050 V1052:X1052 V1054:X1054 V1056:X1056 V1058:X1058 V1060:X1060 V1062:X1062 V1064:X1064 V1066:X1066 V1068:X1068 V1070:X1070 V1072:X1072 V1075:X1075 V1077:X1077 V1079:X1079 V1081:X1081 V1083:X1083 V1085:X1085 V1087:X1087 V1089:X1089 V1091:X1091 V1093:X1093 V1095:X1095 V1097:X1097 V1099:X1099 V1101:X1101 V1103:X1103 V1105:X1105 V1107:X1107 V1109:X1109 V1111:X1111 V1113:X1113 V1115:X1115 V1117:X1117 V1119:X1119 V1121:X1121 V1123:X1123 V1125:X1125 V1127:X1127 V1129:X1129 V1131:X1131 V1133:X1133 V1135:X1135 V1137:X1137 V1139:X1139 V1141:X1141 V1143:X1143 V1145:X1145 V1147:X1147 V1149:X1149 V1151:X1151 V1153:X1153 V1155:X1157 V1159:X1159 V1162:X1162 V1164:X1164 V1166:X1166 V1168:X1168 V1170:X1170 V1172:X1172 V1174:X1174 V1176:X1176 V1178:X1178 V1180:X1180 V1182:X1182 V1184:X1184 V1186:X1186 V1188:X1188 V1190:X1190 V1192:X1192 V1194:X1194 V1196:X1196 V1198:X1198 V1200:X1200 V1202:X1202 V1204:X1204 V1206:X1206 V1208:X1208 V1210:X1210 V1212:X1212 V1214:X1215 V1217:X1217 V1219:X1227 V1229:X1229 V1231:X1231 V1233:X1233 V1235:X1235 V1237:X1237 V1239:X1239 V1241:X1241 V1243:X1243 V1245:X1245 V1247:X1247 V1249:X1249 V1251:X1251 V1253:X1253 V1255:X1255 V1257:X1257 V1259:X1259 V1261:X1261 V1263:X1263 V1265:X1265 V1267:X1267 V1269:X1269 V1271:X1271 V1273:X1273 V1275:X1275 V1277:X1277 V1279:X1279 V1281:X1281 V1283:X1283 V1285:X1285 V1287:X1287 V1289:X1289 V1291:X1291 V1293:X1293 V1295:X1295 V1297:X1297 V1299:X1299 V1301:X1301 V1303:X1303 V1305:X1305 V1307:X1307 V1347:Z1467 V1468:X1529 W1530:X1541 W1542:Z1624 W1625:W1661 X1625:Z1650 X1651:X1661 Y1468:Z1541 AC1161 AC1315:AC1650 W1662:X2081 M2070:M2081 H2103:I2103 K2103:M2103 O2103 T2103:U2103 W2103:AC2103 K2070:L2089">
    <cfRule type="expression" dxfId="30" priority="218">
      <formula>$L2=0</formula>
    </cfRule>
  </conditionalFormatting>
  <conditionalFormatting sqref="L2:M2069 L2070:L2089 M2070:M2081 L2103:M2103">
    <cfRule type="cellIs" dxfId="32" priority="220" operator="lessThan">
      <formula>0</formula>
    </cfRule>
    <cfRule type="cellIs" dxfId="33" priority="221" operator="lessThan">
      <formula>0</formula>
    </cfRule>
  </conditionalFormatting>
  <conditionalFormatting sqref="N2:R2 N1315:R1529 O1530:O2084 O2103">
    <cfRule type="containsBlanks" dxfId="32" priority="216">
      <formula>LEN(TRIM(N2))=0</formula>
    </cfRule>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1: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duplicateValues" dxfId="31" priority="53"/>
  </conditionalFormatting>
  <conditionalFormatting sqref="A4:B4 A6:B6 A8:B8 A10:B10 A12:B12 A14:B14 A16:B16 A18:B18 A20:B20 A22:B22 A24:B24 A26:B26 A28:B28 A30:B30 A32:B32 A34:B34 A36:B36 A38:B38 A40:B40 A42:B42 A44:B44 A46:B46 A48:B48 A50:B50 A52:B52 A54:B54 A56:B56 A58:B58 A60:B60 A62:B62 A64:B64 A66:B66 A68:B68 A70:B70 A72:B72 A74:B74 A76:B76 A78:B78 A80:B80 A82:B82 A84:B84 A86:B86 A88:B88 A90:B90 A92:B92 A94:B94 A96:B96 A98:B98 A100:B100 A102:B102 A104:B104 A106:B106 A108:B108 A110:B110 A112:B112 A114:B114 A116:B116 A118:B118 A120:B120 A122:B122 A124:B124 A126:B126 A128:B128 A130:B130 A132:B132 A134:B134 A136:B136 A138:B138 A140:B140 A142:B142 A144:B144 A146:B146 A148:B148 A150:B150 A152:B152 A154:B154 A156:B156 A158:B158 A160:B160 A162:B162 A164:B164 A166:B166 A168:B168 A170:B170 A172:B172 A174:B174 A176:B176 A178:B178 A180:B180 A182:B182 A184:B184 A186:B186 A188:B188 A190:B190 A192:B192 A194:B194 A196:B196 A198:B198 A200:B200 A202:B202 A204:B204 A206:B206 A208:B208 A210:B210 A212:B212 A214:B214 A216:B216 A218:B218 A220:B220 A222:B222 A224:B224 A226:B226 A228:B228 A230:B230 A232:B232 A234:B234 A236:B236 A238:B238 A240:B240 A242:B242 A244:B244 A246:B246 A248:B248 A250:B250 A252:B252 A254:B254 A256:B256 A258:B258 A260:B260 A262:B262 A264:B264 A266:B266 A268:B268 A270:B270 A272:B272 A274:B274 A276:B276 A278:B278 A280:B280 A282:B282 A284:B284 A286:B286 A288:B288 A290:B290 A292:B292 A294:B294 A296:B296 A298:B298 A300:B300 A302:B302 A304:B304 A306:B306 A308:B308 A310:B310 A312:B312 A314:B314 A316:B316 A318:B318 A320:B320 A322:B322 A324:B324 A326:B326 A328:B328 A329 A331:B331 A333:B333 A335:B335 A337:B337 A339:B339 A341:B341 A343:B343 A345:B345 A347:B347 A349:B349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A487:B487 A489:B489 A491:B491 A493:B493 A495:B495 A497:B497 A499:B499 A501:B501 A503:B503 A505:B505 A507:B507 A509:B509 A511:B511 A513:B513 A515:B515 A517:B517 A519:B519 A521:B521 A523:B523 A525:B525 A527:B527 A529:B529 A531:B531 A533:B533 A535:B535 A537:B537 A539:B540 A542:B542 A544:B544 A546:B546 A548:B548 A550:B550 A552:B552 A554:B554 A556:B556 A558:B558 A560:B560 A562:B562 A564:B564 A566:B566 A568:B568 A570:B570 A572:B572 A574:B574 A576:B576 A578:B578 A580:B580 A582:B582 A584:B584 A586:B586 A588:B588 A590:B590 A592:B592 A594:B594 A596:B596 A598:B598 A600:B600 A602:B602 A604:B604 A606:B606 A608:B608 A610:B610 A612:B612 A614:B614 A616:B616 A618:B618 A620:B620 A622:B622 A624:B624 A626:B626 A628:B628 A630:B630 A632:B632 A634:B634 A636:B636 A638:B638 A640:B640 A642:B642 A644:B644 A646:B646 A648:B648 A650:B650 A652:B652 A654:B654 A656:B656 A658:B658 A660:B660 A662:B662 A664:B664 A666:B666 A668:B668 A670:B670 A672:B672 A674:B674 A676:B676 A678:B678 A680:B680 A682:B682 A684:B684 A686:B686 A688:B688 A690:B690 A692:B692 A694:B694 A696:B696 A698:B698 A700:B700 A702:B702 A704:B704 A706:B706 A708:B708 A710:B710 A712:B712 A714:B714 A716:B716 A718:B718 A720:B720 A722:B722 A724:B724 A726:B726 A728:B728 A730:B730 A732:B732 A734:B734 A736:B736 A738:B738 A740:B740 A742:B742 A744:B744 A746:B746 A748:B748 A750:B750 A752:B752 A754:B754 A756:B756 A758:B758 A760:B760 A762:B762 A764:B764 A766:B766 A768:B768 A770:B770 A772:B772 A774:B774 A776:B776 A778:B778 A780:B780 A782:B782 A784:B784 A786:B786 A788:B788 A790:B790 A792:B792 A794:B794 A796:B796 A798:B798 A800:B800 A802:B802 A804:B804 A806:B806 A808:B808 A810:B810 A812:B812 A814:B814 A816:B816 A818:B818 A820:B820 A822:B822 A824:B824 A826:B826 A828:B828 A830:B830 A832:B832 A834:B834 A836:B836 A838:B838 A840:B840 A842:B842 A844:B844 A846:B846 A848:B848 A850:B850 A852:B852 A854:B854 A856:B856 A858:B858 A860:B860 A862:B862 A864:B864 A866:B866 A868:B868 A870:B870 A872:B872 A874:B874 A876:B876 A878:B878 A880:B880 A882:B882 A884:B884 A886:B886 A888:B888 A890:B890 A892:B892 A894:B894 A896:B896 A898:B898 A900:B900 A902:B902 A904:B904 A906:B906 A908:B908 A910:B910 A912:B912 A914:B914 A916:B916 A918:B918 A920:B920 A922:B922 A924:B924 A926:B926 A928:B928 A930:B930 A932:B932 A934:B934 A936:B936 A938:B938 A940:B940 A942:B942 A944:B944 A946:B946 A948:B948 A950:B950 A952:B952 A954:B954 A956:B956 A958:B958 A960:B960 A962:B962 A964:B964 A966:B966 A968:B968 A970:B970 A972:B972 A974:B974 A976:B976 A978:B978 A980:B980 A982:B982 A984:B984 A986:B986 A988:B988 A990:B990 A992:B992 A994:B994 A996:B996 A998:B998 A1000:B1000 A1002:B1002 A1004:B1004 A1006:B1006 A1008:B1008 A1010:B1010 A1012:B1012 A1014:B1014 A1016:B1016 A1018:B1018 A1020:B1020 A1022:B1022 A1026:B1026 A1028:B1028 A1030:B1030 A1032:B1032 A1034:B1034 A1036:B1036 A1038:B1038 A1040:B1040 A1042:B1042 A1044:B1044 A1046:B1046 A1048:B1048 A1050:B1050 A1052:B1052 A1054:B1054 A1056:B1056 A1058:B1058 A1060:B1060 A1062:B1062 A1064:B1064 A1066:B1066 A1068:B1068 A1070:B1070 A1072:B1072 A1075:B1075 A1077:B1077 A1079:B1079 A1081:B1081 A1083:B1083 A1085:B1085 A1087:B1087 A1089:B1089 A1091:B1091 A1093:B1093 A1095:B1095 A1097:B1097 A1099:B1099 A1101:B1101 A1103:B1103 A1105:B1105 A1107:B1107 A1109:B1109 A1111:B1111 A1113:B1113 A1115:B1115 A1117:B1117 A1119:B1119 A1121:B1121 A1123:B1123 A1125:B1125 A1127:B1127 A1129:B1129 A1131:B1131 A1133:B1133 A1135:B1135 A1137:B1137 A1139:B1139 A1141:B1141 A1143:B1143 A1145:B1145 A1147:B1147 A1149:B1149 A1151:B1151 A1153:B1153 A1155:B1157 A1159:B1159 A1162:B1162 A1164:B1164 A1166:B1166 A1168:B1168 A1170:B1170 A1172:B1172 A1174:B1174 A1176:B1176 A1178:B1178 A1180:B1180 A1182:B1182 A1184:B1184 A1186:B1186 A1188:B1188 A1190:B1190 A1192:B1192 A1194:B1194 A1196:B1196 A1198:B1198 A1200:B1200 A1202:B1202 A1204:B1204 A1206:B1206 A1208:B1208 A1210:B1210 A1212:B1212 A1214:B1215 A1217:B1217 A1219:B1227 A1229:B1229 A1231:B1231 A1233:B1233 A1235:B1235 A1237:B1237 A1239:B1239 A1241:B1241 A1243:B1243 A1245:B1245 A1247:B1247 A1249:B1249 A1251:B1251 A1253:B1253 A1255:B1255 A1257:B1257 A1259:B1259 A1261:B1261 A1263:B1263 A1265:B1265 A1267:B1267 A1269:B1269 A1271:B1271 A1273:B1273 A1275:B1275 A1277:B1277 A1279:B1279 A1281:B1281 A1283:B1283 A1285:B1285 A1287:B1287 A1289:B1289 A1291:B1291 A1293:B1293 A1295:B1295 A1297:B1297 A1299:B1299 A1301:B1301 A1303:B1303 A1305:B1305 A1307:B1307 A1309:B1314 B1024">
    <cfRule type="expression" dxfId="30" priority="52">
      <formula>$L4=0</formula>
    </cfRule>
  </conditionalFormatting>
  <conditionalFormatting sqref="C4 C6 C8 C10 C12 C14 C16 C18 C20 C22 C24 C26 C28 C30 C32 C34 C36 C38 C40 C42 C44 C46 C48 C50 C52 C54 C56 C58 C60 C62 C64 C66 C68 C70 C72 C74 C76 C78 C80 C82 C84 C86 C88 C90 C92 C94 C96 C98 C100 C102 C104 C106 C108 C110 C112 C114 C116 C118 C120 C122 C124 C126 C128 C130 C132 C134 C136 C138 C140 C142 C144 C146 C148 C150 C152 C154 C156 C158 C160 C162 C164 C166 C168 C170 C172 C174 C176 C178 C180 C182 C184 C186 C188 C190 C192 C194 C196 C198 C200 C202 C204 C206 C208 C210 C212 C214 C216 C218 C220 C222 C224 C226 C228 C230 C232 C234 C236 C238 C240 C242 C244 C246 C248 C250 C252 C254 C256 C258 C260 C262 C264 C266 C268 C270 C272 C274 C276 C278 C280 C282 C284 C286 C288 C290 C292 C294 C296 C298 C300 C302 C304 C306 C308 C310 C312 C314 C316 C318 C320 C322 C324 C326 C328:C329 C331 C333 C335 C337 C339 C341 C343 C345 C347 C349 C351 C353 C355 C357 C359 C361 C363 C365 C367 C369 C371 C373 C375 C377 C379 C381 C383 C385 C387 C389 C391 C393 C395 C397 C399 C401 C403 C405 C407 C409 C411 C413 C415 C417 C419 C421 C423 C425 C427 C429 C431 C433 C435 C437 C439 C441 C443 C445 C447 C449 C451 C453 C455 C457 C459 C461 C463 C465 C467 C469 C471 C473 C475 C477 C479 C481 C483 C485 C487 C489 C491 C493 C495 C497 C499 C501 C503 C505 C507 C509 C511 C513 C515 C517 C519 C521 C523 C525 C527 C529 C531 C533 C535 C537 C539:C540 C542 C544 C546 C548 C550 C552 C554 C556 C558 C560 C562 C564 C566 C568 C570 C572 C574 C576 C578 C580 C582 C584 C586 C588 C590 C592 C594 C596 C598 C600 C602 C604 C606 C608 C610 C612 C614 C616 C618 C620 C622 C624 C626 C628 C630 C632 C634 C636 C638 C640 C642 C644 C646 C648 C650 C652 C654 C656 C658 C660 C662 C664 C666 C668 C670 C672 C674 C676 C678 C680 C682 C684 C686 C688 C690 C692 C694 C696 C698 C700 C702 C704 C706 C708 C710 C712 C714 C716 C718 C720 C722 C724 C726 C728 C730 C732 C734 C736 C738 C740 C742 C744 C746 C748 C750 C752 C754 C756 C758 C760 C762 C764 C766 C768 C770 C772 C774 C776 C778 C780 C782 C784 C786 C788 C790 C792 C794 C796 C798 C800 C802 C804 C806 C808 C810 C812 C814 C816 C818 C820 C822 C824 C826 C828 C830 C832 C834 C836 C838 C840 C842 C844 C846 C848 C850 C852 C854 C856 C858 C860 C862 C864 C866 C868 C870 C872 C874 C876 C878 C880 C882 C884 C886 C888 C890 C892 C894 C896 C898 C900 C902 C904 C906 C908 C910 C912 C914 C916 C918 C920 C922 C924 C926 C928 C930 C932 C934 C936 C938 C940 C942 C944 C946 C948 C950 C952 C954 C956 C958 C960 C962 C964 C966 C968 C970 C972 C974 C976 C978 C980 C982 C984 C986 C988 C990 C992 C994 C996 C998 C1000 C1002 C1004 C1006 C1008 C1010 C1012 C1014 C1016 C1018 C1020 C1022 C1024 C1026 C1028 C1030 C1032 C1034 C1036 C1038 C1040 C1042 C1044 C1046 C1048 C1050 C1052 C1054 C1056 C1058 C1060 C1062 C1064 C1066 C1068 C1070 C1072 C1075 C1077 C1079 C1081 C1083 C1085 C1087 C1089 C1091 C1093 C1095 C1097 C1099 C1101 C1103 C1105 C1107 C1109 C1111 C1113 C1115 C1117 C1119 C1121 C1123 C1125 C1127 C1129 C1131 C1133 C1135 C1137 C1139 C1141 C1143 C1145 C1147 C1149 C1151 C1153 C1155:C1157 C1159 C1162 C1164 C1166 C1168 C1170 C1172 C1174 C1176 C1178 C1180 C1182 C1184 C1186 C1188 C1190 C1192 C1194 C1196 C1198 C1200 C1202 C1204 C1206 C1208 C1210 C1212 C1214:C1215 C1217 C1219:C1227 C1229 C1231 C1233 C1235 C1237 C1239 C1241 C1243 C1245 C1247 C1249 C1251 C1253 C1255 C1257 C1259 C1261 C1263 C1265 C1267 C1269 C1271 C1273 C1275 C1277 C1279 C1281 C1283 C1285 C1287 C1289 C1291 C1293 C1295 C1297 C1299 C1301 C1303 C1305 C1307 C1309:C1314">
    <cfRule type="expression" dxfId="30" priority="48">
      <formula>$L4=0</formula>
    </cfRule>
  </conditionalFormatting>
  <conditionalFormatting sqref="D4:G4 D6:G6 D8:G8 D10:G10 D12:G12 D14:G14 D16:G16 D18:G18 D20:G20 D22:G22 D24:G24 D26:G26 D28:G28 D30:G30 D32:G32 D34:G34 D36:G36 D38:G38 D40:G40 D42:G42 D44:G44 D46:G46 D48:G48 D50:G50 D52:G52 D53 D54:G54 D56:G56 D58:G58 D60:G60 D62:G62 D64:G64 D66:G66 D68:G68 D70:G70 D72:G72 D74:G74 D76:G76 D80:G80 D82:G82 D84:G84 D86:G86 D88:G88 D90:G90 D92:G92 D94:G94 D96:G96 D98:G98 D100:G100 D102:G102 D104:G104 D106:G106 D108:G108 D110:G110 D112:G112 D114:G114 D116:G116 D118:G118 D120:G120 D122:G122 D124:G124 D126:G126 D128:G128 D130:G130 D132:G132 D134:G134 D136:G136 D138:G138 D140:G140 D142:G142 D144:G144 D146:G146 D148:G148 D154:G154 D156:G156 D158:G158 D160:G160 D162:G162 D164:G164 D166:G166 D168:G168 D170:G170 D172:G172 D174:G174 D176:G176 D178:G178 D180:G180 D182:G182 D186:G186 D188:G188 D190:G190 D192:G192 D194:G194 D196:G196 D198:G198 D200:G200 D202:G202 D204:G204 D206:G206 D208:G208 D210:G210 D212:G212 D214:G214 D220:G220 D222:G222 D224:G224 D226:G226 D232:G232 D234:G234 D236:G236 D238:G238 D240:G240 D242:G242 D244:G244 D246:G246 D248:G248 D250:G250 D252:G252 D254:G254 D255 D256:G256 D258:G258 D260:G260 D262:G262 D264:G264 D266:G266 D268:G268 D270:D273 D274:G274 D276:D277 D278:G278 D280:G280 D282:G282 D284:G284 D286:G286 D288:G288 D290:G290 D292:G292 D294:G294 D296:G296 D298:G298 D300:G300 D302:G302 D304:G304 D306:G306 D308:G308 D310:G310 D312:G312 D314:G314 D316:G316 D318:G318 D320:G320 D322:G322 D324:G324 D326:G326 D328:G328 D331:G331 D333:G333 D335:G335 D337:G337 D339:G339 D340 D341:G341 D343:G343 D345:G345 D347:G347 D349:G349 D350 D351:G351 D353:G353 D355:G355 D357:G357 D359:G359 D361:G361 D362:D363 D365:G365 D367:G367 D369:G369 D371:G371 D373:G373 D375:G375 D377:G377 D379:G379 D381:G381 D383:G383 D385:G385 D387:G387 D389:G389 D391:G391 D395:G395 D397:G397 D399:G399 D401:G401 D403:G403 D405:G405 D407:G407 D409:G409 D411:G411 D413:G413 D415:G415 D417:G417 D419:G419 D421:G421 D423:G423 D425:G425 D427:G427 D429:G429 D431:G431 D433:G433 D435:G435 D437:G437 D439:G439 D441:G441 D443:G443 D445:G445 D447:G447 D449:G449 D451:G451 D453:G453 D455:G455 D457:G457 D459:G459 D461:G461 D463:G463 D465:G465 D467:G467 D469:G469 D471:G471 D473:G473 D475:G475 D477:G477 D479:G479 D481:G481 D483:G483 D485:G485 D487:G487 D489:G489 D491:G491 D493:G493 D495:G495 D497:G497 D499:G499 D501:G501 D503:G503 D505:G505 D507:G507 D509:G509 D511:G511 D513:G513 D515:G515 D517:G517 D519:G519 D521:G521 D523:G523 D525:G525 D527:G527 D529:G529 D531:G531 D533:G533 D535:G535 D537:G537 D539:G540 D541 D542:G542 D544:G544 D546:G546 D548:G548 D550 D552:G552 D553 D554:G554 D556:G556 D558:G558 D560:G560 D562:G562 D564:G564 D566:G566 D568:G568 D570:G570 D572:G572 D574:G574 D576:G576 D578:G578 D580:G580 D582:G582 D584:G584 D586:G586 D588:G588 D590:G590 D592:G592 D594:G594 D596:G596 D598:G598 D600:G600 D602:G602 D604:G604 D606:G606 D608:G608 D610:G610 D612:G612 D614:G614 D616:G616 D618:G618 D620:G620 D622:G622 D624:G624 D626:G626 D628:G628 D630:G630 D632:G632 D634:G634 D636:G636 D638:G638 D640:G640 D642:G642 D644:G644 D646:G646 D648:G648 D650:G650 D652:G652 D654:G654 D656:G656 D660:G660 D662:G662 D664:G664 D666:G666 D668:G668 D670:G670 D672:G672 D674:G674 D676:G676 D678:G678 D680:G680 D682:G682 D684:G684 D686:G686 D688:G688 D690:G690 D692:G692 D694:G694 D696 D698:G698 D700:G700 D702:G702 D704:G704 D706:G706 D708:G708 D710:D711 D712:G712 D714:G714 D715 D716:G716 D717:D718 D720:G720 D722:G722 D724:G724 D726:G726 D728 D736:G736 D738:G738 D740:G740 D742:G742 D744:G744 D746:G746 D748:G748 D750:G750 D752:G752 D754:G754 D756:G756 D758:G758 D760:G760 D762:G762 D764:G764 D766:G766 D768:G768 D770:G770 D772:G772 D774:G774 D776:G776 D778:G778 D780:G780 D782:G782 D784:G784 D786:G786 D788:G788 D790:G790 D792:G792 D794:D795 D796:G796 D797 D798:G798 D799:D800 D802:D803 D804:G804 D806:G806 D808:G808 D810:G810 D812:G812 D814:G814 D815 D816:G816 D818:G818 D820:G820 D822:G822 D824:G824 D826:G826 D828:G828 D830:G830 D832:G832 D834:G834 D836:G836 D838:G838 D840:G840 D842:G842 D844:G844 D846:G846 D848:G848 D850:G850 D852:G852 D854:G854 D856:G856 D858:G858 D860:G860 D862:G862 D864:G864 D866:G866 D868:G868 D870:G870 D871 D872:G872 D874:G874 D876:G876 D878:G878 D882:G882 D884:G884 D886:G886 D888:G888 D890:G890 D892:G892 D893:E894 D898:G898 D900:G900 D902:G902 D904:G904 D906:G906 D908:G908 D910:G910 D912:G912 D914:G914 D916:G916 D918:G918 D920:G920 D922:G922 D924:G924 D926:G926 D928:G928 D930:G930 D932:G932 D934:G934 D936:G936 D938:G938 D940:G940 D942:G942 D944:G944 D946:G946 D948:G948 D950:G950 D952:G952 D954:G954 D956:G956 D958:G958 D960:G960 D962:G962 D966:G966 D968:G968 D970:G970 D972:G972 D974:G974 D976:G976 D978:G978 D980:G980 D982:G982 D984:G984 D986:G986 D988:G988 D990:G990 D992:G992 D994:G994 D996:G996 D998:G998 D1000:G1000 D1002:G1002 D1004:G1004 D1006:G1006 D1008:G1008 D1010:G1010 D1012:G1012 D1014:G1014 D1016:G1016 D1018:G1018 D1020:G1020 D1022:G1022 D1024:G1024 D1026:G1026 D1028:G1028 D1030:G1030 D1034:G1034 D1036:G1036 D1038:G1038 D1042:G1042 D1046:G1046 D1048:G1048 D1050:G1050 D1056:G1056 D1062:G1062 D1064:G1064 D1066:G1066 D1070:G1070 D1072:G1072 D1075:G1075 D1081:G1081 D1083:G1083 D1085:G1085 D1087:G1087 D1089:G1089 D1091:G1091 D1093:G1093 D1097:G1097 D1101:G1101 D1103:G1103 D1105:G1105 D1107:G1107 D1109:G1109 D1117:G1117 D1119:G1119 D1121:G1121 D1123:G1123 D1125:G1125 D1127:G1127 D1129:G1129 D1131:G1131 D1133:G1133 D1134:D1140 D1141:G1141 D1143:D1144 D1145:G1145 D1146:D1182 D1184:G1184 D1186:G1186 D1188:G1188 D1190:G1190 D1192:G1192 D1194:G1194 D1196:G1196 D1198:G1198 D1200:G1200 D1202:G1202 D1204:G1204 D1206:G1206 D1208:G1208 D1210:G1210 D1212:G1212 D1214:G1215 D1217:G1217 D1219:G1219 D1220:F1227 D1229:G1229 D1231:G1231 D1233:G1233 D1235:G1235 D1237:G1237 D1239:G1239 D1241:G1241 D1243:G1243 D1245:G1245 D1247:G1247 D1249:G1249 D1251:G1251 D1253:G1253 D1255:G1255 D1257:G1257 D1259:G1259 D1261:G1261 D1263:G1263 D1265:G1265 D1267:G1267 D1269:G1269 D1271:G1271 D1273:G1273 D1275:G1275 D1277:G1277 D1279:G1279 D1281:G1281 D1283:G1283 D1285:G1285 D1287:G1287 D1289:G1289 D1291:G1291 D1293:G1293 D1295:G1295 D1297:G1297 D1299:G1299 D1301:G1301 D1303:G1303 D1305:G1305 D1307:G1307 D1308:E1310 D1311:G1314 E78:G78 E150:G150 E152:G152 E184:G184 E216:G216 E218:G218 E228:G228 E230:G230 E270:G270 E272:G272 E276:G276 E363:G363 E393:G393 E658:G658 E677 E695:E696 E699 E710:G710 E718:G718 E727:E728 E730:G730 E732:G732 E734:G734 E794:G794 E800:G800 E802:G802 E880:G880 E896:G896 E964:G964 E1021 E1032:G1032 E1040:G1040 E1044:G1044 E1052:G1052 E1054:G1054 E1058:G1058 E1060:G1060 E1068:G1068 E1077:G1077 E1079:G1079 E1095:G1095 E1099:G1099 E1111:G1111 E1113:G1113 E1115:G1115 E1135:G1135 E1137:G1137 E1139:G1139 E1143:G1143 E1147:G1147 E1149:G1149 E1151:G1151 E1153:G1153 E1154:E1155 E1159:G1159 E1162:G1162 E1164:G1164 E1166:G1166 E1168:G1168 E1170:G1170 E1172:G1172 E1174:G1174 E1176:G1176 E1178:G1178 E1180:G1180 E1182:G1182 F51 F329:G329 F550:G550 F696:G696 F728:G728 F894:G894 F1155:G1157 F1309:G1310 G1220:G1228">
    <cfRule type="expression" dxfId="30" priority="49">
      <formula>$L4=0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1: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containsBlanks" dxfId="32" priority="51">
      <formula>LEN(TRIM(N4))=0</formula>
    </cfRule>
  </conditionalFormatting>
  <conditionalFormatting sqref="N4:R4 N6:R6 N8:R8 N10:R10 N12:R12 N14:R14 N16:R16 N18:R18 N20:R20 N22:R22 N24:R24 N26:R26 N28:R28 N30:R30 N32:R32 N34:R34 N36:R36 N38:R38 N40:R40 N42:R42 N44:R44 N46:R46 N48:R48 N50:R50 N52:R52 N54:R54 N56:R56 N58:R58 N60:R60 N62:R62 N64:R64 N66:R66 N68:R68 N70:R70 N72:R72 N74:R74 N76:R76 N78:R78 N80:R80 N82:R82 N84:R84 N86:R86 N88:R88 N90:R90 N92:R92 N94:R94 N96:R96 N98:R98 N100:R100 N102:R102 N104:R104 N106:R106 N108:R108 N110:R110 N112:R112 N114:R114 N116:R116 N118:R118 N120:R120 N122:R122 N124:R124 N126:R126 N128:R128 N130:R130 N132:R132 N134:R134 N136:R136 N138:R138 N140:R140 N142:R142 N144:R144 N146:R146 N148:R148 N150:R150 N152:R152 N154:R154 N156:R156 N158:R158 N160:R160 N162:R162 N164:R164 N166:R166 N168:R168 N170:R170 N172:R172 N174:R174 N176:R176 N178:R178 N180:R180 N182:R182 N184:R184 N186:R186 N188:R188 N190:R190 N192:R192 N194:R194 N196:R196 N198:R198 N200:R200 N202:R202 N204:R204 N206:R206 N208:R208 N210:R210 N212:R212 N214:R214 N216:R216 N218:R218 N220:R220 N222:R222 N224:R224 N226:R226 N228:R228 N230:R230 N232:R232 N234:R234 N236:R236 N238:R238 N240:R240 N242:R242 N244:R244 N246:R246 N248:R248 N250:R250 N252:R252 N254:R254 N256:R256 N258:R258 N260:R260 N262:R262 N264:R264 N266:R266 N268:R268 N270:R270 N272:R272 N274:R274 N276:R276 N278:R278 N280:R280 N282:R282 N284:R284 N286:R286 N288:R288 N290:R290 N292:R292 N294:R294 N296:R296 N298:R298 N300:R300 N302:R302 N304:R304 N306:R306 N308:R308 N310:R310 N312:R312 N314:R314 N316:R316 N318:R318 N320:R320 N322:R322 N324:R324 N326:R326 N328:R328 N329 N331:R331 N333:R333 N335:R335 N337:R337 N339:R339 N341:R341 N343:R343 N345:R345 N347:R347 N349:R349 N351:R351 N353:R353 N355:R355 N357:R357 N359:R359 N361:R361 N363:R363 N365:R365 N367:R367 N369:R369 N371:R371 N373:R373 N375:R375 N377:R377 N379:R379 N381:R381 N383:R383 N385:R385 N387:R387 N389:R389 N391:R391 N393:R393 N395:R395 N397:R397 N399:R399 N401:R401 N403:R403 N405:R405 N407:R407 N409:R409 N411:R411 N413:R413 N415:R415 N417:R417 N419:R419 N421:R421 N423:R423 N425:R425 N427:R427 N429:R429 N431:R431 N433:R433 N435:R435 N437:R437 N439:R439 N441:R441 N443:R443 N445:R445 N447:R447 N449:R449 N451:R451 N453:R453 N455:R455 N457:R457 N459:R459 N461:R461 N463:R463 N465:R465 N467:R467 N469:R469 N471:R471 N473:R473 N475:R475 N477:R477 N479:R479 N481:R481 N483:R483 N485:R485 N487:R487 N489:R489 N491:R491 N493:R493 N495:R495 N497:R497 N499:R499 N501:R501 N503:R503 N505:R505 N507:R507 N509:R509 N511:R511 N513:R513 N515:R515 N517:R517 N519:R519 N521:R521 N523:R523 N525:R525 N527:R527 N529:R529 N531:R531 N533:R533 N535:R535 N537:R537 N539:R540 N542:R542 N544:R544 N546:R546 N548:R548 N550:R550 N552:R552 N554:R554 N556:R556 N558:R558 N560:R560 N562:R562 N564:R564 N566:R566 N568:R568 N570:R570 N572:R572 N574:R574 N576:R576 N578:R578 N580:R580 N582:R582 N584:R584 N586:R586 N588:R588 N590:R590 N592:R592 N594:R594 N596:R596 N598:R598 N600:R600 N602:R602 N604:R604 N606:R606 N608:R608 N610:R610 N612:R612 N614:R614 N616:R616 N618:R618 N620:R620 N622:R622 N624:R624 N626:R626 N628:R628 N630:R630 N632:R632 N634:R634 N636:R636 N638:R638 N640:R640 N642:R642 N644:R644 N646:R646 N648:R648 N650:R650 N652:R652 N654:R654 N656:R656 N658:R658 N660:R660 N662:R662 N664:R664 N666:R666 N668:R668 N670:R670 N672:R672 N674:R674 N676:R676 N678:R678 N680:R680 N682:R682 N684:R684 N686:R686 N688:R688 N690:R690 N692:R692 N694:R694 N696:R696 N698:R698 N700:R700 N702:R702 N704:R704 N706:R706 N708:R708 N710:R710 N712:R712 N714:R714 N716:R716 N718:R718 N720:R720 N722:R722 N724:R724 N726:R726 N728:R728 N730:R730 N732:R732 N734:R734 N736:R736 N738:R738 N740:R740 N742:R742 N744:R744 N746:R746 N748:R748 N750:R750 N752:R752 N754:R754 N756:R756 N758:R758 N760:R760 N762:R762 N764:R764 N766:R766 N768:R768 N770:R770 N772:R772 N774:R774 N776:R776 N778:R778 N780:R780 N782:R782 N784:R784 N786:R786 N788:R788 N790:R790 N792:R792 N794:R794 N796:R796 N798:R798 N800:R800 N802:R802 N804:R804 N806:R806 N808:R808 N810:R810 N812:R812 N814:R814 N816:R816 N818:R818 N820:R820 N822:R822 N824:R824 N826:R826 N828:R828 N830:R830 N832:R832 N834:R834 N836:R836 N838:R838 N840:R840 N842:R842 N844:R844 N846:R846 N848:R848 N850:R850 N852:R852 N854:R854 N856:R856 N858:R858 N860:R860 N862:R862 N864:R864 N866:R866 N868:R868 N870:R870 N872:R872 N874:R874 N876:R876 N878:R878 N880:R880 N882:R882 N884:R884 N886:R886 N888:R888 N890:R890 N892:R892 N894:R894 N896:R896 N898:R898 N900:R900 N902:R902 N904:R904 N906:R906 N908:R908 N910:R910 N912:R912 N914:R914 N916:R916 N918:R918 N920:R920 N922:R922 N924:R924 N926:R926 N928:R928 N930:R930 N932:R932 N934:R934 N936:R936 N938:R938 N940:R940 N942:R942 N944:R944 N946:R946 N948:R948 N950:R950 N952:R952 N954:R954 N956:R956 N958:R958 N960:R960 N962:R962 N964:R964 N966:R966 N968:R968 N970:R970 N972:R972 N974:R974 N976:R976 N978:R978 N980:R980 N982:R982 N984:R984 N986:R986 N988:R988 N990:R990 N992:R992 N994:R994 N996:R996 N998:R998 N1000:R1000 N1002:R1002 N1004:R1004 N1006:R1006 N1008:R1008 N1010:R1010 N1012:R1012 N1014:R1014 N1016:R1016 N1018:R1018 N1020:R1020 N1022:R1022 N1024:R1024 N1026:R1026 N1028:R1028 N1030:R1030 N1032:R1032 N1034:R1034 N1036:R1036 N1038:R1038 N1040:R1040 N1042:R1042 N1044:R1044 N1046:R1046 N1048:R1048 N1050:R1050 N1052:R1052 N1054:R1054 N1056:R1056 N1058:R1058 N1060:R1060 N1062:R1062 N1064:R1064 N1066:R1066 N1068:R1068 N1070:R1070 N1072:R1072 N1075:R1075 N1077:R1077 N1079:R1079 N1081:R1081 N1083:R1083 N1085:R1085 N1087:R1087 N1089:R1089 N1091:R1091 N1093:R1093 N1095:R1095 N1097:R1097 N1099:R1099 N1101:R1101 N1103:R1103 N1105:R1105 N1107:R1107 N1109:R1109 N1111:R1111 N1113:R1113 N1115:R1115 N1117:R1117 N1119:R1119 N1121:R1121 N1123:R1123 N1125:R1125 N1127:R1127 N1129:R1129 N1131:R1131 N1133:R1133 N1135:R1135 N1137:R1137 N1139:R1139 N1141:R1141 N1143:R1143 N1145:R1145 N1147:R1147 N1149:R1149 N1151:R1151 N1153:R1153 N1155:R1157 N1159:R1159 N1162:R1162 N1164:R1164 N1166:R1166 N1168:R1168 N1170:R1170 N1172:R1172 N1174:R1174 N1176:R1176 N1178:R1178 N1180:R1180 N1182:R1182 N1184:R1184 N1186:R1186 N1188:R1188 N1190:R1190 N1192:R1192 N1194:R1194 N1196:R1196 N1198:R1198 N1200:R1200 N1202:R1202 N1204:R1204 N1206:R1206 N1208:R1208 N1210:R1210 N1212:R1212 N1214:O1215 N1217:R1217 N1219:R1227 N1229:R1229 N1231:R1231 N1233:R1233 N1235:R1235 N1237:R1237 N1239:R1239 N1241:R1241 N1243:R1243 N1245:R1245 N1247:R1247 N1249:R1249 N1251:R1251 N1253:R1253 N1255:R1255 N1257:R1257 N1259:R1259 N1261:R1261 N1263:R1263 N1265:R1265 N1267:R1267 N1269:R1269 N1271:R1271 N1273:R1273 N1275:R1275 N1277:R1277 N1279:R1279 N1281:R1281 N1283:R1283 N1285:R1285 N1287:R1287 N1289:R1289 N1291:R1291 N1293:R1293 N1295:R1295 N1297:O1297 N1299:R1299 N1301:R1301 N1303:R1303 N1305:R1305 N1306:O1314 P329:R329 Q1214:R1215 Q1297:R1297 Q1307:R1307 Q1309:R1314">
    <cfRule type="expression" dxfId="30" priority="50">
      <formula>$L4=0</formula>
    </cfRule>
  </conditionalFormatting>
  <conditionalFormatting sqref="U4 U6 U8 U10 U12 U14 U16 U18 U20 U22 U24 U26 U28 U30 U32 U34 U36 U38 U40 U42 U44 U46 U48 U50 U52 U54 U56 U58 U60 U62 U64 U66 U68 U70 U72 U74 U76 U78 U80 U82 U84 U86 U88 U90 U92 U94 U96 U98 U100 U102 U104 U106 U108 U110 U112 U114 U116 U118 U120 U122 U124 U126 U128 U130 U132 U134 U136 U138 U140 U142 U144 U146 U148 U150 U152 U154 U156 U158 U160 U162 U164 U166 U168 U170 U172 U174 U176 U178 U180 U182 U184 U186 U188 U190 U192 U194 U196 U198 U200 U202 U204 U206 U208 U210 U212 U214 U216 U218 U220 U222 U224 U226 U228 U230 U232 U234 U236 U238 U240 U242 U244 U246 U248 U250 U252 U254 U256 U258 U260 U262 U264 U266 U268 U270 U272 U274 U276 U278 U280 U282 U284 U286 U288 U290 U292 U294 U296 U298 U300 U302 U304 U306 U308 U310 U312 U314 U316 U318 U320 U322 U324 U326 U328:U329 U331 U333 U335 U337 U339 U341 U343 U345 U347 U349 U351 U353 U355 U357 U359 U361 U363 U365 U367 U369 U371 U373 U375 U377 U379 U381 U383 U385 U387 U389 U391 U393 U395 U397 U399 U401 U403 U405 U407 U409 U411 U413 U415 U417 U419 U421 U423 U425 U427 U429 U431 U433 U435 U437 U439 U441 U443 U445 U447 U449 U451 U453 U455 U457 U459 U461 U463 U465 U467 U469 U471 U473 U475 U477 U479 U481 U483 U485 U487 U489 U491 U493 U495 U497 U499 U501 U503 U505 U507 U509 U511 U513 U515 U517 U519 U521 U523 U525 U527 U529 U531 U533 U535 U537 U539:U540 U542 U544 U546 U548 U550 U552 U554 U556 U558 U560 U562 U564 U566 U568 U570 U572 U574 U576 U578 U580 U582 U584 U586 U588 U590 U592 U594 U596 U598 U600 U602 U604 U606 U608 U610 U612 U614 U616 U618 U620 U622 U624 U626 U628 U630 U632 U634 U636 U638 U640 U642 U644 U646 U648 U650 U652 U654 U656 U658 U660 U662 U664 U666 U668 U670 U672 U674 U676 U678 U680 U682 U684 U686 U688 U690 U692 U694 U696 U698 U700 U702 U704 U706 U708 U710 U712 U714 U716 U718 U720 U722 U724 U726 U728 U730 U732 U734 U736 U738 U740 U742 U744 U746 U748 U750 U752 U754 U756 U758 U760 U762 U764 U766 U768 U770 U772 U774 U776 U778 U780 U782 U784 U786 U788 U790 U792 U794 U796 U798 U800 U802 U804 U806 U808 U810 U812 U814 U816 U818 U820 U822 U824 U826 U828 U830 U832 U834 U836 U838 U840 U842 U844 U846 U848 U850 U852 U854 U856 U858 U860 U862 U864 U866 U868 U870 U872 U874 U876 U878 U880 U882 U884 U886 U888 U890 U892 U894 U896 U898 U900 U902 U904 U906 U908 U910 U912 U914 U916 U918 U920 U922 U924 U926 U928 U930 U932 U934 U936 U938 U940 U942 U944 U946 U948 U950 U952 U954 U956 U958 U960 U962 U964 U966 U968 U970 U972 U974 U976 U978 U980 U982 U984 U986 U988 U990 U992 U994 U996 U998 U1000 U1002 U1004 U1006 U1008 U1010 U1012 U1014 U1016 U1018 U1020 U1022 U1024 U1026 U1028 U1030 U1032 U1034 U1036 U1038 U1040 U1042 U1044 U1046 U1048 U1050 U1052 U1054 U1056 U1058 U1060 U1062 U1064 U1066 U1068 U1070 U1072 U1075 U1077 U1079 U1081 U1083 U1085 U1087 U1089 U1091 U1093 U1095 U1097 U1099 U1101 U1103 U1105 U1107 U1109 U1111 U1113 U1115 U1117 U1119 U1121 U1123 U1125 U1127 U1129 U1131 U1133 U1135 U1137 U1139 U1141 U1143 U1145 U1147 U1149 U1151 U1153 U1155:U1157 U1159 U1162 U1164 U1166 U1168 U1170 U1172 U1174 U1176 U1178 U1180 U1182 U1184 U1186 U1188 U1190 U1192 U1194 U1196 U1198 U1200 U1202 U1204 U1206 U1208 U1210 U1212 U1214:U1215 U1217 U1219:U1227 U1229 U1231 U1233 U1235 U1237 U1239 U1241 U1243 U1245 U1247 U1249 U1251 U1253 U1255 U1257 U1259 U1261 U1263 U1265 U1267 U1269 U1271 U1273 U1275 U1277 U1279 U1281 U1283 U1285 U1287 U1289 U1291 U1293 U1295 U1297 U1299 U1301 U1303 U1305 U1307">
    <cfRule type="expression" dxfId="30" priority="47">
      <formula>$L4=0</formula>
    </cfRule>
  </conditionalFormatting>
  <conditionalFormatting sqref="Y4 Y6 Y8 Y10 Y12 Y14 Y16 Y18 Y20 Y22 Y24 Y26 Y28 Y30 Y32 Y34 Y36 Y38 Y40 Y42 Y44 Y46 Y48 Y50 Y52 Y54 Y56 Y58 Y60 Y62 Y64 Y66 Y68 Y70 Y72 Y74 Y76 Y78 Y80 Y82 Y84 Y86 Y88 Y90 Y92 Y94 Y96 Y98 Y100 Y102 Y104 Y106 Y108 Y110 Y112 Y114 Y116 Y118 Y120 Y122 Y124 Y126 Y128 Y130 Y132 Y134 Y136 Y138 Y140 Y142 Y144 Y146 Y148 Y150 Y152 Y154 Y156 Y158 Y160 Y162 Y164 Y166 Y168 Y170 Y172 Y174 Y176 Y178 Y180 Y182 Y184 Y186 Y188 Y190 Y192 Y194 Y196 Y198 Y200 Y202 Y204 Y206 Y208 Y210 Y212 Y214 Y216 Y218 Y220 Y222 Y224 Y226 Y228 Y230 Y232 Y234 Y236 Y238 Y240 Y242 Y244 Y246 Y248 Y250 Y252 Y254 Y256 Y258 Y260 Y262 Y264 Y266 Y268 Y270 Y272 Y274 Y276 Y278 Y280 Y282 Y284 Y286 Y288 Y290 Y292 Y294 Y296 Y298 Y300 Y302 Y304 Y306 Y308 Y310 Y312 Y314 Y316 Y318 Y320 Y322 Y324 Y326 Y328:Y329 Y331 Y333 Y335 Y337 Y339 Y341 Y343 Y345 Y347 Y349 Y351 Y353 Y355 Y357 Y359 Y361 Y363 Y365 Y367 Y369 Y371 Y373 Y375 Y377 Y379 Y381 Y383 Y385 Y387 Y389 Y391 Y393 Y395 Y397 Y399 Y401 Y403 Y405 Y407 Y409 Y411 Y413 Y415 Y417 Y419 Y421 Y423 Y425 Y427 Y429 Y431 Y433 Y435 Y437 Y439 Y441 Y443 Y445 Y447 Y449 Y451 Y453 Y455 Y457 Y459 Y461 Y463 Y465 Y467 Y469 Y471 Y473 Y475 Y477 Y479 Y481 Y483 Y485 Y487 Y489 Y491 Y493 Y495 Y497 Y499 Y501 Y503 Y505 Y507 Y509 Y511 Y513 Y515 Y517 Y519 Y521 Y523 Y525 Y527 Y529 Y531 Y533 Y535 Y537 Y539:Y540 Y542 Y544 Y546 Y548 Y550 Y552 Y554 Y556 Y558 Y560 Y562 Y564 Y566 Y568 Y570 Y572 Y574 Y576 Y578 Y580 Y582 Y584 Y586 Y588 Y590 Y592 Y594 Y596 Y598 Y600 Y602 Y604 Y606 Y608 Y610 Y612 Y614 Y616 Y618 Y620 Y622 Y624 Y626 Y628 Y630 Y632 Y634 Y636 Y638 Y640 Y642 Y644 Y646 Y648 Y650 Y652 Y654 Y656 Y658 Y660 Y662 Y664 Y666 Y668 Y670 Y672 Y674 Y676 Y678 Y680 Y682 Y684 Y686 Y688 Y690 Y692 Y694 Y696 Y698 Y700 Y702 Y704 Y706 Y708 Y710 Y712 Y714 Y716 Y718 Y720 Y722 Y724 Y726 Y728 Y730 Y732 Y734 Y736 Y738 Y740 Y742 Y744 Y746 Y748 Y750 Y752 Y754 Y756 Y758 Y760 Y762 Y764 Y766 Y768 Y770 Y772 Y774 Y776 Y778 Y780 Y782 Y784 Y786 Y788 Y790 Y792 Y794 Y796 Y798 Y800 Y802 Y804 Y806 Y808 Y810 Y812 Y814 Y816 Y818 Y820 Y822 Y824 Y826 Y828 Y830 Y832 Y834 Y836 Y838 Y840 Y842 Y844 Y846 Y848 Y850 Y852 Y854 Y856 Y858 Y860 Y862 Y864 Y866 Y868 Y870 Y872 Y874 Y876 Y878 Y880 Y882 Y884 Y886 Y888 Y890 Y892 Y894 Y896 Y898 Y900 Y902 Y904 Y906 Y908 Y910 Y912 Y914 Y916 Y918 Y920 Y922 Y924 Y926 Y928 Y930 Y932 Y934 Y936 Y938 Y940 Y942 Y944 Y946 Y948 Y950 Y952 Y954 Y956 Y958 Y960 Y962 Y964 Y966 Y968 Y970 Y972 Y974 Y976 Y978 Y980 Y982 Y984 Y986 Y988 Y990 Y992 Y994 Y996 Y998 Y1000 Y1002 Y1004 Y1006 Y1008 Y1010 Y1012 Y1014 Y1016 Y1018 Y1020 Y1022 Y1024 Y1026 Y1028 Y1030 Y1032 Y1034 Y1036 Y1038 Y1040 Y1042 Y1044 Y1046 Y1048 Y1050 Y1052 Y1054 Y1056 Y1058 Y1060 Y1062 Y1064 Y1066 Y1068 Y1070 Y1072 Y1075 Y1077 Y1079 Y1081 Y1083 Y1085 Y1087 Y1089 Y1091 Y1093 Y1095 Y1097 Y1099 Y1101 Y1103 Y1105 Y1107 Y1109 Y1111 Y1113 Y1115 Y1117 Y1119 Y1121 Y1123 Y1125 Y1127 Y1129 Y1131 Y1133 Y1135 Y1137 Y1139 Y1141 Y1143 Y1145 Y1147 Y1149 Y1151 Y1153 Y1155:Y1157 Y1159 Y1162 Y1164 Y1166 Y1168 Y1170 Y1172 Y1174 Y1176 Y1178 Y1180 Y1182 Y1184 Y1186 Y1188 Y1190 Y1192 Y1194 Y1196 Y1198 Y1200 Y1202 Y1204 Y1206 Y1208 Y1210 Y1212 Y1214:Y1215 Y1217 Y1219:Y1227 Y1229 Y1231 Y1233 Y1235 Y1237 Y1239 Y1241 Y1243 Y1245 Y1247 Y1249 Y1251 Y1253 Y1255 Y1257 Y1259 Y1261 Y1263 Y1265 Y1267 Y1269 Y1271 Y1273 Y1275 Y1277 Y1279 Y1281 Y1283 Y1285 Y1287 Y1289 Y1291 Y1293 Y1295 Y1297 Y1299 Y1301 Y1303 Y1305 Y1307 Y1309:Y1314">
    <cfRule type="expression" dxfId="30" priority="40">
      <formula>$L4=0</formula>
    </cfRule>
  </conditionalFormatting>
  <conditionalFormatting sqref="Z4:AC4 Z6:AC6 Z8:AC8 Z10:AC10 Z12:AC12 Z14:AC14 Z16:AC16 Z18:AC18 Z20:AC20 Z22:AC22 Z24:AC24 Z26:AC26 Z28:AC28 Z30:AC30 Z32:AC32 Z34:AC34 Z36:AC36 Z38:AC38 Z40:AC40 Z42:AC42 Z44:AC44 Z46:AC46 Z48:AC48 Z50:AC50 Z52:AC52 Z54:AC54 Z56:AC56 Z58:AC58 Z60:AC60 Z62:AC62 Z64:AC64 Z66:AC66 Z68:AC68 Z70:AC70 Z72:AC72 Z74:AC74 Z76:AC76 Z78:AC78 Z80:AC80 Z82:AC82 Z84:AC84 Z86:AC86 Z88:AC88 Z90:AC90 Z92:AC92 Z94:AC94 Z96:AC96 Z98:AC98 Z100:AC100 Z102:AC102 Z104:AC104 Z106:AC106 Z108:AC108 Z110:AC110 Z112:AC112 Z114:AC114 Z116:AC116 Z118:AC118 Z120:AC120 Z122:AC122 Z124:AC124 Z126:AC126 Z128:AC128 Z130:AC130 Z132:AC132 Z134:AC134 Z136:AC136 Z138:AC138 Z140:AC140 Z142:AC142 Z144:AC144 Z146:AC146 Z148:AC148 Z150:AC150 Z152:AC152 Z154:AC154 Z156:AC156 Z158:AC158 Z160:AC160 Z162:AC162 Z164:AC164 Z166:AC166 Z168:AC168 Z170:AC170 Z172:AC172 Z174:AC174 Z176:AC176 Z178:AC178 Z180:AC180 Z182:AC182 Z184:AC184 Z186:AC186 Z188:AC188 Z190:AC190 Z192:AC192 Z194:AC194 Z196:AC196 Z198:AC198 Z200:AC200 Z202:AC202 Z204:AC204 Z206:AC206 Z208:AC208 Z210:AC210 Z212:AC212 Z214:AC214 Z216:AC216 Z218:AC218 Z220:AC220 Z222:AC222 Z224:AC224 Z226:AC226 Z228:AC228 Z230:AC230 Z232:AC232 Z234:AC234 Z236:AC236 Z238:AC238 Z240:AC240 Z242:AC242 Z244:AC244 Z246:AC246 Z248:AC248 Z250:AC250 Z252:AC252 Z254:AC254 Z256:AC256 Z258:AC258 Z260:AC260 Z262:AC262 Z264:AC264 Z266:AC266 Z268:AC268 Z270:AC270 Z272:AC272 Z274:AC274 Z276:AC276 Z278:AC278 Z280:AC280 Z282:AC282 Z284:AC284 Z286:AC286 Z288:AC288 Z290:AC290 Z292:AC292 Z294:AC294 Z296:AC296 Z298:AC298 Z300:AC300 Z302:AC302 Z304:AC304 Z306:AC306 Z308:AC308 Z310:AC310 Z312:AC312 Z314:AC314 Z316:AC316 Z318:AC318 Z320:AC320 Z322:AC322 Z324:AC324 Z326:AC326 Z328:AC329 Z331:AC331 Z333:AC333 Z335:AC335 Z337:AC337 Z339:AC339 Z341:AC341 Z343:AC343 Z345:AC345 Z347:AC347 Z349:AC349 Z351:AC351 Z353:AC353 Z355:AC355 Z357:AC357 Z359:AC359 Z361:AC361 Z363:AC363 Z365:AC365 Z367:AC367 Z369:AC369 Z371:AC371 Z373:AC373 Z375:AC375 Z377:AC377 Z379:AC379 Z381:AC381 Z383:AC383 Z385:AC385 Z387:AC387 Z389:AC389 Z391:AC391 Z393:AC393 Z395:AC395 Z397:AC397 Z399:AC399 Z401:AC401 Z403:AC403 Z405:AC405 Z407:AC407 Z409:AC409 Z411:AC411 Z413:AC413 Z415:AC415 Z417:AC417 Z419:AC419 Z421:AC421 Z423:AC423 Z425:AC425 Z427:AC427 Z429:AC429 Z431:AC431 Z433:AC433 Z435:AC435 Z437:AC437 Z439:AC439 Z441:AC441 Z443:AC443 Z445:AC445 Z447:AC447 Z449:AC449 Z451:AC451 Z453:AC453 Z455:AC455 Z457:AC457 Z459:AC459 Z461:AC461 Z463:AC463 Z465:AC465 Z467:AC467 Z469:AC469 Z471:AC471 Z473:AC473 Z475:AC475 Z477:AC477 Z479:AC479 Z481:AC481 Z483:AC483 Z485:AC485 Z487:AC487 Z489:AC489 Z491:AC491 Z493:AC493 Z495:AC495 Z497:AC497 Z499:AC499 Z501:AC501 Z503:AC503 Z505:AC505 Z507:AC507 Z509:AC509 Z511:AC511 Z513:AC513 Z515:AC515 Z517:AC517 Z519:AC519 Z521:AC521 Z523:AC523 Z525:AC525 Z527:AC527 Z529:AC529 Z531:AC531 Z533:AC533 Z535:AC535 Z537:AC537 Z539:AC540 Z542:AC542 Z544:AC544 Z546:AC546 Z548:AC548 Z550:AC550 Z552:AC552 Z554:AC554 Z556:AC556 Z558:AC558 Z560:AC560 Z562:AC562 Z564:AC564 Z566:AC566 Z568:AC568 Z570:AC570 Z572:AC572 Z574:AC574 Z576:AC576 Z578:AC578 Z580:AC580 Z582:AC582 Z584:AC584 Z586:AC586 Z588:AC588 Z590:AC590 Z592:AC592 Z594:AC594 Z596:AC596 Z598:AC598 Z600:AC600 Z602:AC602 Z604:AC604 Z606:AC606 Z608:AC608 Z610:AC610 Z612:AC612 Z614:AC614 Z616:AC616 Z618:AC618 Z620:AC620 Z622:AC622 Z624:AC624 Z626:AC626 Z628:AC628 Z630:AC630 Z632:AC632 Z634:AC634 Z636:AC636 Z638:AC638 Z640:AC640 Z642:AC642 Z644:AC644 Z646:AC646 Z648:AC648 Z650:AC650 Z652:AC652 Z654:AC654 Z656:AC656 Z658:AC658 Z660:AC660 Z662:AC662 Z664:AC664 Z666:AC666 Z668:AC668 Z670:AC670 Z672:AC672 Z674:AC674 Z676:AC676 Z678:AC678 Z680:AC680 Z682:AC682 Z684:AC684 Z686:AC686 Z688:AC688 Z690:AC690 Z692:AC692 Z694:AC694 Z696:AC696 Z698:AC698 Z700:AC700 Z702:AC702 Z704:AC704 Z706:AC706 Z708:AC708 Z710:AC710 Z712:AC712 Z714:AC714 Z716:AC716 Z718:AC718 Z720:AC720 Z722:AC722 Z724:AC724 Z726:AC726 Z728:AC728 Z730:AC730 Z732:AC732 Z734:AC734 Z736:AC736 Z738:AC738 Z740:AC740 Z742:AC742 Z744:AC744 Z746:AC746 Z748:AC748 Z750:AC750 Z752:AC752 Z754:AC754 Z756:AC756 Z758:AC758 Z760:AC760 Z762:AC762 Z764:AC764 Z766:AC766 Z768:AC768 Z770:AC770 Z772:AC772 Z774:AC774 Z776:AC776 Z778:AC778 Z780:AC780 Z782:AC782 Z784:AC784 Z786:AC786 Z788:AC788 Z790:AC790 Z792:AC792 Z794:AC794 Z796:AC796 Z798:AC798 Z800:AC800 Z802:AC802 Z804:AC804 Z806:AC806 Z808:AC808 Z810:AC810 Z812:AC812 Z814:AC814 Z816:AC816 Z818:AC818 Z820:AC820 Z822:AC822 Z824:AC824 Z826:AC826 Z828:AC828 Z830:AC830 Z832:AC832 Z834:AC834 Z836:AC836 Z838:AC838 Z840:AC840 Z842:AC842 Z844:AC844 Z846:AC846 Z848:AC848 Z850:AC850 Z852:AC852 Z854:AC854 Z856:AC856 Z858:AC858 Z860:AC860 Z862:AC862 Z864:AC864 Z866:AC866 Z868:AC868 Z870:AC870 Z872:AC872 Z874:AC874 Z876:AC876 Z878:AC878 Z880:AC880 Z882:AC882 Z884:AC884 Z886:AC886 Z888:AC888 Z890:AC890 Z892:AC892 Z894:AC894 Z896:AC896 Z898:AC898 Z900:AC900 Z902:AC902 Z904:AC904 Z906:AC906 Z908:AC908 Z910:AC910 Z912:AC912 Z914:AC914 Z916:AC916 Z918:AC918 Z920:AC920 Z922:AC922 Z924:AC924 Z926:AC926 Z928:AC928 Z930:AC930 Z932:AC932 Z934:AC934 Z936:AC936 Z938:AC938 Z940:AC940 Z942:AC942 Z944:AC944 Z946:AC946 Z948:AC948 Z950:AC950 Z952:AC952 Z954:AC954 Z956:AC956 Z958:AC958 Z960:AC960 Z962:AC962 Z964:AC964 Z966:AC966 Z968:AC968 Z970:AC970 Z972:AC972 Z974:AC974 Z976:AC976 Z978:AC978 Z980:AC980 Z982:AC982 Z984:AC984 Z986:AC986 Z988:AC988 Z990:AC990 Z992:AC992 Z994:AC994 Z996:AC996 Z998:AC998 Z1000:AC1000 Z1002 Z1004 Z1006 Z1008 Z1010 Z1012 Z1014 Z1016 Z1018 Z1020 Z1022 Z1024 Z1026 Z1028 Z1030 Z1032 Z1034 Z1036 Z1038 Z1040 Z1042 Z1044 Z1046 Z1048 Z1050 Z1052 Z1054 Z1056 Z1058 Z1060 Z1062 Z1064 Z1066 Z1068 Z1070 Z1072 Z1075 Z1077 Z1079 Z1081 Z1083 Z1085 Z1087 Z1089 Z1091 Z1093 Z1095 Z1097 Z1099 Z1101 Z1103 Z1105 Z1107 Z1109 Z1111 Z1113 Z1115 Z1117 Z1119 Z1121 Z1123 Z1125 Z1127 Z1129 Z1131 Z1133 Z1135 Z1137 Z1139 Z1141 Z1143 Z1145 Z1147 Z1149 Z1151 Z1153 Z1155:Z1157 Z1159 Z1162 Z1164 Z1166 Z1168 Z1170 Z1172 Z1174 Z1176 Z1178 Z1180 Z1182 Z1184 Z1186 Z1188 Z1190 Z1192 Z1194 Z1196 Z1198 Z1200 Z1202 Z1204 Z1206 Z1208 Z1210 Z1212 Z1214:Z1215 Z1217 Z1219:Z1227 Z1229 Z1231 Z1233 Z1235 Z1237 Z1239 Z1241 Z1243 Z1245 Z1247 Z1249 Z1251 Z1253 Z1255 Z1257 Z1259 Z1261 Z1263 Z1265 Z1267 Z1269 Z1271 Z1273 Z1275 Z1277 Z1279 Z1281 Z1283 Z1285 Z1287 Z1289 Z1291 Z1293 Z1295 Z1297 Z1299 Z1301 Z1303 Z1305 Z1307 Z1309:Z1314 AC1002 AC1004 AC1006 AC1008 AC1010 AC1012 AC1014 AC1016 AC1018 AC1020 AC1022 AC1024 AC1026 AC1028 AC1030 AC1032 AC1034 AC1036 AC1038 AC1040 AC1042 AC1044 AC1046 AC1048 AC1050 AC1052 AC1054 AC1056 AC1058 AC1060 AC1062 AC1064 AC1066 AC1068 AC1070 AC1072 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AC1157 AC1159 AC1162 AC1164 AC1166 AC1168 AC1170 AC1172 AC1174 AC1176 AC1178 AC1180 AC1182 AC1184 AC1186 AC1188 AC1190 AC1192 AC1194 AC1196 AC1198 AC1200 AC1202 AC1204 AC1206 AC1208 AC1210 AC1212 AC1214:AC1215 AC1217 AC1219:AC1227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AC1314">
    <cfRule type="expression" dxfId="30" priority="39">
      <formula>$L4=0</formula>
    </cfRule>
  </conditionalFormatting>
  <conditionalFormatting sqref="A5:B5 A7:B7 A9:B9 A11:B11 A13:B13 A15:B15 A17:B17 A19:B19 A21:B21 A23:B23 A25:B25 A27:B27 A29:B29 A31:B31 A33:B33 A35:B35 A37:B37 A39:B39 A41:B41 A43:B43 A45:B45 A47:B47 A49:B49 A51:B51 A53:B53 A55:B55 A57:B57 A59:B59 A61:B61 A63:B63 A65:B65 A67:B67 A69:B69 A71:B71 A73:B73 A75:B75 A77:B77 A79:B79 A81:B81 A83:B83 A85:B85 A87:B87 A89:B89 A91:B91 A93:B93 A95:B95 A97:B97 A99:B99 A101:B101 A103:B103 A105:B105 A107:B107 A109:B109 A111:B111 A113:B113 A115:B115 A117:B117 A119:B119 A121:B121 A123:B123 A125:B125 A127:B127 A129:B129 A131:B131 A133:B133 A135:B135 A137:B137 A139:B139 A141:B141 A143:B143 A145:B145 A147:B147 A149:B149 A151:B151 A153:B153 A155:B155 A157:B157 A159:B159 A161:B161 A163:B163 A165:B165 A167:B167 A169:B169 A171:B171 A173:B173 A175:B175 A177:B177 A179:B179 A181:B181 A183:B183 A185:B185 A187:B187 A189:B189 A191:B191 A193:B193 A195:B195 A197:B197 A199:B199 A201:B201 A203:B203 A205:B205 A207:B207 A209:B209 A211:B211 A213:B213 A215:B215 A217:B217 A219:B219 A221:B221 A223:B223 A225:B225 A227:B227 A229:B229 A231:B231 A233:B233 A235:B235 A237:B237 A239:B239 A241:B241 A243:B243 A245:B245 A247:B247 A249:B249 A251:B251 A253:B253 A255:B255 A257:B257 A259:B259 A261:B261 A263:B263 A265:B265 A267:B267 A269:B269 A271:B271 A273:B273 A275:B275 A277:B277 A279:B279 A281:B281 A283:B283 A285:B285 A287:B287 A289:B289 A291:B291 A293:B293 A295:B295 A297:B297 A299:B299 A301:B301 A303:B303 A305:B305 A307:B307 A309:B309 A311:B311 A313:B313 A315:B315 A317:B317 A319:B319 A321:B321 A323:B323 A325:B325 A327:B327 A330:B330 A332:B332 A334:B334 A336:B336 A338:B338 A340:B340 A342:B342 A344:B344 A346:B346 A348:B348 A350:B350 A352:B352 A354:B354 A356:B356 A358:B358 A360:B360 A362:B362 A364:B364 A366:B366 A368:B368 A370:B370 A372:B372 A374:B374 A376:B376 A378:B378 A380:B380 A382:B382 A384:B384 A386:B386 A388:B388 A390:B390 A392:B392 A394:B394 A396:B396 A398:B398 A400:B400 A402:B402 A404:B404 A406:B406 A408:B408 A410:B410 A412:B412 A414:B414 A416:B416 A418:B418 A420:B420 A422:B422 A424:B424 A426:B426 A428:B428 A430:B430 A432:B432 A434:B434 A436:B436 A438:B438 A440:B440 A442:B442 A444:B444 A446:B446 A448:B448 A450:B450 A452:B452 A454:B454 A456:B456 A458:B458 A460:B460 A462:B462 A464:B464 A466:B466 A468:B468 A470:B470 A472:B472 A474:B474 A476:B476 A478:B478 A480:B480 A482:B482 A484:B484 A486:B486 A488:B488 A490:B490 A492:B492 A494:B494 A496:B496 A498:B498 A500:B500 A502:B502 A504:B504 A506:B506 A508:B508 A510:B510 A512:B512 A514:B514 A516:B516 A518:B518 A520:B520 A522:B522 A524:B524 A526:B526 A528:B528 A530:B530 A532:B532 A534:B534 A536:B536 A538:B538 A541:B541 A543:B543 A545:B545 A547:B547 A549:B549 A551:B551 A553:B553 A555:B555 A557:B557 A559:B559 A561:B561 A563:B563 A565:B565 A567:B567 A569:B569 A571:B571 A573:B573 A575:B575 A577:B577 A579:B579 A581:B581 A583:B583 A585:B585 A587:B587 A589:B589 A591:B591 A593:B593 A595:B595 A597:B597 A599:B599 A601:B601 A603:B603 A605:B605 A607:B607 A609:B609 A611:B611 A613:B613 A615:B615 A617:B617 A619:B619 A621:B621 A623:B623 A625:B625 A627:B627 A629:B629 A631:B631 A633:B633 A635:B635 A637:B637 A639:B639 A641:B641 A643:B643 A645:B645 A647:B647 A649:B649 A651:B651 A653:B653 A655:B655 A657:B657 A659:B659 A661:B661 A663:B663 A665:B665 A667:B667 A669:B669 A671:B671 A673:B673 A675:B675 A677:B677 A679:B679 A681:B681 A683:B683 A685:B685 A687:B687 A689:B689 A691:B691 A693:B693 A695:B695 A697:B697 A699:B699 A701:B701 A703:B703 A705:B705 A707:B707 A709:B709 A711:B711 A713:B713 A715:B715 A717:B717 A719:B719 A721:B721 A723:B723 A725:B725 A727:B727 A729:B729 A731:B731 A733:B733 A735:B735 A737:B737 A739:B739 A741:B741 A743:B743 A745:B745 A747:B747 A749:B749 A751:B751 A753:B753 A755:B755 A757:B757 A759:B759 A761:B761 A763:B763 A765:B765 A767:B767 A769:B769 A771:B771 A773:B773 A775:B775 A777:B777 A779:B779 A781:B781 A783:B783 A785:B785 A787:B787 A789:B789 A791:B791 A793:B793 A795:B795 A797:B797 A799:B799 A801:B801 A803:B803 A805:B805 A807:B807 A809:B809 A811:B811 A813:B813 A815:B815 A817:B817 A819:B819 A821:B821 A823:B823 A825:B825 A827:B827 A829:B829 A831:B831 A833:B833 A835:B835 A837:B837 A839:B839 A841:B841 A843:B843 A845:B845 A847:B847 A849:B849 A851:B851 A853:B853 A855:B855 A857:B857 A859:B859 A861:B861 A863:B863 A865:B865 A867:B867 A869:B869 A871:B871 A873:B873 A875:B875 A877:B877 A879:B879 A881:B881 A883:B883 A885:B885 A887:B887 A889:B889 A891:B891 A893:B893 A895:B895 A897:B897 A899:B899 A901:B901 A903:B903 A905:B905 A907:B907 A909:B909 A911:B911 A913:B913 A915:B915 A917:B917 A919:B919 A921:B921 A923:B923 A925:B925 A927:B927 A929:B929 A931:B931 A933:B933 A935:B935 A937:B937 A939:B939 A941:B941 A943:B943 A945:B945 A947:B947 A949:B949 A951:B951 A953:B953 A955:B955 A957:B957 A959:B959 A961:B961 A963:B963 A965:B965 A967:B967 A969:B969 A971:B971 A973:B973 A975:B975 A977:B977 A979:B979 A981:B981 A983:B983 A985:B985 A987:B987 A989:B989 A991:B991 A993:B993 A995:B995 A997:B997 A999:B999 A1001:B1001 A1003:B1003 A1005:B1005 A1007:B1007 A1009:B1009 A1011:B1011 A1013:B1013 A1015:B1015 A1017:B1017 A1019:B1019 A1021:B1021 A1023:B1023 A1024 A1025:B1025 A1027:B1027 A1029:B1029 A1031:B1031 A1033:B1033 A1035:B1035 A1037:B1037 A1039:B1039 A1041:B1041 A1043:B1043 A1045:B1045 A1047:B1047 A1049:B1049 A1051:B1051 A1053:B1053 A1055:B1055 A1057:B1057 A1059:B1059 A1061:B1061 A1063:B1063 A1065:B1065 A1067:B1067 A1069:B1069 A1071:B1071 A1073:B1074 A1076:B1076 A1078:B1078 A1080:B1080 A1082:B1082 A1084:B1084 A1086:B1086 A1088:B1088 A1090:B1090 A1092:B1092 A1094:B1094 A1096:B1096 A1098:B1098 A1100:B1100 A1102:B1102 A1104:B1104 A1106:B1106 A1108:B1108 A1110:B1110 A1112:B1112 A1114:B1114 A1116:B1116 A1118:B1118 A1120:B1120 A1122:B1122 A1124:B1124 A1126:B1126 A1128:B1128 A1130:B1130 A1132:B1132 A1134:B1134 A1136:B1136 A1138:B1138 A1140:B1140 A1142:B1142 A1144:B1144 A1146:B1146 A1148:B1148 A1150:B1150 A1152:B1152 A1154:B1154 A1158:B1158 A1160:B1160 A1163:B1163 A1165:B1165 A1167:B1167 A1169:B1169 A1171:B1171 A1173:B1173 A1175:B1175 A1177:B1177 A1179:B1179 A1181:B1181 A1183:B1183 A1185:B1185 A1187:B1187 A1189:B1189 A1191:B1191 A1193:B1193 A1195:B1195 A1197:B1197 A1199:B1199 A1201:B1201 A1203:B1203 A1205:B1205 A1207:B1207 A1209:B1209 A1211:B1211 A1213:B1213 A1216:B1216 A1218:B1218 A1228:B1228 A1230:B1230 A1232:B1232 A1234:B1234 A1236:B1236 A1238:B1238 A1240:B1240 A1242:B1242 A1244:B1244 A1246:B1246 A1248:B1248 A1250:B1250 A1252:B1252 A1254:B1254 A1256:B1256 A1258:B1258 A1260:B1260 A1262:B1262 A1264:B1264 A1266:B1266 A1268:B1268 A1270:B1270 A1272:B1272 A1274:B1274 A1276:B1276 A1278:B1278 A1280:B1280 A1282:B1282 A1284:B1284 A1286:B1286 A1288:B1288 A1290:B1290 A1292:B1292 A1294:B1294 A1296:B1296 A1298:B1298 A1300:B1300 A1302:B1302 A1304:B1304 A1306:B1306 A1308:B1308 B329">
    <cfRule type="expression" dxfId="30" priority="46">
      <formula>$L5=0</formula>
    </cfRule>
    <cfRule type="duplicateValues" dxfId="31" priority="54"/>
  </conditionalFormatting>
  <conditionalFormatting sqref="C5 C7 C9 C11 C13 C15 C17 C19 C21 C23 C25 C27 C29 C31 C33 C35 C37 C39 C41 C43 C45 C47 C49 C51 C53 C55 C57 C59 C61 C63 C65 C67 C69 C71 C73 C75 C77 C79 C81 C83 C85 C87 C89 C91 C93 C95 C97 C99 C101 C103 C105 C107 C109 C111 C113 C115 C117 C119 C121 C123 C125 C127 C129 C131 C133 C135 C137 C139 C141 C143 C145 C147 C149 C151 C153 C155 C157 C159 C161 C163 C165 C167 C169 C171 C173 C175 C177 C179 C181 C183 C185 C187 C189 C191 C193 C195 C197 C199 C201 C203 C205 C207 C209 C211 C213 C215 C217 C219 C221 C223 C225 C227 C229 C231 C233 C235 C237 C239 C241 C243 C245 C247 C249 C251 C253 C255 C257 C259 C261 C263 C265 C267 C269 C271 C273 C275 C277 C279 C281 C283 C285 C287 C289 C291 C293 C295 C297 C299 C301 C303 C305 C307 C309 C311 C313 C315 C317 C319 C321 C323 C325 C327 C330 C332 C334 C336 C338 C340 C342 C344 C346 C348 C350 C352 C354 C356 C358 C360 C362 C364 C366 C368 C370 C372 C374 C376 C378 C380 C382 C384 C386 C388 C390 C392 C394 C396 C398 C400 C402 C404 C406 C408 C410 C412 C414 C416 C418 C420 C422 C424 C426 C428 C430 C432 C434 C436 C438 C440 C442 C444 C446 C448 C450 C452 C454 C456 C458 C460 C462 C464 C466 C468 C470 C472 C474 C476 C478 C480 C482 C484 C486 C488 C490 C492 C494 C496 C498 C500 C502 C504 C506 C508 C510 C512 C514 C516 C518 C520 C522 C524 C526 C528 C530 C532 C534 C536 C538 C541 C543 C545 C547 C549 C551 C553 C555 C557 C559 C561 C563 C565 C567 C569 C571 C573 C575 C577 C579 C581 C583 C585 C587 C589 C591 C593 C595 C597 C599 C601 C603 C605 C607 C609 C611 C613 C615 C617 C619 C621 C623 C625 C627 C629 C631 C633 C635 C637 C639 C641 C643 C645 C647 C649 C651 C653 C655 C657 C659 C661 C663 C665 C667 C669 C671 C673 C675 C677 C679 C681 C683 C685 C687 C689 C691 C693 C695 C697 C699 C701 C703 C705 C707 C709 C711 C713 C715 C717 C719 C721 C723 C725 C727 C729 C731 C733 C735 C737 C739 C741 C743 C745 C747 C749 C751 C753 C755 C757 C759 C761 C763 C765 C767 C769 C771 C773 C775 C777 C779 C781 C783 C785 C787 C789 C791 C793 C795 C797 C799 C801 C803 C805 C807 C809 C811 C813 C815 C817 C819 C821 C823 C825 C827 C829 C831 C833 C835 C837 C839 C841 C843 C845 C847 C849 C851 C853 C855 C857 C859 C861 C863 C865 C867 C869 C871 C873 C875 C877 C879 C881 C883 C885 C887 C889 C891 C893 C895 C897 C899 C901 C903 C905 C907 C909 C911 C913 C915 C917 C919 C921 C923 C925 C927 C929 C931 C933 C935 C937 C939 C941 C943 C945 C947 C949 C951 C953 C955 C957 C959 C961 C963 C965 C967 C969 C971 C973 C975 C977 C979 C981 C983 C985 C987 C989 C991 C993 C995 C997 C999 C1001 C1003 C1005 C1007 C1009 C1011 C1013 C1015 C1017 C1019 C1021 C1023 C1025 C1027 C1029 C1031 C1033 C1035 C1037 C1039 C1041 C1043 C1045 C1047 C1049 C1051 C1053 C1055 C1057 C1059 C1061 C1063 C1065 C1067 C1069 C1071 C1073:C1074 C1076 C1078 C1080 C1082 C1084 C1086 C1088 C1090 C1092 C1094 C1096 C1098 C1100 C1102 C1104 C1106 C1108 C1110 C1112 C1114 C1116 C1118 C1120 C1122 C1124 C1126 C1128 C1130 C1132 C1134 C1136 C1138 C1140 C1142 C1144 C1146 C1148 C1150 C1152 C1154 C1158 C1160 C1163 C1165 C1167 C1169 C1171 C1173 C1175 C1177 C1179 C1181 C1183 C1185 C1187 C1189 C1191 C1193 C1195 C1197 C1199 C1201 C1203 C1205 C1207 C1209 C1211 C1213 C1216 C1218 C1228 C1230 C1232 C1234 C1236 C1238 C1240 C1242 C1244 C1246 C1248 C1250 C1252 C1254 C1256 C1258 C1260 C1262 C1264 C1266 C1268 C1270 C1272 C1274 C1276 C1278 C1280 C1282 C1284 C1286 C1288 C1290 C1292 C1294 C1296 C1298 C1300 C1302 C1304 C1306 C1308">
    <cfRule type="expression" dxfId="30" priority="42">
      <formula>$L5=0</formula>
    </cfRule>
  </conditionalFormatting>
  <conditionalFormatting sqref="D5:G5 D7:G7 D9:G9 D11:G11 D13:G13 D15:G15 D17:G17 D19:G19 D21:G21 D23:G23 D25:G25 D27:G27 D29:G29 D31:G31 D33:G33 D35:G35 D37:G37 D39:G39 D41:G41 D43:G43 D45:G45 D47:G47 D49:G49 D51:E51 D55:G55 D57:G57 D59:G59 D61:G61 D63:G63 D65:G65 D67:G67 D69:G69 D71:G71 D73:G73 D75:G75 D77:G77 D78 D79:G79 D81:G81 D83:G83 D85:G85 D87:G87 D89:G89 D91:G91 D93:G93 D95:G95 D97:G97 D99:G99 D101:G101 D103:G103 D105:G105 D107:G107 D109:G109 D111:G111 D113:G113 D115:G115 D117:G117 D119:G119 D121:G121 D123:G123 D125:G125 D127:G127 D129:G129 D131:G131 D133:G133 D135:G135 D137:G137 D139:G139 D141:G141 D143:G143 D145:G145 D147:G147 D149:G149 D150:D152 D153:G153 D155:G155 D157:G157 D159:G159 D161:G161 D163:G163 D165:G165 D167:G167 D169:G169 D171:G171 D173:G173 D175:G175 D177:G177 D179:G179 D181:G181 D183:G183 D184:D185 D187:G187 D189:G189 D191:G191 D193:G193 D195:G195 D197:G197 D199:G199 D201:G201 D203:G203 D205:G205 D207:G207 D209:G209 D211:G211 D213:G213 D215:G215 D216 D217:G217 D218 D219:G219 D221:G221 D223:G223 D225:G225 D227:G227 D228 D229:G229 D230 D231:G231 D233:G233 D235:G235 D237:G237 D239:G239 D241:G241 D243:G243 D245:G245 D247:G247 D249:G249 D251:G251 D253:G253 D257:G257 D259:G259 D261:G261 D263:G263 D265:G265 D267:G267 D269:G269 D275:G275 D279:G279 D281:G281 D283:G283 D285:G285 D287:G287 D289:G289 D291:G291 D293:G293 D295:G295 D297:G297 D299:G299 D301:G301 D303:G303 D305:G305 D307:G307 D309:G309 D311:G311 D313:G313 D315:G315 D317:G317 D319:G319 D321:G321 D323:G323 D325:G325 D327:G327 D329:E329 D330:G330 D332:G332 D334:G334 D336:G336 D338:G338 D342:G342 D344:G344 D346:G346 D348:G348 D352:G352 D354:G354 D356:G356 D358:G358 D360:G360 D364:G364 D366:G366 D368:G368 D370:G370 D372:G372 D374:G374 D376:G376 D378:G378 D380:G380 D382:G382 D384:G384 D386:G386 D388:G388 D390:G390 D392:G392 D393 D394:G394 D396:G396 D398:G398 D400:G400 D402:G402 D404:G404 D406:G406 D408:G408 D410:G410 D412:G412 D414:G414 D416:G416 D418:G418 D420:G420 D422:G422 D424:G424 D426:G426 D428:G428 D430:G430 D432:G432 D434:G434 D436:G436 D438:G438 D440:G440 D442:G442 D444:G444 D446:G446 D448:G448 D450:G450 D452:G452 D454:G454 D456:G456 D458:G458 D460:G460 D462:G462 D464:G464 D466:G466 D468:G468 D470:G470 D472:G472 D474:G474 D476:G476 D478:G478 D480:G480 D482:G482 D484:G484 D486:G486 D488:G488 D490:G490 D492:G492 D494:G494 D496:G496 D498:G498 D500:G500 D502:G502 D504:G504 D506:G506 D508:G508 D510:G510 D512:G512 D514:G514 D516:G516 D518:G518 D520:G520 D522:G522 D524:G524 D526:G526 D528:G528 D530:G530 D532:G532 D534:G534 D536:G536 D538:G538 D543:G543 D545:G545 D547:G547 D549:G549 D551:G551 D555:G555 D557:G557 D559:G559 D561:G561 D563:G563 D565:G565 D567:G567 D569:G569 D571:G571 D573:G573 D575:G575 D577:G577 D579:G579 D581:G581 D583:G583 D585:G585 D587:G587 D589:G589 D591:G591 D593:G593 D595:G595 D597:G597 D599:G599 D601:G601 D603:G603 D605:G605 D607:G607 D609:G609 D611:G611 D613:G613 D615:G615 D617:G617 D619:G619 D621:G621 D623:G623 D625:G625 D627:G627 D629:G629 D631:G631 D633:G633 D635:G635 D637:G637 D639:G639 D641:G641 D643:G643 D645:G645 D647:G647 D649:G649 D651:G651 D653:G653 D655:G655 D657:G657 D658:D659 D661:G661 D663:G663 D665:G665 D667:G667 D669:G669 D671:G671 D673:G673 D675:G675 D677 D679:G679 D681:G681 D683:G683 D685:G685 D687:G687 D689:G689 D691:G691 D693:G693 D695 D697:G697 D699 D701:G701 D703:G703 D705:G705 D707:G707 D709:G709 D713:G713 D719:G719 D721:G721 D723:G723 D725:G725 D727 D729:G729 D730:D734 D735:G735 D737:G737 D739:G739 D741:G741 D743:G743 D745:G745 D747:G747 D749:G749 D751:G751 D753:G753 D755:G755 D757:G757 D759:G759 D761:G761 D763:G763 D765:G765 D767:G767 D769:G769 D771:G771 D773:G773 D775:G775 D777:G777 D779:G779 D781:G781 D783:G783 D785:G785 D787:G787 D789:G789 D791:G791 D793:G793 D801:G801 D805:G805 D807:G807 D809:G809 D811:G811 D813:G813 D817:G817 D819:G819 D821:G821 D823:G823 D825:G825 D827:G827 D829:G829 D831:G831 D833:G833 D835:G835 D837:G837 D839:G839 D841:G841 D843:G843 D845:G845 D847:G847 D849:G849 D851:G851 D853:G853 D855:G855 D857:G857 D859:G859 D861:G861 D863:G863 D865:G865 D867:G867 D869:G869 D873:G873 D875:G875 D877:G877 D879:G879 D880 D881:G881 D883:G883 D885:G885 D887:G887 D889:G889 D891:G891 D895:G895 D896 D897:G897 D899:G899 D901:G901 D903:G903 D905:G905 D907:G907 D909:G909 D911:G911 D913:G913 D915:G915 D917:G917 D919:G919 D921:G921 D923:G923 D925:G925 D927:G927 D929:G929 D931:G931 D933:G933 D935:G935 D937:G937 D939:G939 D941:G941 D943:G943 D945:G945 D947:G947 D949:G949 D951:G951 D953:G953 D955:G955 D957:G957 D959:G959 D961:G961 D963:G963 D964:D965 D967:G967 D969:G969 D971:G971 D973:G973 D975:G975 D977:G977 D979:G979 D981:G981 D983:G983 D985:G985 D987:G987 D989:G989 D991:G991 D993:G993 D995:G995 D997:G997 D999:G999 D1001:G1001 D1003:G1003 D1005:G1005 D1007:G1007 D1009:G1009 D1011:G1011 D1013:G1013 D1015:G1015 D1017:G1017 D1019:G1019 D1021 D1023:G1023 D1025:G1025 D1027:G1027 D1029:G1029 D1031:G1031 D1032 D1033:G1033 D1035:G1035 D1037:G1037 D1039:D1041 D1043:D1044 D1045:G1045 D1047:G1047 D1049:G1049 D1051:G1051 D1052:D1055 D1057:G1057 D1058:D1061 D1063:G1063 D1065:G1065 D1067:G1067 D1068 D1069:G1069 D1071:G1071 D1073:G1074 D1076:D1079 D1080:G1080 D1082:G1082 D1084:G1084 D1086:G1086 D1088:G1088 D1090:G1090 D1092:G1092 D1094:G1094 D1095 D1096:G1096 D1098:D1099 D1100:G1100 D1102:G1102 D1104:G1104 D1106:G1106 D1108:G1108 D1110:G1110 D1111:D1115 D1116:G1116 D1118:G1118 D1120:G1120 D1122:G1122 D1124:G1124 D1126:G1126 D1128:G1128 D1130:G1130 D1132:G1132 D1142:G1142 D1183:G1183 D1185:G1185 D1187:G1187 D1189:G1189 D1191:G1191 D1193:G1193 D1195:G1195 D1197:G1197 D1199:G1199 D1201:G1201 D1203:G1203 D1205:G1205 D1207:G1207 D1209:G1209 D1211:G1211 D1213:G1213 D1216:G1216 D1218:G1218 D1228:F1228 D1230:G1230 D1232:G1232 D1234:G1234 D1236:G1236 D1238:G1238 D1240:G1240 D1242:G1242 D1244:G1244 D1246:G1246 D1248:G1248 D1250:G1250 D1252:G1252 D1254:G1254 D1256:G1256 D1258:G1258 D1260:G1260 D1262:G1262 D1264:G1264 D1266:G1266 D1268:G1268 D1270:G1270 D1272:G1272 D1274:G1274 D1276:G1276 D1278:G1278 D1280:G1280 D1282:G1282 D1284:G1284 D1286:G1286 D1288:G1288 D1290:G1290 D1292:G1292 D1294:G1294 D1296:G1296 D1298:G1298 D1300:G1300 D1302:G1302 D1304:G1304 D1306:G1306 E53:G53 E151:G151 E185:G185 E255:G255 E271:G271 E273:G273 E277:G277 E340:G340 E350:G350 E362:G362 E541:G541 E550 E553:G553 E659:G659 E711:G711 E715:G715 E717:G717 E731:G731 E733:G733 E795:G795 E797:G797 E799:G799 E803:G803 E815:G815 E871:G871 E965:G965 E1039:G1039 E1041:G1041 E1043:G1043 E1053:G1053 E1055:G1055 E1059:G1059 E1061:G1061 E1076:G1076 E1078:G1078 E1098:G1098 E1112:G1112 E1114:G1114 E1134:G1134 E1136:G1136 E1138:G1138 E1140:G1140 E1144:G1144 E1146:G1146 E1148:G1148 E1150:G1150 E1152:G1152 E1156:E1157 E1158:G1158 E1160:G1160 E1163:G1163 E1165:G1165 E1167:G1167 E1169:G1169 E1171:G1171 E1173:G1173 E1175:G1175 E1177:G1177 E1179:G1179 E1181:G1181 F677:G677 F695:G695 F699:G699 F727:G727 F893:G893 F1021:G1021 F1154:G1154 F1308:G1308 G51">
    <cfRule type="expression" dxfId="30" priority="43">
      <formula>$L5=0</formula>
    </cfRule>
  </conditionalFormatting>
  <conditionalFormatting sqref="N5:R5 N7:R7 N9:R9 N11:R11 N13:R13 N15:R15 N17:R17 N19:R19 N21:R21 N23:R23 N25:R25 N27:R27 N29:R29 N31:R31 N33:R33 N35:R35 N37:R37 N39:R39 N41:R41 N43:R43 N45:R45 N47:R47 N49:R49 N51:R51 N53:R53 N55:R55 N57:R57 N59:R59 N61:R61 N63:R63 N65:R65 N67:R67 N69:R69 N71:R71 N73:R73 N75:R75 N77:R77 N79:R79 N81:R81 N83:R83 N85:R85 N87:R87 N89:R89 N91:R91 N93:R93 N95:R95 N97:R97 N99:R99 N101:R101 N103:R103 N105:R105 N107:R107 N109:R109 N111:R111 N113:R113 N115:R115 N117:R117 N119:R119 N121:R121 N123:R123 N125:R125 N127:R127 N129:R129 N131:R131 N133:R133 N135:R135 N137:R137 N139:R139 N141:R141 N143:R143 N145:R145 N147:R147 N149:R149 N151:R151 N153:R153 N155:R155 N157:R157 N159:R159 N161:R161 N163:R163 N165:R165 N167:R167 N169:R169 N171:R171 N173:R173 N175:R175 N177:R177 N179:R179 N181:R181 N183:R183 N185:R185 N187:R187 N189:R189 N191:R191 N193:R193 N195:R195 N197:R197 N199:R199 N201:R201 N203:R203 N205:R205 N207:R207 N209:R209 N211:R211 N213:R213 N215:R215 N217:R217 N219:R219 N221:R221 N223:R223 N225:R225 N227:R227 N229:R229 N231:R231 N233:R233 N235:R235 N237:R237 N239:R239 N241:R241 N243:R243 N245:R245 N247:R247 N249:R249 N251:R251 N253:R253 N255:R255 N257:R257 N259:R259 N261:R261 N263:R263 N265:R265 N267:R267 N269:R269 N271:R271 N273:R273 N275:R275 N277:R277 N279:R279 N281:R281 N283:R283 N285:R285 N287:R287 N289:R289 N291:R291 N293:R293 N295:R295 N297:R297 N299:R299 N301:R301 N303:R303 N305:R305 N307:R307 N309:R309 N311:R311 N313:R313 N315:R315 N317:R317 N319:R319 N321:R321 N323:R323 N325:R325 N327:R327 N330:R330 N332:R332 N334:R334 N336:R336 N338:R338 N340:R340 N342:R342 N344:R344 N346:R346 N348:R348 N350:R350 N352:R352 N354:R354 N356:R356 N358:R358 N360:R360 N362:R362 N364:R364 N366:R366 N368:R368 N370:R370 N372:R372 N374:R374 N376:R376 N378:R378 N380:R380 N382:R382 N384:R384 N386:R386 N388:R388 N390:R390 N392:R392 N394:R394 N396:R396 N398:R398 N400:R400 N402:R402 N404:R404 N406:R406 N408:R408 N410:R410 N412:R412 N414:R414 N416:R416 N418:R418 N420:R420 N422:R422 N424:R424 N426:R426 N428:R428 N430:R430 N432:R432 N434:R434 N436:R436 N438:R438 N440:R440 N442:R442 N444:R444 N446:R446 N448:R448 N450:R450 N452:R452 N454:R454 N456:R456 N458:R458 N460:R460 N462:R462 N464:R464 N466:R466 N468:R468 N470:R470 N472:R472 N474:R474 N476:R476 N478:R478 N480:R480 N482:R482 N484:R484 N486:R486 N488:R488 N490:R490 N492:R492 N494:R494 N496:R496 N498:R498 N500:R500 N502:R502 N504:R504 N506:R506 N508:R508 N510:R510 N512:R512 N514:R514 N516:R516 N518:R518 N520:R520 N522:R522 N524:R524 N526:R526 N528:R528 N530:R530 N532:R532 N534:R534 N536:R536 N538:R538 N541:R541 N543:R543 N545:R545 N547:R547 N549:R549 N551:R551 N553:R553 N555:R555 N557:R557 N559:R559 N561:R561 N563:R563 N565:R565 N567:R567 N569:R569 N571:R571 N573:R573 N575:R575 N577:R577 N579:R579 N581:R581 N583:R583 N585:R585 N587:R587 N589:R589 N591:R591 N593:R593 N595:R595 N597:R597 N599:R599 N601:R601 N603:R603 N605:R605 N607:R607 N609:R609 N611:R611 N613:R613 N615:R615 N617:R617 N619:R619 N621:R621 N623:R623 N625:R625 N627:R627 N629:R629 N631:R631 N633:R633 N635:R635 N637:R637 N639:R639 N641:R641 N643:R643 N645:R645 N647:R647 N649:R649 N651:R651 N653:R653 N655:R655 N657:R657 N659:R659 N661:R661 N663:R663 N665:R665 N667:R667 N669:R669 N671:R671 N673:R673 N675:R675 N677:R677 N679:R679 N681:R681 N683:R683 N685:R685 N687:R687 N689:R689 N691:R691 N693:R693 N695:R695 N697:R697 N699:R699 N701:R701 N703:R703 N705:R705 N707:R707 N709:R709 N711:R711 N713:R713 N715:R715 N717:R717 N719:R719 N721:R721 N723:R723 N725:R725 N727:R727 N729:R729 N731:R731 N733:R733 N735:R735 N737:R737 N739:R739 N741:R741 N743:R743 N745:R745 N747:R747 N749:R749 N751:R751 N753:R753 N755:R755 N757:R757 N759:R759 N761:R761 N763:R763 N765:R765 N767:R767 N769:R769 N771:R771 N773:R773 N775:R775 N777:R777 N779:R779 N781:R781 N783:R783 N785:R785 N787:R787 N789:R789 N791:R791 N793:R793 N795:R795 N797:R797 N799:R799 N801:R801 N803:R803 N805:R805 N807:R807 N809:R809 N811:R811 N813:R813 N815:R815 N817:R817 N819:R819 N821:R821 N823:R823 N825:R825 N827:R827 N829:R829 N831:R831 N833:R833 N835:R835 N837:R837 N839:R839 N841:R841 N843:R843 N845:R845 N847:R847 N849:R849 N851:R851 N853:R853 N855:R855 N857:R857 N859:R859 N861:R861 N863:R863 N865:R865 N867:R867 N869:R869 N871:R871 N873:R873 N875:R875 N877:R877 N879:R879 N881:R881 N883:R883 N885:R885 N887:R887 N889:R889 N891:R891 N893:R893 N895:R895 N897:R897 N899:R899 N901:R901 N903:R903 N905:R905 N907:R907 N909:R909 N911:R911 N913:R913 N915:R915 N917:R917 N919:R919 N921:R921 N923:R923 N925:R925 N927:R927 N929:R929 N931:R931 N933:R933 N935:R935 N937:R937 N939:R939 N941:R941 N943:R943 N945:R945 N947:R947 N949:R949 N951:R951 N953:R953 N955:R955 N957:R957 N959:R959 N961:R961 N963:R963 N965:R965 N967:R967 N969:R969 N971:R971 N973:R973 N975:R975 N977:R977 N979:R979 N981:R981 N983:R983 N985:R985 N987:R987 N989:R989 N991:R991 N993:R993 N995:R995 N997:R997 N999:R999 N1001:R1001 N1003:R1003 N1005:R1005 N1007:R1007 N1009:R1009 N1011:R1011 N1013:R1013 N1015:R1015 N1017:R1017 N1019:R1019 N1021:R1021 N1023:R1023 N1025:R1025 N1027:R1027 N1029:R1029 N1031:R1031 N1033:R1033 N1035:R1035 N1037:R1037 N1039:R1039 N1041:R1041 N1043:R1043 N1045:R1045 N1047:R1047 N1049:R1049 N1051:R1051 N1053:R1053 N1055:R1055 N1057:R1057 N1059:R1059 N1061:R1061 N1063:R1063 N1065:R1065 N1067:R1067 N1069:R1069 N1071:R1071 N1073:R1074 N1076:R1076 N1078:R1078 N1080:R1080 N1082:R1082 N1084:R1084 N1086:R1086 N1088:R1088 N1090:R1090 N1092:R1092 N1094:R1094 N1096:R1096 N1098:R1098 N1100:R1100 N1102:R1102 N1104:R1104 N1106:R1106 N1108:R1108 N1110:R1110 N1112:R1112 N1114:R1114 N1116:R1116 N1118:R1118 N1120:R1120 N1122:R1122 N1124:R1124 N1126:R1126 N1128:R1128 N1130:R1130 N1132:R1132 N1134:R1134 N1136:R1136 N1138:R1138 N1140:R1140 N1142:R1142 N1144:R1144 N1146:R1146 N1148:R1148 N1150:R1150 N1152:R1152 N1154:R1154 N1158:R1158 N1160:R1160 N1163:R1163 N1165:R1165 N1167:R1167 N1169:R1169 N1171:R1171 N1173:R1173 N1175:R1175 N1177:R1177 N1179:R1179 N1181:R1181 N1183:R1183 N1185:R1185 N1187:R1187 N1189:R1189 N1191:R1191 N1193:R1193 N1195:R1195 N1197:R1197 N1199:R1199 N1201:R1201 N1203:R1203 N1205:R1205 N1207:R1207 N1209:R1209 N1211:R1211 N1213:R1213 N1216:R1216 N1218:R1218 N1228:R1228 N1230:R1230 N1232:R1232 N1234:R1234 N1236:R1236 N1238:R1238 N1240:R1240 N1242:R1242 N1244:R1244 N1246:R1246 N1248:R1248 N1250:R1250 N1252:R1252 N1254:R1254 N1256:R1256 N1258:R1258 N1260:R1260 N1262:R1262 N1264:R1264 N1266:R1266 N1268:R1268 N1270:R1270 N1272:R1272 N1274:R1274 N1276:R1276 N1278:R1278 N1280:R1280 N1282:R1282 N1284:R1284 N1286:R1286 N1288:R1288 N1290:R1290 N1292:R1292 N1294:R1294 N1296:R1296 N1298:O1298 N1300:R1300 N1302:R1302 N1304:R1304 O329 P1297:P1298 P1306:R1306 P1307:P1314 Q1298:R1298 Q1308:R1308">
    <cfRule type="expression" dxfId="30" priority="44">
      <formula>$L5=0</formula>
    </cfRule>
    <cfRule type="containsBlanks" dxfId="32" priority="45">
      <formula>LEN(TRIM(N5))=0</formula>
    </cfRule>
  </conditionalFormatting>
  <conditionalFormatting sqref="Y5:AC5 Y7:AC7 Y9:AC9 Y11:AC11 Y13:AC13 Y15:AC15 Y17:AC17 Y19:AC19 Y21:AC21 Y23:AC23 Y25:AC25 Y27:AC27 Y29:AC29 Y31:AC31 Y33:AC33 Y35:AC35 Y37:AC37 Y39:AC39 Y41:AC41 Y43:AC43 Y45:AC45 Y47:AC47 Y49:AC49 Y51:AC51 Y53:AC53 Y55:AC55 Y57:AC57 Y59:AC59 Y61:AC61 Y63:AC63 Y65:AC65 Y67:AC67 Y69:AC69 Y71:AC71 Y73:AC73 Y75:AC75 Y77:AC77 Y79:AC79 Y81:AC81 Y83:AC83 Y85:AC85 Y87:AC87 Y89:AC89 Y91:AC91 Y93:AC93 Y95:AC95 Y97:AC97 Y99:AC99 Y101:AC101 Y103:AC103 Y105:AC105 Y107:AC107 Y109:AC109 Y111:AC111 Y113:AC113 Y115:AC115 Y117:AC117 Y119:AC119 Y121:AC121 Y123:AC123 Y125:AC125 Y127:AC127 Y129:AC129 Y131:AC131 Y133:AC133 Y135:AC135 Y137:AC137 Y139:AC139 Y141:AC141 Y143:AC143 Y145:AC145 Y147:AC147 Y149:AC149 Y151:AC151 Y153:AC153 Y155:AC155 Y157:AC157 Y159:AC159 Y161:AC161 Y163:AC163 Y165:AC165 Y167:AC167 Y169:AC169 Y171:AC171 Y173:AC173 Y175:AC175 Y177:AC177 Y179:AC179 Y181:AC181 Y183:AC183 Y185:AC185 Y187:AC187 Y189:AC189 Y191:AC191 Y193:AC193 Y195:AC195 Y197:AC197 Y199:AC199 Y201:AC201 Y203:AC203 Y205:AC205 Y207:AC207 Y209:AC209 Y211:AC211 Y213:AC213 Y215:AC215 Y217:AC217 Y219:AC219 Y221:AC221 Y223:AC223 Y225:AC225 Y227:AC227 Y229:AC229 Y231:AC231 Y233:AC233 Y235:AC235 Y237:AC237 Y239:AC239 Y241:AC241 Y243:AC243 Y245:AC245 Y247:AC247 Y249:AC249 Y251:AC251 Y253:AC253 Y255:AC255 Y257:AC257 Y259:AC259 Y261:AC261 Y263:AC263 Y265:AC265 Y267:AC267 Y269:AC269 Y271:AC271 Y273:AC273 Y275:AC275 Y277:AC277 Y279:AC279 Y281:AC281 Y283:AC283 Y285:AC285 Y287:AC287 Y289:AC289 Y291:AC291 Y293:AC293 Y295:AC295 Y297:AC297 Y299:AC299 Y301:AC301 Y303:AC303 Y305:AC305 Y307:AC307 Y309:AC309 Y311:AC311 Y313:AC313 Y315:AC315 Y317:AC317 Y319:AC319 Y321:AC321 Y323:AC323 Y325:AC325 Y327:AC327 Y330:AC330 Y332:AC332 Y334:AC334 Y336:AC336 Y338:AC338 Y340:AC340 Y342:AC342 Y344:AC344 Y346:AC346 Y348:AC348 Y350:AC350 Y352:AC352 Y354:AC354 Y356:AC356 Y358:AC358 Y360:AC360 Y362:AC362 Y364:AC364 Y366:AC366 Y368:AC368 Y370:AC370 Y372:AC372 Y374:AC374 Y376:AC376 Y378:AC378 Y380:AC380 Y382:AC382 Y384:AC384 Y386:AC386 Y388:AC388 Y390:AC390 Y392:AC392 Y394:AC394 Y396:AC396 Y398:AC398 Y400:AC400 Y402:AC402 Y404:AC404 Y406:AC406 Y408:AC408 Y410:AC410 Y412:AC412 Y414:AC414 Y416:AC416 Y418:AC418 Y420:AC420 Y422:AC422 Y424:AC424 Y426:AC426 Y428:AC428 Y430:AC430 Y432:AC432 Y434:AC434 Y436:AC436 Y438:AC438 Y440:AC440 Y442:AC442 Y444:AC444 Y446:AC446 Y448:AC448 Y450:AC450 Y452:AC452 Y454:AC454 Y456:AC456 Y458:AC458 Y460:AC460 Y462:AC462 Y464:AC464 Y466:AC466 Y468:AC468 Y470:AC470 Y472:AC472 Y474:AC474 Y476:AC476 Y478:AC478 Y480:AC480 Y482:AC482 Y484:AC484 Y486:AC486 Y488:AC488 Y490:AC490 Y492:AC492 Y494:AC494 Y496:AC496 Y498:AC498 Y500:AC500 Y502:AC502 Y504:AC504 Y506:AC506 Y508:AC508 Y510:AC510 Y512:AC512 Y514:AC514 Y516:AC516 Y518:AC518 Y520:AC520 Y522:AC522 Y524:AC524 Y526:AC526 Y528:AC528 Y530:AC530 Y532:AC532 Y534:AC534 Y536:AC536 Y538:AC538 Y541:AC541 Y543:AC543 Y545:AC545 Y547:AC547 Y549:AC549 Y551:AC551 Y553:AC553 Y555:AC555 Y557:AC557 Y559:AC559 Y561:AC561 Y563:AC563 Y565:AC565 Y567:AC567 Y569:AC569 Y571:AC571 Y573:AC573 Y575:AC575 Y577:AC577 Y579:AC579 Y581:AC581 Y583:AC583 Y585:AC585 Y587:AC587 Y589:AC589 Y591:AC591 Y593:AC593 Y595:AC595 Y597:AC597 Y599:AC599 Y601:AC601 Y603:AC603 Y605:AC605 Y607:AC607 Y609:AC609 Y611:AC611 Y613:AC613 Y615:AC615 Y617:AC617 Y619:AC619 Y621:AC621 Y623:AC623 Y625:AC625 Y627:AC627 Y629:AC629 Y631:AC631 Y633:AC633 Y635:AC635 Y637:AC637 Y639:AC639 Y641:AC641 Y643:AC643 Y645:AC645 Y647:AC647 Y649:AC649 Y651:AC651 Y653:AC653 Y655:AC655 Y657:AC657 Y659:AC659 Y661:AC661 Y663:AC663 Y665:AC665 Y667:AC667 Y669:AC669 Y671:AC671 Y673:AC673 Y675:AC675 Y677:AC677 Y679:AC679 Y681:AC681 Y683:AC683 Y685:AC685 Y687:AC687 Y689:AC689 Y691:AC691 Y693:AC693 Y695:AC695 Y697:AC697 Y699:AC699 Y701:AC701 Y703:AC703 Y705:AC705 Y707:AC707 Y709:AC709 Y711:AC711 Y713:AC713 Y715:AC715 Y717:AC717 Y719:AC719 Y721:AC721 Y723:AC723 Y725:AC725 Y727:AC727 Y729:AC729 Y731:AC731 Y733:AC733 Y735:AC735 Y737:AC737 Y739:AC739 Y741:AC741 Y743:AC743 Y745:AC745 Y747:AC747 Y749:AC749 Y751:AC751 Y753:AC753 Y755:AC755 Y757:AC757 Y759:AC759 Y761:AC761 Y763:AC763 Y765:AC765 Y767:AC767 Y769:AC769 Y771:AC771 Y773:AC773 Y775:AC775 Y777:AC777 Y779:AC779 Y781:AC781 Y783:AC783 Y785:AC785 Y787:AC787 Y789:AC789 Y791:AC791 Y793:AC793 Y795:AC795 Y797:AC797 Y799:AC799 Y801:AC801 Y803:AC803 Y805:AC805 Y807:AC807 Y809:AC809 Y811:AC811 Y813:AC813 Y815:AC815 Y817:AC817 Y819:AC819 Y821:AC821 Y823:AC823 Y825:AC825 Y827:AC827 Y829:AC829 Y831:AC831 Y833:AC833 Y835:AC835 Y837:AC837 Y839:AC839 Y841:AC841 Y843:AC843 Y845:AC845 Y847:AC847 Y849:AC849 Y851:AC851 Y853:AC853 Y855:AC855 Y857:AC857 Y859:AC859 Y861:AC861 Y863:AC863 Y865:AC865 Y867:AC867 Y869:AC869 Y871:AC871 Y873:AC873 Y875:AC875 Y877:AC877 Y879:AC879 Y881:AC881 Y883:AC883 Y885:AC885 Y887:AC887 Y889:AC889 Y891:AC891 Y893:AC893 Y895:AC895 Y897:AC897 Y899:AC899 Y901:AC901 Y903:AC903 Y905:AC905 Y907:AC907 Y909:AC909 Y911:AC911 Y913:AC913 Y915:AC915 Y917:AC917 Y919:AC919 Y921:AC921 Y923:AC923 Y925:AC925 Y927:AC927 Y929:AC929 Y931:AC931 Y933:AC933 Y935:AC935 Y937:AC937 Y939:AC939 Y941:AC941 Y943:AC943 Y945:AC945 Y947:AC947 Y949:AC949 Y951:AC951 Y953:AC953 Y955:AC955 Y957:AC957 Y959:AC959 Y961:AC961 Y963:AC963 Y965:AC965 Y967:AC967 Y969:AC969 Y971:AC971 Y973:AC973 Y975:AC975 Y977:AC977 Y979:AC979 Y981:AC981 Y983:AC983 Y985:AC985 Y987:AC987 Y989:AC989 Y991:AC991 Y993:AC993 Y995:AC995 Y997:AC997 Y999:AC999 Y1001:AC1001 Y1003:Z1003 Y1005:Z1005 Y1007:Z1007 Y1009:Z1009 Y1011:Z1011 Y1013:Z1013 Y1015:Z1015 Y1017:Z1017 Y1019:Z1019 Y1021:Z1021 Y1023:Z1023 Y1025:Z1025 Y1027:Z1027 Y1029:Z1029 Y1031:Z1031 Y1033:Z1033 Y1035:Z1035 Y1037:Z1037 Y1039:Z1039 Y1041:Z1041 Y1043:Z1043 Y1045:Z1045 Y1047:Z1047 Y1049:Z1049 Y1051:Z1051 Y1053:Z1053 Y1055:Z1055 Y1057:Z1057 Y1059:Z1059 Y1061:Z1061 Y1063:Z1063 Y1065:Z1065 Y1067:Z1067 Y1069:Z1069 Y1071:Z1071 Y1073:Z1074 Y1076:Z1076 Y1078:Z1078 Y1080:Z1080 Y1082:Z1082 Y1084:Z1084 Y1086:Z1086 Y1088:Z1088 Y1090:Z1090 Y1092:Z1092 Y1094:Z1094 Y1096:Z1096 Y1098:Z1098 Y1100:Z1100 Y1102:Z1102 Y1104:Z1104 Y1106:Z1106 Y1108:Z1108 Y1110:Z1110 Y1112:Z1112 Y1114:Z1114 Y1116:Z1116 Y1118:Z1118 Y1120:Z1120 Y1122:Z1122 Y1124:Z1124 Y1126:Z1126 Y1128:Z1128 Y1130:Z1130 Y1132:Z1132 Y1134:Z1134 Y1136:Z1136 Y1138:Z1138 Y1140:Z1140 Y1142:Z1142 Y1144:Z1144 Y1146:Z1146 Y1148:Z1148 Y1150:Z1150 Y1152:Z1152 Y1154:Z1154 Y1158:Z1158 Y1160:Z1160 Y1163:Z1163 Y1165:Z1165 Y1167:Z1167 Y1169:Z1169 Y1171:Z1171 Y1173:Z1173 Y1175:Z1175 Y1177:Z1177 Y1179:Z1179 Y1181:Z1181 Y1183:Z1183 Y1185:Z1185 Y1187:Z1187 Y1189:Z1189 Y1191:Z1191 Y1193:Z1193 Y1195:Z1195 Y1197:Z1197 Y1199:Z1199 Y1201:Z1201 Y1203:Z1203 Y1205:Z1205 Y1207:Z1207 Y1209:Z1209 Y1211:Z1211 Y1213:Z1213 Y1216:Z1216 Y1218:Z1218 Y1228:Z1228 Y1230:Z1230 Y1232:Z1232 Y1234:Z1234 Y1236:Z1236 Y1238:Z1238 Y1240:Z1240 Y1242:Z1242 Y1244:Z1244 Y1246:Z1246 Y1248:Z1248 Y1250:Z1250 Y1252:Z1252 Y1254:Z1254 Y1256:Z1256 Y1258:Z1258 Y1260:Z1260 Y1262:Z1262 Y1264:Z1264 Y1266:Z1266 Y1268:Z1268 Y1270:Z1270 Y1272:Z1272 Y1274:Z1274 Y1276:Z1276 Y1278:Z1278 Y1280:Z1280 Y1282:Z1282 Y1284:Z1284 Y1286:Z1286 Y1288:Z1288 Y1290:Z1290 Y1292:Z1292 Y1294:Z1294 Y1296:Z1296 Y1298:Z1298 Y1300:Z1300 Y1302:Z1302 Y1304:Z1304 Y1306:Z1306 Y1308:Z1308 AA1002:AB2041 AC1003 AC1005 AC1007 AC1009 AC1011 AC1013 AC1015 AC1017 AC1019 AC1021 AC1023 AC1025 AC1027 AC1029 AC1031 AC1033 AC1035 AC1037 AC1039 AC1041 AC1043 AC1045 AC1047 AC1049 AC1051 AC1053 AC1055 AC1057 AC1059 AC1061 AC1063 AC1065 AC1067 AC1069 AC1071 AC1073:AC1074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8 AC1160 AC1163 AC1165 AC1167 AC1169 AC1171 AC1173 AC1175 AC1177 AC1179 AC1181 AC1183 AC1185 AC1187 AC1189 AC1191 AC1193 AC1195 AC1197 AC1199 AC1201 AC1203 AC1205 AC1207 AC1209 AC1211 AC1213 AC1216 AC1218 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cfRule type="expression" dxfId="30" priority="38">
      <formula>$L5=0</formula>
    </cfRule>
  </conditionalFormatting>
  <conditionalFormatting sqref="A1315:B1529">
    <cfRule type="duplicateValues" dxfId="31" priority="2789"/>
  </conditionalFormatting>
  <conditionalFormatting sqref="A1530:B1602 A1603:A1605 A1606:B1650 A2103:B2103">
    <cfRule type="expression" dxfId="30" priority="17">
      <formula>$L1530=0</formula>
    </cfRule>
    <cfRule type="duplicateValues" dxfId="31" priority="18"/>
  </conditionalFormatting>
  <conditionalFormatting sqref="C1530:C1650 C2103">
    <cfRule type="expression" dxfId="30" priority="13">
      <formula>$L1530=0</formula>
    </cfRule>
  </conditionalFormatting>
  <conditionalFormatting sqref="D1530:G1650 D2103:G2103">
    <cfRule type="expression" dxfId="30" priority="14">
      <formula>$L1530=0</formula>
    </cfRule>
  </conditionalFormatting>
  <conditionalFormatting sqref="J1530:J1650 S1530:S1650 V1530:V1650 J2103 S2103 V2103">
    <cfRule type="expression" dxfId="30" priority="20">
      <formula>$L1530=0</formula>
    </cfRule>
  </conditionalFormatting>
  <conditionalFormatting sqref="N1530 N1533 N1535 N1538 N1540:N1541 N1543 N1546 N1548 N1550 N1552:N1553 N1555 N1558 N1561 N1564 N1566 N1569 N1571 N1574 N1577 N1580 N1583 N1586 N1589 N1592 N1595 N1598 N1601 N1604 N1607 N1610 N1613 N1616 N1619 N1622 N1627 N1630 N1633 N1636 N1639 P1530:P1650 Q1531:Q1532 Q1534:Q1535 Q1537:Q1538 Q1540:Q1541 Q1542:R1542 Q1544:Q1545 Q1547:Q1550 Q1552:Q1554 Q1556:Q1557 Q1559:R1559 Q1560:Q1561 Q1563:Q1564 Q1566:Q1567 Q1569:Q1570 Q1572:Q1573 Q1575:Q1576 Q1578:Q1579 Q1581:Q1582 Q1584:Q1585 Q1587:Q1588 Q1590:Q1591 Q1593:Q1594 Q1596:Q1597 Q1599:Q1600 Q1602:Q1603 Q1605 Q1606:R1606 Q1608:Q1609 Q1611:Q1612 Q1614:Q1615 Q1617:Q1618 Q1620:Q1621 Q1623:Q1626 Q1628:Q1629 Q1631:Q1632 Q1634:Q1635 Q1637:Q1638 Q1640:Q1641 Q1642:R1650 R1530 R1532 R1534 R1536 R1538 R1544 R1546 R1548:R1549 R1551 R1553 R1555 R1557 R1560 R1562 R1564 R1566 R1568 R1570 R1572 R1574 R1576 R1578 R1580 R1582 R1584 R1586 R1588 R1590 R1592 R1594 R1596 R1598 R1600 R1602 R1604 R1608 R1610 R1612 R1614 R1616 R1618 R1620 R1622 R1624:R1641 P2103:R2103">
    <cfRule type="expression" dxfId="30" priority="15">
      <formula>$L1530=0</formula>
    </cfRule>
    <cfRule type="containsBlanks" dxfId="32" priority="16">
      <formula>LEN(TRIM(N1530))=0</formula>
    </cfRule>
  </conditionalFormatting>
  <conditionalFormatting sqref="N1531:N1532 N1534 N1536:N1537 N1539 N1542 N1544:N1545 N1547 N1549 N1551 N1554 N1556:N1557 N1559:N1560 N1562:N1563 N1565 N1567:N1568 N1570 N1572:N1573 N1575:N1576 N1578:N1579 N1581:N1582 N1584:N1585 N1587:N1588 N1590:N1591 N1593:N1594 N1596:N1597 N1599:N1600 N1602:N1603 N1605:N1606 N1608:N1609 N1611:N1612 N1614:N1615 N1617:N1618 N1620:N1621 N1623:N1626 N1628:N1629 N1631:N1632 N1634:N1635 N1637:N1638 N1640:N2084 Q1530 Q1533:R1533 Q1536 Q1539:R1539 Q1543:R1543 Q1546 Q1551 Q1555 Q1558:R1558 Q1562 Q1565:R1565 Q1568 Q1571:R1571 Q1574 Q1577:R1577 Q1580 Q1583:R1583 Q1586 Q1589:R1589 Q1592 Q1595:R1595 Q1598 Q1601:R1601 Q1604 Q1607:R1607 Q1610 Q1613:R1613 Q1616 Q1619:R1619 Q1622 Q1627 Q1630 Q1633 Q1636 Q1639 R1531 R1535 R1537 R1540:R1541 R1545 R1547 R1550 R1552 R1554 R1556 R1561 R1563 R1567 R1569 R1573 R1575 R1579 R1581 R1585 R1587 R1591 R1593 R1597 R1599 R1603 R1605 R1609 R1611 R1615 R1617 R1621 R1623 N2103">
    <cfRule type="expression" dxfId="30" priority="10">
      <formula>$L1530=0</formula>
    </cfRule>
    <cfRule type="containsBlanks" dxfId="32" priority="11">
      <formula>LEN(TRIM(N1530))=0</formula>
    </cfRule>
  </conditionalFormatting>
  <conditionalFormatting sqref="A1651:B2102">
    <cfRule type="duplicateValues" dxfId="31" priority="7"/>
  </conditionalFormatting>
  <conditionalFormatting sqref="A1651:G2089 J1651:J2089 P1651:S1928 V1651:V2081 Y1651:Z2041 AC1651:AD2041 P1929:R2069 S2015:S2069 Y2042:AD2081 P2070:S2081 M2082:M2084 P2082:AD2084 M2085:AD2089 A2090:AD2102">
    <cfRule type="expression" dxfId="30" priority="4">
      <formula>$L1651=0</formula>
    </cfRule>
  </conditionalFormatting>
  <conditionalFormatting sqref="P1651:S1928 N2085:S2102 P2015:S2084 P1929:R2014">
    <cfRule type="containsBlanks" dxfId="32" priority="3">
      <formula>LEN(TRIM(N1651))=0</formula>
    </cfRule>
  </conditionalFormatting>
  <conditionalFormatting sqref="M2082:M2089 L2090:M2102">
    <cfRule type="cellIs" dxfId="32" priority="5" operator="lessThan">
      <formula>0</formula>
    </cfRule>
    <cfRule type="cellIs" dxfId="33" priority="6" operator="lessThan">
      <formula>0</formula>
    </cfRule>
  </conditionalFormatting>
  <dataValidations count="2">
    <dataValidation type="list" showInputMessage="1" showErrorMessage="1" sqref="B2:B163 B165:B226 B228:B237">
      <formula1>$A$2:$A$1001487</formula1>
    </dataValidation>
    <dataValidation type="list" showInputMessage="1" showErrorMessage="1" sqref="B1662 B1929 B2029 B1651:B1661 B1663:B1677 B1678:B1689 B1690:B1694 B1695:B1758 B1759:B1845 B1846:B1920 B1921:B1928 B1930:B2021 B2022:B2028 B2030:B2041 B2042:B2069 B2070:B2102">
      <formula1>$A$2:$A$999837</formula1>
    </dataValidation>
  </dataValidations>
  <hyperlinks>
    <hyperlink ref="E1929" r:id="rId3" display="Pantalones De Traje De Pierna Ancha Negro" tooltip="https://us.shein.com/SHEIN-EZwear-Solid-Wide-Leg-Dress-Pants-p-17027747.html"/>
    <hyperlink ref="E1930" r:id="rId3" display="Pantalones De Traje De Pierna Ancha Negro" tooltip="https://us.shein.com/SHEIN-EZwear-Solid-Wide-Leg-Dress-Pants-p-17027747.html"/>
    <hyperlink ref="E1931" r:id="rId3" display="Pantalones De Traje De Pierna Ancha Negro" tooltip="https://us.shein.com/SHEIN-EZwear-Solid-Wide-Leg-Dress-Pants-p-17027747.html"/>
    <hyperlink ref="E1932" r:id="rId3" display="Pantalones De Traje De Pierna Ancha Negro" tooltip="https://us.shein.com/SHEIN-EZwear-Solid-Wide-Leg-Dress-Pants-p-17027747.html"/>
    <hyperlink ref="E1933" r:id="rId3" display="Pantalones De Traje De Pierna Ancha Beige" tooltip="https://us.shein.com/SHEIN-EZwear-Solid-Wide-Leg-Dress-Pants-p-17027747.html"/>
    <hyperlink ref="E1934" r:id="rId3" display="Pantalones De Traje De Pierna Ancha Beige" tooltip="https://us.shein.com/SHEIN-EZwear-Solid-Wide-Leg-Dress-Pants-p-17027747.html"/>
    <hyperlink ref="E1935" r:id="rId3" display="Pantalones De Traje De Pierna Ancha Beige" tooltip="https://us.shein.com/SHEIN-EZwear-Solid-Wide-Leg-Dress-Pants-p-17027747.html"/>
    <hyperlink ref="E1936" r:id="rId3" display="Pantalones De Traje De Pierna Ancha Beige" tooltip="https://us.shein.com/SHEIN-EZwear-Solid-Wide-Leg-Dress-Pants-p-17027747.html"/>
  </hyperlinks>
  <pageMargins left="1" right="1" top="1" bottom="1" header="0.25" footer="0.25"/>
  <pageSetup paperSize="1" scale="10" orientation="portrait"/>
  <headerFooter>
    <oddFooter>&amp;C&amp;"Helvetica Neue,Regular"&amp;12 &amp;K000000&amp;P</oddFooter>
  </headerFooter>
  <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N2176"/>
  <sheetViews>
    <sheetView zoomScale="82" zoomScaleNormal="82" topLeftCell="C2085" workbookViewId="0">
      <selection activeCell="H2112" sqref="H2112"/>
    </sheetView>
  </sheetViews>
  <sheetFormatPr defaultColWidth="13" defaultRowHeight="2.4"/>
  <cols>
    <col min="1" max="1" width="103.5" style="5" customWidth="1"/>
    <col min="2" max="2" width="102" style="5" customWidth="1"/>
    <col min="3" max="3" width="138" style="5" customWidth="1"/>
    <col min="4" max="4" width="254.625" style="5" customWidth="1"/>
    <col min="5" max="5" width="92" style="5" customWidth="1"/>
    <col min="6" max="6" width="257" style="5" customWidth="1"/>
    <col min="7" max="7" width="79" style="5" customWidth="1"/>
    <col min="8" max="8" width="71" style="6" customWidth="1"/>
    <col min="9" max="12" width="63" style="6" customWidth="1"/>
    <col min="13" max="13" width="141" style="5" customWidth="1"/>
    <col min="14" max="14" width="123" style="5" customWidth="1"/>
    <col min="15" max="15" width="13" style="5" customWidth="1"/>
    <col min="16" max="16384" width="13" style="5"/>
  </cols>
  <sheetData>
    <row r="1" ht="19" customHeight="1" spans="1:11">
      <c r="A1" s="7" t="s">
        <v>4044</v>
      </c>
      <c r="B1" s="8"/>
      <c r="C1" s="8"/>
      <c r="D1" s="8"/>
      <c r="E1" s="12"/>
      <c r="G1" s="7" t="s">
        <v>4045</v>
      </c>
      <c r="H1" s="12"/>
      <c r="I1" s="7"/>
      <c r="J1" s="15"/>
      <c r="K1" s="16"/>
    </row>
    <row r="2" s="1" customFormat="1" ht="35" customHeight="1" spans="1:13">
      <c r="A2" s="9" t="s">
        <v>4046</v>
      </c>
      <c r="B2" s="9" t="s">
        <v>4047</v>
      </c>
      <c r="C2" s="9" t="s">
        <v>4048</v>
      </c>
      <c r="D2" s="9" t="s">
        <v>4049</v>
      </c>
      <c r="E2" s="9" t="s">
        <v>4050</v>
      </c>
      <c r="F2" s="9" t="s">
        <v>4051</v>
      </c>
      <c r="G2" s="9" t="s">
        <v>4052</v>
      </c>
      <c r="H2" s="13" t="s">
        <v>4053</v>
      </c>
      <c r="I2" s="13" t="s">
        <v>4054</v>
      </c>
      <c r="J2" s="13" t="s">
        <v>12</v>
      </c>
      <c r="K2" s="13" t="s">
        <v>4055</v>
      </c>
      <c r="L2" s="13" t="s">
        <v>4056</v>
      </c>
      <c r="M2" s="9" t="s">
        <v>4057</v>
      </c>
    </row>
    <row r="3" ht="20" hidden="1" customHeight="1" spans="1:14">
      <c r="A3" s="10">
        <v>45017</v>
      </c>
      <c r="B3" s="11"/>
      <c r="C3" s="11"/>
      <c r="D3" s="11"/>
      <c r="E3" s="11" t="s">
        <v>71</v>
      </c>
      <c r="F3" s="11" t="str">
        <f>IFERROR(VLOOKUP(VENTAS[[#This Row],[Código del producto Vendido]],STOCK[],5,FALSE),"-")</f>
        <v>Bañador de una pieza con degradado</v>
      </c>
      <c r="G3" s="11">
        <v>1</v>
      </c>
      <c r="H3" s="14">
        <v>25</v>
      </c>
      <c r="I3" s="14">
        <f>VENTAS[[#This Row],[Cantidad]]*VENTAS[[#This Row],[Precio Venta]]</f>
        <v>25</v>
      </c>
      <c r="J3" s="14">
        <f>IF(VENTAS[[#This Row],[Nombre del Gestor]]&gt;1,VENTAS[[#This Row],[Total]]*10%,0)</f>
        <v>0</v>
      </c>
      <c r="K3" s="14">
        <f>IFERROR(VLOOKUP(VENTAS[[#This Row],[Código del producto Vendido]],STOCK[],16,FALSE)*VENTAS[[#This Row],[Cantidad]]+VLOOKUP(VENTAS[[#This Row],[Código del producto Vendido]],STOCK[],19,FALSE)*VENTAS[[#This Row],[Cantidad]],VENTAS[[#This Row],[Total]])</f>
        <v>15.6844444444444</v>
      </c>
      <c r="L3" s="14">
        <f>VENTAS[[#This Row],[Total]]-VENTAS[[#This Row],[Comisión 10%]]-VENTAS[[#This Row],[Costo SIN Comision]]</f>
        <v>9.3155555555556</v>
      </c>
      <c r="M3" s="14"/>
      <c r="N3" s="17"/>
    </row>
    <row r="4" ht="20" hidden="1" customHeight="1" spans="1:14">
      <c r="A4" s="10">
        <v>45017</v>
      </c>
      <c r="B4" s="11"/>
      <c r="C4" s="11"/>
      <c r="D4" s="11"/>
      <c r="E4" s="11" t="s">
        <v>158</v>
      </c>
      <c r="F4" s="11" t="str">
        <f>IFERROR(VLOOKUP(VENTAS[[#This Row],[Código del producto Vendido]],STOCK[],5,FALSE),"-")</f>
        <v>Jeans de pierna recta desgarro</v>
      </c>
      <c r="G4" s="11">
        <v>1</v>
      </c>
      <c r="H4" s="14">
        <v>30</v>
      </c>
      <c r="I4" s="14">
        <f>VENTAS[[#This Row],[Cantidad]]*VENTAS[[#This Row],[Precio Venta]]</f>
        <v>30</v>
      </c>
      <c r="J4" s="14">
        <f>IF(VENTAS[[#This Row],[Nombre del Gestor]]&gt;1,VENTAS[[#This Row],[Total]]*10%,0)</f>
        <v>0</v>
      </c>
      <c r="K4" s="14">
        <f>IFERROR(VLOOKUP(VENTAS[[#This Row],[Código del producto Vendido]],STOCK[],16,FALSE)*VENTAS[[#This Row],[Cantidad]]+VLOOKUP(VENTAS[[#This Row],[Código del producto Vendido]],STOCK[],19,FALSE)*VENTAS[[#This Row],[Cantidad]],VENTAS[[#This Row],[Total]])</f>
        <v>18.6866666666667</v>
      </c>
      <c r="L4" s="14">
        <f>VENTAS[[#This Row],[Total]]-VENTAS[[#This Row],[Comisión 10%]]-VENTAS[[#This Row],[Costo SIN Comision]]</f>
        <v>11.3133333333333</v>
      </c>
      <c r="M4" s="14"/>
      <c r="N4" s="17"/>
    </row>
    <row r="5" ht="20" hidden="1" customHeight="1" spans="1:14">
      <c r="A5" s="10">
        <v>45017</v>
      </c>
      <c r="B5" s="11"/>
      <c r="C5" s="11"/>
      <c r="D5" s="11"/>
      <c r="E5" s="11" t="s">
        <v>158</v>
      </c>
      <c r="F5" s="11" t="str">
        <f>IFERROR(VLOOKUP(VENTAS[[#This Row],[Código del producto Vendido]],STOCK[],5,FALSE),"-")</f>
        <v>Jeans de pierna recta desgarro</v>
      </c>
      <c r="G5" s="11">
        <v>1</v>
      </c>
      <c r="H5" s="14">
        <v>30</v>
      </c>
      <c r="I5" s="14">
        <f>VENTAS[[#This Row],[Cantidad]]*VENTAS[[#This Row],[Precio Venta]]</f>
        <v>30</v>
      </c>
      <c r="J5" s="14">
        <f>IF(VENTAS[[#This Row],[Nombre del Gestor]]&gt;1,VENTAS[[#This Row],[Total]]*10%,0)</f>
        <v>0</v>
      </c>
      <c r="K5" s="14">
        <f>IFERROR(VLOOKUP(VENTAS[[#This Row],[Código del producto Vendido]],STOCK[],16,FALSE)*VENTAS[[#This Row],[Cantidad]]+VLOOKUP(VENTAS[[#This Row],[Código del producto Vendido]],STOCK[],19,FALSE)*VENTAS[[#This Row],[Cantidad]],VENTAS[[#This Row],[Total]])</f>
        <v>18.6866666666667</v>
      </c>
      <c r="L5" s="14">
        <f>VENTAS[[#This Row],[Total]]-VENTAS[[#This Row],[Comisión 10%]]-VENTAS[[#This Row],[Costo SIN Comision]]</f>
        <v>11.3133333333333</v>
      </c>
      <c r="M5" s="14"/>
      <c r="N5" s="18"/>
    </row>
    <row r="6" ht="20" hidden="1" customHeight="1" spans="1:13">
      <c r="A6" s="10">
        <v>45017</v>
      </c>
      <c r="B6" s="11"/>
      <c r="C6" s="11"/>
      <c r="D6" s="11"/>
      <c r="E6" s="11" t="s">
        <v>158</v>
      </c>
      <c r="F6" s="11" t="str">
        <f>IFERROR(VLOOKUP(VENTAS[[#This Row],[Código del producto Vendido]],STOCK[],5,FALSE),"-")</f>
        <v>Jeans de pierna recta desgarro</v>
      </c>
      <c r="G6" s="11">
        <v>1</v>
      </c>
      <c r="H6" s="14">
        <v>30</v>
      </c>
      <c r="I6" s="14">
        <f>VENTAS[[#This Row],[Cantidad]]*VENTAS[[#This Row],[Precio Venta]]</f>
        <v>30</v>
      </c>
      <c r="J6" s="14">
        <f>IF(VENTAS[[#This Row],[Nombre del Gestor]]&gt;1,VENTAS[[#This Row],[Total]]*10%,0)</f>
        <v>0</v>
      </c>
      <c r="K6" s="14">
        <f>IFERROR(VLOOKUP(VENTAS[[#This Row],[Código del producto Vendido]],STOCK[],16,FALSE)*VENTAS[[#This Row],[Cantidad]]+VLOOKUP(VENTAS[[#This Row],[Código del producto Vendido]],STOCK[],19,FALSE)*VENTAS[[#This Row],[Cantidad]],VENTAS[[#This Row],[Total]])</f>
        <v>18.6866666666667</v>
      </c>
      <c r="L6" s="14">
        <f>VENTAS[[#This Row],[Total]]-VENTAS[[#This Row],[Comisión 10%]]-VENTAS[[#This Row],[Costo SIN Comision]]</f>
        <v>11.3133333333333</v>
      </c>
      <c r="M6" s="14"/>
    </row>
    <row r="7" ht="20" hidden="1" customHeight="1" spans="1:13">
      <c r="A7" s="10">
        <v>45017</v>
      </c>
      <c r="B7" s="11"/>
      <c r="C7" s="11"/>
      <c r="D7" s="11"/>
      <c r="E7" s="11" t="s">
        <v>4058</v>
      </c>
      <c r="F7" s="11" t="str">
        <f>IFERROR(VLOOKUP(VENTAS[[#This Row],[Código del producto Vendido]],STOCK[],5,FALSE),"-")</f>
        <v>-</v>
      </c>
      <c r="G7" s="11">
        <v>2</v>
      </c>
      <c r="H7" s="14">
        <v>25</v>
      </c>
      <c r="I7" s="14">
        <f>VENTAS[[#This Row],[Cantidad]]*VENTAS[[#This Row],[Precio Venta]]</f>
        <v>50</v>
      </c>
      <c r="J7" s="14">
        <f>IF(VENTAS[[#This Row],[Nombre del Gestor]]&gt;1,VENTAS[[#This Row],[Total]]*10%,0)</f>
        <v>0</v>
      </c>
      <c r="K7" s="14">
        <f>IFERROR(VLOOKUP(VENTAS[[#This Row],[Código del producto Vendido]],STOCK[],16,FALSE)*VENTAS[[#This Row],[Cantidad]]+VLOOKUP(VENTAS[[#This Row],[Código del producto Vendido]],STOCK[],19,FALSE)*VENTAS[[#This Row],[Cantidad]],VENTAS[[#This Row],[Total]])</f>
        <v>50</v>
      </c>
      <c r="L7" s="14">
        <f>VENTAS[[#This Row],[Total]]-VENTAS[[#This Row],[Comisión 10%]]-VENTAS[[#This Row],[Costo SIN Comision]]</f>
        <v>0</v>
      </c>
      <c r="M7" s="14"/>
    </row>
    <row r="8" ht="20" hidden="1" customHeight="1" spans="1:13">
      <c r="A8" s="10">
        <v>45017</v>
      </c>
      <c r="B8" s="11"/>
      <c r="C8" s="11"/>
      <c r="D8" s="11"/>
      <c r="E8" s="11" t="s">
        <v>93</v>
      </c>
      <c r="F8" s="11" t="str">
        <f>IFERROR(VLOOKUP(VENTAS[[#This Row],[Código del producto Vendido]],STOCK[],5,FALSE),"-")</f>
        <v>Bañador una pieza de malla en contraste</v>
      </c>
      <c r="G8" s="11">
        <v>1</v>
      </c>
      <c r="H8" s="14">
        <v>25</v>
      </c>
      <c r="I8" s="14">
        <f>VENTAS[[#This Row],[Cantidad]]*VENTAS[[#This Row],[Precio Venta]]</f>
        <v>25</v>
      </c>
      <c r="J8" s="14">
        <f>IF(VENTAS[[#This Row],[Nombre del Gestor]]&gt;1,VENTAS[[#This Row],[Total]]*10%,0)</f>
        <v>0</v>
      </c>
      <c r="K8" s="14">
        <f>IFERROR(VLOOKUP(VENTAS[[#This Row],[Código del producto Vendido]],STOCK[],16,FALSE)*VENTAS[[#This Row],[Cantidad]]+VLOOKUP(VENTAS[[#This Row],[Código del producto Vendido]],STOCK[],19,FALSE)*VENTAS[[#This Row],[Cantidad]],VENTAS[[#This Row],[Total]])</f>
        <v>14.0633333333333</v>
      </c>
      <c r="L8" s="14">
        <f>VENTAS[[#This Row],[Total]]-VENTAS[[#This Row],[Comisión 10%]]-VENTAS[[#This Row],[Costo SIN Comision]]</f>
        <v>10.9366666666667</v>
      </c>
      <c r="M8" s="14"/>
    </row>
    <row r="9" ht="20" hidden="1" customHeight="1" spans="1:13">
      <c r="A9" s="10">
        <v>45017</v>
      </c>
      <c r="B9" s="11"/>
      <c r="C9" s="11"/>
      <c r="D9" s="11"/>
      <c r="E9" s="11" t="s">
        <v>97</v>
      </c>
      <c r="F9" s="11" t="str">
        <f>IFERROR(VLOOKUP(VENTAS[[#This Row],[Código del producto Vendido]],STOCK[],5,FALSE),"-")</f>
        <v>Bañador estampado de planta </v>
      </c>
      <c r="G9" s="11">
        <v>1</v>
      </c>
      <c r="H9" s="14">
        <v>25</v>
      </c>
      <c r="I9" s="14">
        <f>VENTAS[[#This Row],[Cantidad]]*VENTAS[[#This Row],[Precio Venta]]</f>
        <v>25</v>
      </c>
      <c r="J9" s="14">
        <f>IF(VENTAS[[#This Row],[Nombre del Gestor]]&gt;1,VENTAS[[#This Row],[Total]]*10%,0)</f>
        <v>0</v>
      </c>
      <c r="K9" s="14">
        <f>IFERROR(VLOOKUP(VENTAS[[#This Row],[Código del producto Vendido]],STOCK[],16,FALSE)*VENTAS[[#This Row],[Cantidad]]+VLOOKUP(VENTAS[[#This Row],[Código del producto Vendido]],STOCK[],19,FALSE)*VENTAS[[#This Row],[Cantidad]],VENTAS[[#This Row],[Total]])</f>
        <v>15.1288888888889</v>
      </c>
      <c r="L9" s="14">
        <f>VENTAS[[#This Row],[Total]]-VENTAS[[#This Row],[Comisión 10%]]-VENTAS[[#This Row],[Costo SIN Comision]]</f>
        <v>9.8711111111111</v>
      </c>
      <c r="M9" s="14"/>
    </row>
    <row r="10" ht="20" hidden="1" customHeight="1" spans="1:13">
      <c r="A10" s="10">
        <v>45017</v>
      </c>
      <c r="B10" s="11"/>
      <c r="C10" s="11"/>
      <c r="D10" s="11"/>
      <c r="E10" s="11" t="s">
        <v>99</v>
      </c>
      <c r="F10" s="11" t="str">
        <f>IFERROR(VLOOKUP(VENTAS[[#This Row],[Código del producto Vendido]],STOCK[],5,FALSE),"-")</f>
        <v>Bañador estampado de planta</v>
      </c>
      <c r="G10" s="11">
        <v>2</v>
      </c>
      <c r="H10" s="14">
        <v>25</v>
      </c>
      <c r="I10" s="14">
        <f>VENTAS[[#This Row],[Cantidad]]*VENTAS[[#This Row],[Precio Venta]]</f>
        <v>50</v>
      </c>
      <c r="J10" s="14">
        <f>IF(VENTAS[[#This Row],[Nombre del Gestor]]&gt;1,VENTAS[[#This Row],[Total]]*10%,0)</f>
        <v>0</v>
      </c>
      <c r="K10" s="14">
        <f>IFERROR(VLOOKUP(VENTAS[[#This Row],[Código del producto Vendido]],STOCK[],16,FALSE)*VENTAS[[#This Row],[Cantidad]]+VLOOKUP(VENTAS[[#This Row],[Código del producto Vendido]],STOCK[],19,FALSE)*VENTAS[[#This Row],[Cantidad]],VENTAS[[#This Row],[Total]])</f>
        <v>31.9577777777778</v>
      </c>
      <c r="L10" s="14">
        <f>VENTAS[[#This Row],[Total]]-VENTAS[[#This Row],[Comisión 10%]]-VENTAS[[#This Row],[Costo SIN Comision]]</f>
        <v>18.0422222222222</v>
      </c>
      <c r="M10" s="14"/>
    </row>
    <row r="11" ht="20" hidden="1" customHeight="1" spans="1:13">
      <c r="A11" s="10">
        <v>45017</v>
      </c>
      <c r="B11" s="11"/>
      <c r="C11" s="11"/>
      <c r="D11" s="11"/>
      <c r="E11" s="11" t="s">
        <v>58</v>
      </c>
      <c r="F11" s="11" t="str">
        <f>IFERROR(VLOOKUP(VENTAS[[#This Row],[Código del producto Vendido]],STOCK[],5,FALSE),"-")</f>
        <v>Bañador con cremallera </v>
      </c>
      <c r="G11" s="11">
        <v>1</v>
      </c>
      <c r="H11" s="14">
        <v>25</v>
      </c>
      <c r="I11" s="14">
        <f>VENTAS[[#This Row],[Cantidad]]*VENTAS[[#This Row],[Precio Venta]]</f>
        <v>25</v>
      </c>
      <c r="J11" s="14">
        <f>IF(VENTAS[[#This Row],[Nombre del Gestor]]&gt;1,VENTAS[[#This Row],[Total]]*10%,0)</f>
        <v>0</v>
      </c>
      <c r="K11" s="14">
        <f>IFERROR(VLOOKUP(VENTAS[[#This Row],[Código del producto Vendido]],STOCK[],16,FALSE)*VENTAS[[#This Row],[Cantidad]]+VLOOKUP(VENTAS[[#This Row],[Código del producto Vendido]],STOCK[],19,FALSE)*VENTAS[[#This Row],[Cantidad]],VENTAS[[#This Row],[Total]])</f>
        <v>15.9166666666667</v>
      </c>
      <c r="L11" s="14">
        <f>VENTAS[[#This Row],[Total]]-VENTAS[[#This Row],[Comisión 10%]]-VENTAS[[#This Row],[Costo SIN Comision]]</f>
        <v>9.0833333333333</v>
      </c>
      <c r="M11" s="14"/>
    </row>
    <row r="12" ht="20" hidden="1" customHeight="1" spans="1:13">
      <c r="A12" s="10">
        <v>45017</v>
      </c>
      <c r="B12" s="11"/>
      <c r="C12" s="11"/>
      <c r="D12" s="11"/>
      <c r="E12" s="11" t="s">
        <v>31</v>
      </c>
      <c r="F12" s="11" t="str">
        <f>IFERROR(VLOOKUP(VENTAS[[#This Row],[Código del producto Vendido]],STOCK[],5,FALSE),"-")</f>
        <v>Pareo falda </v>
      </c>
      <c r="G12" s="11">
        <v>1</v>
      </c>
      <c r="H12" s="14">
        <v>8</v>
      </c>
      <c r="I12" s="14">
        <f>VENTAS[[#This Row],[Cantidad]]*VENTAS[[#This Row],[Precio Venta]]</f>
        <v>8</v>
      </c>
      <c r="J12" s="14">
        <f>IF(VENTAS[[#This Row],[Nombre del Gestor]]&gt;1,VENTAS[[#This Row],[Total]]*10%,0)</f>
        <v>0</v>
      </c>
      <c r="K12" s="14">
        <f>IFERROR(VLOOKUP(VENTAS[[#This Row],[Código del producto Vendido]],STOCK[],16,FALSE)*VENTAS[[#This Row],[Cantidad]]+VLOOKUP(VENTAS[[#This Row],[Código del producto Vendido]],STOCK[],19,FALSE)*VENTAS[[#This Row],[Cantidad]],VENTAS[[#This Row],[Total]])</f>
        <v>4.33722222222222</v>
      </c>
      <c r="L12" s="14">
        <f>VENTAS[[#This Row],[Total]]-VENTAS[[#This Row],[Comisión 10%]]-VENTAS[[#This Row],[Costo SIN Comision]]</f>
        <v>3.66277777777778</v>
      </c>
      <c r="M12" s="14"/>
    </row>
    <row r="13" ht="20" hidden="1" customHeight="1" spans="1:13">
      <c r="A13" s="10">
        <v>45017</v>
      </c>
      <c r="B13" s="11"/>
      <c r="C13" s="11"/>
      <c r="D13" s="11"/>
      <c r="E13" s="11" t="s">
        <v>41</v>
      </c>
      <c r="F13" s="11" t="str">
        <f>IFERROR(VLOOKUP(VENTAS[[#This Row],[Código del producto Vendido]],STOCK[],5,FALSE),"-")</f>
        <v>Bikini Floral</v>
      </c>
      <c r="G13" s="11">
        <v>1</v>
      </c>
      <c r="H13" s="14">
        <v>25</v>
      </c>
      <c r="I13" s="14">
        <f>VENTAS[[#This Row],[Cantidad]]*VENTAS[[#This Row],[Precio Venta]]</f>
        <v>25</v>
      </c>
      <c r="J13" s="14">
        <f>IF(VENTAS[[#This Row],[Nombre del Gestor]]&gt;1,VENTAS[[#This Row],[Total]]*10%,0)</f>
        <v>0</v>
      </c>
      <c r="K13" s="14">
        <f>IFERROR(VLOOKUP(VENTAS[[#This Row],[Código del producto Vendido]],STOCK[],16,FALSE)*VENTAS[[#This Row],[Cantidad]]+VLOOKUP(VENTAS[[#This Row],[Código del producto Vendido]],STOCK[],19,FALSE)*VENTAS[[#This Row],[Cantidad]],VENTAS[[#This Row],[Total]])</f>
        <v>19.5611111111111</v>
      </c>
      <c r="L13" s="14">
        <f>VENTAS[[#This Row],[Total]]-VENTAS[[#This Row],[Comisión 10%]]-VENTAS[[#This Row],[Costo SIN Comision]]</f>
        <v>5.4388888888889</v>
      </c>
      <c r="M13" s="14"/>
    </row>
    <row r="14" ht="20" hidden="1" customHeight="1" spans="1:13">
      <c r="A14" s="10">
        <v>45017</v>
      </c>
      <c r="B14" s="11"/>
      <c r="C14" s="11"/>
      <c r="D14" s="11"/>
      <c r="E14" s="11" t="s">
        <v>51</v>
      </c>
      <c r="F14" s="11" t="str">
        <f>IFERROR(VLOOKUP(VENTAS[[#This Row],[Código del producto Vendido]],STOCK[],5,FALSE),"-")</f>
        <v>Pareo Pantalón</v>
      </c>
      <c r="G14" s="11">
        <v>1</v>
      </c>
      <c r="H14" s="14">
        <v>15</v>
      </c>
      <c r="I14" s="14">
        <f>VENTAS[[#This Row],[Cantidad]]*VENTAS[[#This Row],[Precio Venta]]</f>
        <v>15</v>
      </c>
      <c r="J14" s="14">
        <f>IF(VENTAS[[#This Row],[Nombre del Gestor]]&gt;1,VENTAS[[#This Row],[Total]]*10%,0)</f>
        <v>0</v>
      </c>
      <c r="K14" s="14">
        <f>IFERROR(VLOOKUP(VENTAS[[#This Row],[Código del producto Vendido]],STOCK[],16,FALSE)*VENTAS[[#This Row],[Cantidad]]+VLOOKUP(VENTAS[[#This Row],[Código del producto Vendido]],STOCK[],19,FALSE)*VENTAS[[#This Row],[Cantidad]],VENTAS[[#This Row],[Total]])</f>
        <v>10.0633333333333</v>
      </c>
      <c r="L14" s="14">
        <f>VENTAS[[#This Row],[Total]]-VENTAS[[#This Row],[Comisión 10%]]-VENTAS[[#This Row],[Costo SIN Comision]]</f>
        <v>4.93666666666667</v>
      </c>
      <c r="M14" s="14"/>
    </row>
    <row r="15" ht="20" hidden="1" customHeight="1" spans="1:13">
      <c r="A15" s="10">
        <v>45017</v>
      </c>
      <c r="B15" s="11"/>
      <c r="C15" s="11"/>
      <c r="D15" s="11"/>
      <c r="E15" s="11" t="s">
        <v>56</v>
      </c>
      <c r="F15" s="11" t="str">
        <f>IFERROR(VLOOKUP(VENTAS[[#This Row],[Código del producto Vendido]],STOCK[],5,FALSE),"-")</f>
        <v>Pareo pantalón en malla</v>
      </c>
      <c r="G15" s="11">
        <v>1</v>
      </c>
      <c r="H15" s="14">
        <v>15</v>
      </c>
      <c r="I15" s="14">
        <f>VENTAS[[#This Row],[Cantidad]]*VENTAS[[#This Row],[Precio Venta]]</f>
        <v>15</v>
      </c>
      <c r="J15" s="14">
        <f>IF(VENTAS[[#This Row],[Nombre del Gestor]]&gt;1,VENTAS[[#This Row],[Total]]*10%,0)</f>
        <v>0</v>
      </c>
      <c r="K15" s="14">
        <f>IFERROR(VLOOKUP(VENTAS[[#This Row],[Código del producto Vendido]],STOCK[],16,FALSE)*VENTAS[[#This Row],[Cantidad]]+VLOOKUP(VENTAS[[#This Row],[Código del producto Vendido]],STOCK[],19,FALSE)*VENTAS[[#This Row],[Cantidad]],VENTAS[[#This Row],[Total]])</f>
        <v>10.0633333333333</v>
      </c>
      <c r="L15" s="14">
        <f>VENTAS[[#This Row],[Total]]-VENTAS[[#This Row],[Comisión 10%]]-VENTAS[[#This Row],[Costo SIN Comision]]</f>
        <v>4.93666666666667</v>
      </c>
      <c r="M15" s="14"/>
    </row>
    <row r="16" ht="20" hidden="1" customHeight="1" spans="1:13">
      <c r="A16" s="10">
        <v>45017</v>
      </c>
      <c r="B16" s="11"/>
      <c r="C16" s="11"/>
      <c r="D16" s="11"/>
      <c r="E16" s="11" t="s">
        <v>454</v>
      </c>
      <c r="F16" s="11" t="str">
        <f>IFERROR(VLOOKUP(VENTAS[[#This Row],[Código del producto Vendido]],STOCK[],5,FALSE),"-")</f>
        <v>Bañador bikini de manga raglán con cordón floral</v>
      </c>
      <c r="G16" s="11">
        <v>1</v>
      </c>
      <c r="H16" s="14">
        <v>25</v>
      </c>
      <c r="I16" s="14">
        <f>VENTAS[[#This Row],[Cantidad]]*VENTAS[[#This Row],[Precio Venta]]</f>
        <v>25</v>
      </c>
      <c r="J16" s="14">
        <f>IF(VENTAS[[#This Row],[Nombre del Gestor]]&gt;1,VENTAS[[#This Row],[Total]]*10%,0)</f>
        <v>0</v>
      </c>
      <c r="K16" s="14">
        <f>IFERROR(VLOOKUP(VENTAS[[#This Row],[Código del producto Vendido]],STOCK[],16,FALSE)*VENTAS[[#This Row],[Cantidad]]+VLOOKUP(VENTAS[[#This Row],[Código del producto Vendido]],STOCK[],19,FALSE)*VENTAS[[#This Row],[Cantidad]],VENTAS[[#This Row],[Total]])</f>
        <v>19.7944444444444</v>
      </c>
      <c r="L16" s="14">
        <f>VENTAS[[#This Row],[Total]]-VENTAS[[#This Row],[Comisión 10%]]-VENTAS[[#This Row],[Costo SIN Comision]]</f>
        <v>5.2055555555556</v>
      </c>
      <c r="M16" s="14"/>
    </row>
    <row r="17" ht="20" hidden="1" customHeight="1" spans="1:13">
      <c r="A17" s="10">
        <v>45017</v>
      </c>
      <c r="B17" s="11"/>
      <c r="C17" s="11"/>
      <c r="D17" s="11"/>
      <c r="E17" s="11" t="s">
        <v>101</v>
      </c>
      <c r="F17" s="11" t="str">
        <f>IFERROR(VLOOKUP(VENTAS[[#This Row],[Código del producto Vendido]],STOCK[],5,FALSE),"-")</f>
        <v>Bañador estampado de planta</v>
      </c>
      <c r="G17" s="11">
        <v>1</v>
      </c>
      <c r="H17" s="14">
        <v>25</v>
      </c>
      <c r="I17" s="14">
        <f>VENTAS[[#This Row],[Cantidad]]*VENTAS[[#This Row],[Precio Venta]]</f>
        <v>25</v>
      </c>
      <c r="J17" s="14">
        <f>IF(VENTAS[[#This Row],[Nombre del Gestor]]&gt;1,VENTAS[[#This Row],[Total]]*10%,0)</f>
        <v>0</v>
      </c>
      <c r="K17" s="14">
        <f>IFERROR(VLOOKUP(VENTAS[[#This Row],[Código del producto Vendido]],STOCK[],16,FALSE)*VENTAS[[#This Row],[Cantidad]]+VLOOKUP(VENTAS[[#This Row],[Código del producto Vendido]],STOCK[],19,FALSE)*VENTAS[[#This Row],[Cantidad]],VENTAS[[#This Row],[Total]])</f>
        <v>15.9788888888889</v>
      </c>
      <c r="L17" s="14">
        <f>VENTAS[[#This Row],[Total]]-VENTAS[[#This Row],[Comisión 10%]]-VENTAS[[#This Row],[Costo SIN Comision]]</f>
        <v>9.0211111111111</v>
      </c>
      <c r="M17" s="14"/>
    </row>
    <row r="18" ht="20" hidden="1" customHeight="1" spans="1:13">
      <c r="A18" s="10">
        <v>45017</v>
      </c>
      <c r="B18" s="11"/>
      <c r="C18" s="11"/>
      <c r="D18" s="11"/>
      <c r="E18" s="11" t="s">
        <v>454</v>
      </c>
      <c r="F18" s="11" t="str">
        <f>IFERROR(VLOOKUP(VENTAS[[#This Row],[Código del producto Vendido]],STOCK[],5,FALSE),"-")</f>
        <v>Bañador bikini de manga raglán con cordón floral</v>
      </c>
      <c r="G18" s="11">
        <v>1</v>
      </c>
      <c r="H18" s="14">
        <v>25</v>
      </c>
      <c r="I18" s="14">
        <f>VENTAS[[#This Row],[Cantidad]]*VENTAS[[#This Row],[Precio Venta]]</f>
        <v>25</v>
      </c>
      <c r="J18" s="14">
        <f>IF(VENTAS[[#This Row],[Nombre del Gestor]]&gt;1,VENTAS[[#This Row],[Total]]*10%,0)</f>
        <v>0</v>
      </c>
      <c r="K18" s="14">
        <f>IFERROR(VLOOKUP(VENTAS[[#This Row],[Código del producto Vendido]],STOCK[],16,FALSE)*VENTAS[[#This Row],[Cantidad]]+VLOOKUP(VENTAS[[#This Row],[Código del producto Vendido]],STOCK[],19,FALSE)*VENTAS[[#This Row],[Cantidad]],VENTAS[[#This Row],[Total]])</f>
        <v>19.7944444444444</v>
      </c>
      <c r="L18" s="14">
        <f>VENTAS[[#This Row],[Total]]-VENTAS[[#This Row],[Comisión 10%]]-VENTAS[[#This Row],[Costo SIN Comision]]</f>
        <v>5.2055555555556</v>
      </c>
      <c r="M18" s="14"/>
    </row>
    <row r="19" ht="20" hidden="1" customHeight="1" spans="1:13">
      <c r="A19" s="10">
        <v>45017</v>
      </c>
      <c r="B19" s="11"/>
      <c r="C19" s="11"/>
      <c r="D19" s="11"/>
      <c r="E19" s="11" t="s">
        <v>117</v>
      </c>
      <c r="F19" s="11" t="str">
        <f>IFERROR(VLOOKUP(VENTAS[[#This Row],[Código del producto Vendido]],STOCK[],5,FALSE),"-")</f>
        <v>Bañador con estampado floral</v>
      </c>
      <c r="G19" s="11">
        <v>1</v>
      </c>
      <c r="H19" s="14">
        <v>25</v>
      </c>
      <c r="I19" s="14">
        <f>VENTAS[[#This Row],[Cantidad]]*VENTAS[[#This Row],[Precio Venta]]</f>
        <v>25</v>
      </c>
      <c r="J19" s="14">
        <f>IF(VENTAS[[#This Row],[Nombre del Gestor]]&gt;1,VENTAS[[#This Row],[Total]]*10%,0)</f>
        <v>0</v>
      </c>
      <c r="K19" s="14">
        <f>IFERROR(VLOOKUP(VENTAS[[#This Row],[Código del producto Vendido]],STOCK[],16,FALSE)*VENTAS[[#This Row],[Cantidad]]+VLOOKUP(VENTAS[[#This Row],[Código del producto Vendido]],STOCK[],19,FALSE)*VENTAS[[#This Row],[Cantidad]],VENTAS[[#This Row],[Total]])</f>
        <v>18.0311111111111</v>
      </c>
      <c r="L19" s="14">
        <f>VENTAS[[#This Row],[Total]]-VENTAS[[#This Row],[Comisión 10%]]-VENTAS[[#This Row],[Costo SIN Comision]]</f>
        <v>6.9688888888889</v>
      </c>
      <c r="M19" s="14"/>
    </row>
    <row r="20" ht="20" hidden="1" customHeight="1" spans="1:13">
      <c r="A20" s="10">
        <v>45017</v>
      </c>
      <c r="B20" s="11"/>
      <c r="C20" s="11"/>
      <c r="D20" s="11"/>
      <c r="E20" s="11" t="s">
        <v>118</v>
      </c>
      <c r="F20" s="11" t="str">
        <f>IFERROR(VLOOKUP(VENTAS[[#This Row],[Código del producto Vendido]],STOCK[],5,FALSE),"-")</f>
        <v>Bañador en contraste con cremallera</v>
      </c>
      <c r="G20" s="11">
        <v>1</v>
      </c>
      <c r="H20" s="14">
        <v>25</v>
      </c>
      <c r="I20" s="14">
        <f>VENTAS[[#This Row],[Cantidad]]*VENTAS[[#This Row],[Precio Venta]]</f>
        <v>25</v>
      </c>
      <c r="J20" s="14">
        <f>IF(VENTAS[[#This Row],[Nombre del Gestor]]&gt;1,VENTAS[[#This Row],[Total]]*10%,0)</f>
        <v>0</v>
      </c>
      <c r="K20" s="14">
        <f>IFERROR(VLOOKUP(VENTAS[[#This Row],[Código del producto Vendido]],STOCK[],16,FALSE)*VENTAS[[#This Row],[Cantidad]]+VLOOKUP(VENTAS[[#This Row],[Código del producto Vendido]],STOCK[],19,FALSE)*VENTAS[[#This Row],[Cantidad]],VENTAS[[#This Row],[Total]])</f>
        <v>16.6877777777778</v>
      </c>
      <c r="L20" s="14">
        <f>VENTAS[[#This Row],[Total]]-VENTAS[[#This Row],[Comisión 10%]]-VENTAS[[#This Row],[Costo SIN Comision]]</f>
        <v>8.3122222222222</v>
      </c>
      <c r="M20" s="14"/>
    </row>
    <row r="21" ht="20" hidden="1" customHeight="1" spans="1:13">
      <c r="A21" s="10">
        <v>45017</v>
      </c>
      <c r="B21" s="11"/>
      <c r="C21" s="11"/>
      <c r="D21" s="11"/>
      <c r="E21" s="11" t="s">
        <v>120</v>
      </c>
      <c r="F21" s="11" t="str">
        <f>IFERROR(VLOOKUP(VENTAS[[#This Row],[Código del producto Vendido]],STOCK[],5,FALSE),"-")</f>
        <v>Bañador color combinado con cremallera_S</v>
      </c>
      <c r="G21" s="11">
        <v>1</v>
      </c>
      <c r="H21" s="14">
        <v>25</v>
      </c>
      <c r="I21" s="14">
        <f>VENTAS[[#This Row],[Cantidad]]*VENTAS[[#This Row],[Precio Venta]]</f>
        <v>25</v>
      </c>
      <c r="J21" s="14">
        <f>IF(VENTAS[[#This Row],[Nombre del Gestor]]&gt;1,VENTAS[[#This Row],[Total]]*10%,0)</f>
        <v>0</v>
      </c>
      <c r="K21" s="14">
        <f>IFERROR(VLOOKUP(VENTAS[[#This Row],[Código del producto Vendido]],STOCK[],16,FALSE)*VENTAS[[#This Row],[Cantidad]]+VLOOKUP(VENTAS[[#This Row],[Código del producto Vendido]],STOCK[],19,FALSE)*VENTAS[[#This Row],[Cantidad]],VENTAS[[#This Row],[Total]])</f>
        <v>16.7727777777778</v>
      </c>
      <c r="L21" s="14">
        <f>VENTAS[[#This Row],[Total]]-VENTAS[[#This Row],[Comisión 10%]]-VENTAS[[#This Row],[Costo SIN Comision]]</f>
        <v>8.2272222222222</v>
      </c>
      <c r="M21" s="14"/>
    </row>
    <row r="22" ht="20" hidden="1" customHeight="1" spans="1:13">
      <c r="A22" s="10">
        <v>45017</v>
      </c>
      <c r="B22" s="11"/>
      <c r="C22" s="11"/>
      <c r="D22" s="11"/>
      <c r="E22" s="11" t="s">
        <v>116</v>
      </c>
      <c r="F22" s="11" t="str">
        <f>IFERROR(VLOOKUP(VENTAS[[#This Row],[Código del producto Vendido]],STOCK[],5,FALSE),"-")</f>
        <v>Bikini con cordón lateral</v>
      </c>
      <c r="G22" s="11">
        <v>1</v>
      </c>
      <c r="H22" s="14">
        <v>22</v>
      </c>
      <c r="I22" s="14">
        <f>VENTAS[[#This Row],[Cantidad]]*VENTAS[[#This Row],[Precio Venta]]</f>
        <v>22</v>
      </c>
      <c r="J22" s="14">
        <f>IF(VENTAS[[#This Row],[Nombre del Gestor]]&gt;1,VENTAS[[#This Row],[Total]]*10%,0)</f>
        <v>0</v>
      </c>
      <c r="K22" s="14">
        <f>IFERROR(VLOOKUP(VENTAS[[#This Row],[Código del producto Vendido]],STOCK[],16,FALSE)*VENTAS[[#This Row],[Cantidad]]+VLOOKUP(VENTAS[[#This Row],[Código del producto Vendido]],STOCK[],19,FALSE)*VENTAS[[#This Row],[Cantidad]],VENTAS[[#This Row],[Total]])</f>
        <v>14.5505555555556</v>
      </c>
      <c r="L22" s="14">
        <f>VENTAS[[#This Row],[Total]]-VENTAS[[#This Row],[Comisión 10%]]-VENTAS[[#This Row],[Costo SIN Comision]]</f>
        <v>7.4494444444444</v>
      </c>
      <c r="M22" s="14"/>
    </row>
    <row r="23" ht="20" hidden="1" customHeight="1" spans="1:13">
      <c r="A23" s="10">
        <v>45017</v>
      </c>
      <c r="B23" s="11"/>
      <c r="C23" s="11"/>
      <c r="D23" s="11"/>
      <c r="E23" s="11" t="s">
        <v>157</v>
      </c>
      <c r="F23" s="11" t="str">
        <f>IFERROR(VLOOKUP(VENTAS[[#This Row],[Código del producto Vendido]],STOCK[],5,FALSE),"-")</f>
        <v>Jeans de pierna recta desgarro</v>
      </c>
      <c r="G23" s="11">
        <v>1</v>
      </c>
      <c r="H23" s="14">
        <v>30</v>
      </c>
      <c r="I23" s="14">
        <f>VENTAS[[#This Row],[Cantidad]]*VENTAS[[#This Row],[Precio Venta]]</f>
        <v>30</v>
      </c>
      <c r="J23" s="14">
        <f>IF(VENTAS[[#This Row],[Nombre del Gestor]]&gt;1,VENTAS[[#This Row],[Total]]*10%,0)</f>
        <v>0</v>
      </c>
      <c r="K23" s="14">
        <f>IFERROR(VLOOKUP(VENTAS[[#This Row],[Código del producto Vendido]],STOCK[],16,FALSE)*VENTAS[[#This Row],[Cantidad]]+VLOOKUP(VENTAS[[#This Row],[Código del producto Vendido]],STOCK[],19,FALSE)*VENTAS[[#This Row],[Cantidad]],VENTAS[[#This Row],[Total]])</f>
        <v>18.6866666666667</v>
      </c>
      <c r="L23" s="14">
        <f>VENTAS[[#This Row],[Total]]-VENTAS[[#This Row],[Comisión 10%]]-VENTAS[[#This Row],[Costo SIN Comision]]</f>
        <v>11.3133333333333</v>
      </c>
      <c r="M23" s="14"/>
    </row>
    <row r="24" ht="20" hidden="1" customHeight="1" spans="1:13">
      <c r="A24" s="10">
        <v>45017</v>
      </c>
      <c r="B24" s="11"/>
      <c r="C24" s="11"/>
      <c r="D24" s="11"/>
      <c r="E24" s="11" t="s">
        <v>157</v>
      </c>
      <c r="F24" s="11" t="str">
        <f>IFERROR(VLOOKUP(VENTAS[[#This Row],[Código del producto Vendido]],STOCK[],5,FALSE),"-")</f>
        <v>Jeans de pierna recta desgarro</v>
      </c>
      <c r="G24" s="11">
        <v>1</v>
      </c>
      <c r="H24" s="14">
        <v>22</v>
      </c>
      <c r="I24" s="14">
        <f>VENTAS[[#This Row],[Cantidad]]*VENTAS[[#This Row],[Precio Venta]]</f>
        <v>22</v>
      </c>
      <c r="J24" s="14">
        <f>IF(VENTAS[[#This Row],[Nombre del Gestor]]&gt;1,VENTAS[[#This Row],[Total]]*10%,0)</f>
        <v>0</v>
      </c>
      <c r="K24" s="14">
        <f>IFERROR(VLOOKUP(VENTAS[[#This Row],[Código del producto Vendido]],STOCK[],16,FALSE)*VENTAS[[#This Row],[Cantidad]]+VLOOKUP(VENTAS[[#This Row],[Código del producto Vendido]],STOCK[],19,FALSE)*VENTAS[[#This Row],[Cantidad]],VENTAS[[#This Row],[Total]])</f>
        <v>18.6866666666667</v>
      </c>
      <c r="L24" s="14">
        <f>VENTAS[[#This Row],[Total]]-VENTAS[[#This Row],[Comisión 10%]]-VENTAS[[#This Row],[Costo SIN Comision]]</f>
        <v>3.31333333333333</v>
      </c>
      <c r="M24" s="14"/>
    </row>
    <row r="25" ht="20" hidden="1" customHeight="1" spans="1:13">
      <c r="A25" s="10">
        <v>45017</v>
      </c>
      <c r="B25" s="11"/>
      <c r="C25" s="11"/>
      <c r="D25" s="11"/>
      <c r="E25" s="11" t="s">
        <v>414</v>
      </c>
      <c r="F25" s="11" t="str">
        <f>IFERROR(VLOOKUP(VENTAS[[#This Row],[Código del producto Vendido]],STOCK[],5,FALSE),"-")</f>
        <v>Bañador bikini tropical con estampado de hoja de talle alto_L</v>
      </c>
      <c r="G25" s="11">
        <v>2</v>
      </c>
      <c r="H25" s="14">
        <v>22</v>
      </c>
      <c r="I25" s="14">
        <f>VENTAS[[#This Row],[Cantidad]]*VENTAS[[#This Row],[Precio Venta]]</f>
        <v>44</v>
      </c>
      <c r="J25" s="14">
        <f>IF(VENTAS[[#This Row],[Nombre del Gestor]]&gt;1,VENTAS[[#This Row],[Total]]*10%,0)</f>
        <v>0</v>
      </c>
      <c r="K25" s="14">
        <f>IFERROR(VLOOKUP(VENTAS[[#This Row],[Código del producto Vendido]],STOCK[],16,FALSE)*VENTAS[[#This Row],[Cantidad]]+VLOOKUP(VENTAS[[#This Row],[Código del producto Vendido]],STOCK[],19,FALSE)*VENTAS[[#This Row],[Cantidad]],VENTAS[[#This Row],[Total]])</f>
        <v>26.7777777777778</v>
      </c>
      <c r="L25" s="14">
        <f>VENTAS[[#This Row],[Total]]-VENTAS[[#This Row],[Comisión 10%]]-VENTAS[[#This Row],[Costo SIN Comision]]</f>
        <v>17.2222222222222</v>
      </c>
      <c r="M25" s="14"/>
    </row>
    <row r="26" ht="20" hidden="1" customHeight="1" spans="1:13">
      <c r="A26" s="10">
        <v>45017</v>
      </c>
      <c r="B26" s="11"/>
      <c r="C26" s="11"/>
      <c r="D26" s="11"/>
      <c r="E26" s="11" t="s">
        <v>416</v>
      </c>
      <c r="F26" s="11" t="str">
        <f>IFERROR(VLOOKUP(VENTAS[[#This Row],[Código del producto Vendido]],STOCK[],5,FALSE),"-")</f>
        <v>Bañador bikini tropical con estampado de hoja de talle alto_M</v>
      </c>
      <c r="G26" s="11">
        <v>2</v>
      </c>
      <c r="H26" s="14">
        <v>22</v>
      </c>
      <c r="I26" s="14">
        <f>VENTAS[[#This Row],[Cantidad]]*VENTAS[[#This Row],[Precio Venta]]</f>
        <v>44</v>
      </c>
      <c r="J26" s="14">
        <f>IF(VENTAS[[#This Row],[Nombre del Gestor]]&gt;1,VENTAS[[#This Row],[Total]]*10%,0)</f>
        <v>0</v>
      </c>
      <c r="K26" s="14">
        <f>IFERROR(VLOOKUP(VENTAS[[#This Row],[Código del producto Vendido]],STOCK[],16,FALSE)*VENTAS[[#This Row],[Cantidad]]+VLOOKUP(VENTAS[[#This Row],[Código del producto Vendido]],STOCK[],19,FALSE)*VENTAS[[#This Row],[Cantidad]],VENTAS[[#This Row],[Total]])</f>
        <v>26.7777777777778</v>
      </c>
      <c r="L26" s="14">
        <f>VENTAS[[#This Row],[Total]]-VENTAS[[#This Row],[Comisión 10%]]-VENTAS[[#This Row],[Costo SIN Comision]]</f>
        <v>17.2222222222222</v>
      </c>
      <c r="M26" s="14"/>
    </row>
    <row r="27" ht="20" hidden="1" customHeight="1" spans="1:13">
      <c r="A27" s="10">
        <v>45017</v>
      </c>
      <c r="B27" s="11"/>
      <c r="C27" s="11"/>
      <c r="D27" s="11"/>
      <c r="E27" s="11" t="s">
        <v>420</v>
      </c>
      <c r="F27" s="11" t="str">
        <f>IFERROR(VLOOKUP(VENTAS[[#This Row],[Código del producto Vendido]],STOCK[],5,FALSE),"-")</f>
        <v>Bañador una pieza tropical_XL</v>
      </c>
      <c r="G27" s="11">
        <v>2</v>
      </c>
      <c r="H27" s="14">
        <v>25</v>
      </c>
      <c r="I27" s="14">
        <f>VENTAS[[#This Row],[Cantidad]]*VENTAS[[#This Row],[Precio Venta]]</f>
        <v>50</v>
      </c>
      <c r="J27" s="14">
        <f>IF(VENTAS[[#This Row],[Nombre del Gestor]]&gt;1,VENTAS[[#This Row],[Total]]*10%,0)</f>
        <v>0</v>
      </c>
      <c r="K27" s="14">
        <f>IFERROR(VLOOKUP(VENTAS[[#This Row],[Código del producto Vendido]],STOCK[],16,FALSE)*VENTAS[[#This Row],[Cantidad]]+VLOOKUP(VENTAS[[#This Row],[Código del producto Vendido]],STOCK[],19,FALSE)*VENTAS[[#This Row],[Cantidad]],VENTAS[[#This Row],[Total]])</f>
        <v>27.6666666666666</v>
      </c>
      <c r="L27" s="14">
        <f>VENTAS[[#This Row],[Total]]-VENTAS[[#This Row],[Comisión 10%]]-VENTAS[[#This Row],[Costo SIN Comision]]</f>
        <v>22.3333333333334</v>
      </c>
      <c r="M27" s="14"/>
    </row>
    <row r="28" ht="20" hidden="1" customHeight="1" spans="1:13">
      <c r="A28" s="10">
        <v>45017</v>
      </c>
      <c r="B28" s="11"/>
      <c r="C28" s="11"/>
      <c r="D28" s="11"/>
      <c r="E28" s="11" t="s">
        <v>422</v>
      </c>
      <c r="F28" s="11" t="str">
        <f>IFERROR(VLOOKUP(VENTAS[[#This Row],[Código del producto Vendido]],STOCK[],5,FALSE),"-")</f>
        <v>Bañador una pieza tropical_M</v>
      </c>
      <c r="G28" s="11">
        <v>3</v>
      </c>
      <c r="H28" s="14">
        <v>25</v>
      </c>
      <c r="I28" s="14">
        <f>VENTAS[[#This Row],[Cantidad]]*VENTAS[[#This Row],[Precio Venta]]</f>
        <v>75</v>
      </c>
      <c r="J28" s="14">
        <f>IF(VENTAS[[#This Row],[Nombre del Gestor]]&gt;1,VENTAS[[#This Row],[Total]]*10%,0)</f>
        <v>0</v>
      </c>
      <c r="K28" s="14">
        <f>IFERROR(VLOOKUP(VENTAS[[#This Row],[Código del producto Vendido]],STOCK[],16,FALSE)*VENTAS[[#This Row],[Cantidad]]+VLOOKUP(VENTAS[[#This Row],[Código del producto Vendido]],STOCK[],19,FALSE)*VENTAS[[#This Row],[Cantidad]],VENTAS[[#This Row],[Total]])</f>
        <v>41.4999999999999</v>
      </c>
      <c r="L28" s="14">
        <f>VENTAS[[#This Row],[Total]]-VENTAS[[#This Row],[Comisión 10%]]-VENTAS[[#This Row],[Costo SIN Comision]]</f>
        <v>33.5000000000001</v>
      </c>
      <c r="M28" s="14"/>
    </row>
    <row r="29" ht="20" hidden="1" customHeight="1" spans="1:13">
      <c r="A29" s="10">
        <v>45017</v>
      </c>
      <c r="B29" s="11"/>
      <c r="C29" s="11"/>
      <c r="D29" s="11"/>
      <c r="E29" s="11" t="s">
        <v>424</v>
      </c>
      <c r="F29" s="11" t="str">
        <f>IFERROR(VLOOKUP(VENTAS[[#This Row],[Código del producto Vendido]],STOCK[],5,FALSE),"-")</f>
        <v>Bañador una pieza tropical_L</v>
      </c>
      <c r="G29" s="11">
        <v>3</v>
      </c>
      <c r="H29" s="14">
        <v>25</v>
      </c>
      <c r="I29" s="14">
        <f>VENTAS[[#This Row],[Cantidad]]*VENTAS[[#This Row],[Precio Venta]]</f>
        <v>75</v>
      </c>
      <c r="J29" s="14">
        <f>IF(VENTAS[[#This Row],[Nombre del Gestor]]&gt;1,VENTAS[[#This Row],[Total]]*10%,0)</f>
        <v>0</v>
      </c>
      <c r="K29" s="14">
        <f>IFERROR(VLOOKUP(VENTAS[[#This Row],[Código del producto Vendido]],STOCK[],16,FALSE)*VENTAS[[#This Row],[Cantidad]]+VLOOKUP(VENTAS[[#This Row],[Código del producto Vendido]],STOCK[],19,FALSE)*VENTAS[[#This Row],[Cantidad]],VENTAS[[#This Row],[Total]])</f>
        <v>41.4999999999999</v>
      </c>
      <c r="L29" s="14">
        <f>VENTAS[[#This Row],[Total]]-VENTAS[[#This Row],[Comisión 10%]]-VENTAS[[#This Row],[Costo SIN Comision]]</f>
        <v>33.5000000000001</v>
      </c>
      <c r="M29" s="14"/>
    </row>
    <row r="30" ht="20" hidden="1" customHeight="1" spans="1:13">
      <c r="A30" s="10">
        <v>45017</v>
      </c>
      <c r="B30" s="11"/>
      <c r="C30" s="11"/>
      <c r="D30" s="11"/>
      <c r="E30" s="11" t="s">
        <v>449</v>
      </c>
      <c r="F30" s="11" t="str">
        <f>IFERROR(VLOOKUP(VENTAS[[#This Row],[Código del producto Vendido]],STOCK[],5,FALSE),"-")</f>
        <v>Bañador estampado de planta</v>
      </c>
      <c r="G30" s="11">
        <v>2</v>
      </c>
      <c r="H30" s="14">
        <v>25</v>
      </c>
      <c r="I30" s="14">
        <f>VENTAS[[#This Row],[Cantidad]]*VENTAS[[#This Row],[Precio Venta]]</f>
        <v>50</v>
      </c>
      <c r="J30" s="14">
        <f>IF(VENTAS[[#This Row],[Nombre del Gestor]]&gt;1,VENTAS[[#This Row],[Total]]*10%,0)</f>
        <v>0</v>
      </c>
      <c r="K30" s="14">
        <f>IFERROR(VLOOKUP(VENTAS[[#This Row],[Código del producto Vendido]],STOCK[],16,FALSE)*VENTAS[[#This Row],[Cantidad]]+VLOOKUP(VENTAS[[#This Row],[Código del producto Vendido]],STOCK[],19,FALSE)*VENTAS[[#This Row],[Cantidad]],VENTAS[[#This Row],[Total]])</f>
        <v>26.8333333333334</v>
      </c>
      <c r="L30" s="14">
        <f>VENTAS[[#This Row],[Total]]-VENTAS[[#This Row],[Comisión 10%]]-VENTAS[[#This Row],[Costo SIN Comision]]</f>
        <v>23.1666666666666</v>
      </c>
      <c r="M30" s="14"/>
    </row>
    <row r="31" ht="20" hidden="1" customHeight="1" spans="1:13">
      <c r="A31" s="10">
        <v>45017</v>
      </c>
      <c r="B31" s="11"/>
      <c r="C31" s="11"/>
      <c r="D31" s="11"/>
      <c r="E31" s="11" t="s">
        <v>454</v>
      </c>
      <c r="F31" s="11" t="str">
        <f>IFERROR(VLOOKUP(VENTAS[[#This Row],[Código del producto Vendido]],STOCK[],5,FALSE),"-")</f>
        <v>Bañador bikini de manga raglán con cordón floral</v>
      </c>
      <c r="G31" s="11">
        <v>1</v>
      </c>
      <c r="H31" s="14">
        <v>25</v>
      </c>
      <c r="I31" s="14">
        <f>VENTAS[[#This Row],[Cantidad]]*VENTAS[[#This Row],[Precio Venta]]</f>
        <v>25</v>
      </c>
      <c r="J31" s="14">
        <f>IF(VENTAS[[#This Row],[Nombre del Gestor]]&gt;1,VENTAS[[#This Row],[Total]]*10%,0)</f>
        <v>0</v>
      </c>
      <c r="K31" s="14">
        <f>IFERROR(VLOOKUP(VENTAS[[#This Row],[Código del producto Vendido]],STOCK[],16,FALSE)*VENTAS[[#This Row],[Cantidad]]+VLOOKUP(VENTAS[[#This Row],[Código del producto Vendido]],STOCK[],19,FALSE)*VENTAS[[#This Row],[Cantidad]],VENTAS[[#This Row],[Total]])</f>
        <v>19.7944444444444</v>
      </c>
      <c r="L31" s="14">
        <f>VENTAS[[#This Row],[Total]]-VENTAS[[#This Row],[Comisión 10%]]-VENTAS[[#This Row],[Costo SIN Comision]]</f>
        <v>5.2055555555556</v>
      </c>
      <c r="M31" s="14"/>
    </row>
    <row r="32" ht="20" hidden="1" customHeight="1" spans="1:13">
      <c r="A32" s="10">
        <v>45017</v>
      </c>
      <c r="B32" s="11"/>
      <c r="C32" s="11"/>
      <c r="D32" s="11"/>
      <c r="E32" s="11" t="s">
        <v>451</v>
      </c>
      <c r="F32" s="11" t="str">
        <f>IFERROR(VLOOKUP(VENTAS[[#This Row],[Código del producto Vendido]],STOCK[],5,FALSE),"-")</f>
        <v>Bañador estampado de planta</v>
      </c>
      <c r="G32" s="11">
        <v>2</v>
      </c>
      <c r="H32" s="14">
        <v>25</v>
      </c>
      <c r="I32" s="14">
        <f>VENTAS[[#This Row],[Cantidad]]*VENTAS[[#This Row],[Precio Venta]]</f>
        <v>50</v>
      </c>
      <c r="J32" s="14">
        <f>IF(VENTAS[[#This Row],[Nombre del Gestor]]&gt;1,VENTAS[[#This Row],[Total]]*10%,0)</f>
        <v>0</v>
      </c>
      <c r="K32" s="14">
        <f>IFERROR(VLOOKUP(VENTAS[[#This Row],[Código del producto Vendido]],STOCK[],16,FALSE)*VENTAS[[#This Row],[Cantidad]]+VLOOKUP(VENTAS[[#This Row],[Código del producto Vendido]],STOCK[],19,FALSE)*VENTAS[[#This Row],[Cantidad]],VENTAS[[#This Row],[Total]])</f>
        <v>26.8333333333334</v>
      </c>
      <c r="L32" s="14">
        <f>VENTAS[[#This Row],[Total]]-VENTAS[[#This Row],[Comisión 10%]]-VENTAS[[#This Row],[Costo SIN Comision]]</f>
        <v>23.1666666666666</v>
      </c>
      <c r="M32" s="14"/>
    </row>
    <row r="33" ht="20" hidden="1" customHeight="1" spans="1:13">
      <c r="A33" s="10">
        <v>45017</v>
      </c>
      <c r="B33" s="11"/>
      <c r="C33" s="11"/>
      <c r="D33" s="11"/>
      <c r="E33" s="11" t="s">
        <v>418</v>
      </c>
      <c r="F33" s="11" t="str">
        <f>IFERROR(VLOOKUP(VENTAS[[#This Row],[Código del producto Vendido]],STOCK[],5,FALSE),"-")</f>
        <v>Bikini tropical con estampado de hoja</v>
      </c>
      <c r="G33" s="11">
        <v>1</v>
      </c>
      <c r="H33" s="14">
        <v>25</v>
      </c>
      <c r="I33" s="14">
        <f>VENTAS[[#This Row],[Cantidad]]*VENTAS[[#This Row],[Precio Venta]]</f>
        <v>25</v>
      </c>
      <c r="J33" s="14">
        <f>IF(VENTAS[[#This Row],[Nombre del Gestor]]&gt;1,VENTAS[[#This Row],[Total]]*10%,0)</f>
        <v>0</v>
      </c>
      <c r="K33" s="14">
        <f>IFERROR(VLOOKUP(VENTAS[[#This Row],[Código del producto Vendido]],STOCK[],16,FALSE)*VENTAS[[#This Row],[Cantidad]]+VLOOKUP(VENTAS[[#This Row],[Código del producto Vendido]],STOCK[],19,FALSE)*VENTAS[[#This Row],[Cantidad]],VENTAS[[#This Row],[Total]])</f>
        <v>13.3888888888889</v>
      </c>
      <c r="L33" s="14">
        <f>VENTAS[[#This Row],[Total]]-VENTAS[[#This Row],[Comisión 10%]]-VENTAS[[#This Row],[Costo SIN Comision]]</f>
        <v>11.6111111111111</v>
      </c>
      <c r="M33" s="14"/>
    </row>
    <row r="34" ht="20" hidden="1" customHeight="1" spans="1:13">
      <c r="A34" s="10">
        <v>45017</v>
      </c>
      <c r="B34" s="11"/>
      <c r="C34" s="11"/>
      <c r="D34" s="11"/>
      <c r="E34" s="11" t="s">
        <v>413</v>
      </c>
      <c r="F34" s="11" t="str">
        <f>IFERROR(VLOOKUP(VENTAS[[#This Row],[Código del producto Vendido]],STOCK[],5,FALSE),"-")</f>
        <v>Bikini Floral</v>
      </c>
      <c r="G34" s="11">
        <v>1</v>
      </c>
      <c r="H34" s="14">
        <v>25</v>
      </c>
      <c r="I34" s="14">
        <f>VENTAS[[#This Row],[Cantidad]]*VENTAS[[#This Row],[Precio Venta]]</f>
        <v>25</v>
      </c>
      <c r="J34" s="14">
        <f>IF(VENTAS[[#This Row],[Nombre del Gestor]]&gt;1,VENTAS[[#This Row],[Total]]*10%,0)</f>
        <v>0</v>
      </c>
      <c r="K34" s="14">
        <f>IFERROR(VLOOKUP(VENTAS[[#This Row],[Código del producto Vendido]],STOCK[],16,FALSE)*VENTAS[[#This Row],[Cantidad]]+VLOOKUP(VENTAS[[#This Row],[Código del producto Vendido]],STOCK[],19,FALSE)*VENTAS[[#This Row],[Cantidad]],VENTAS[[#This Row],[Total]])</f>
        <v>13.9444444444444</v>
      </c>
      <c r="L34" s="14">
        <f>VENTAS[[#This Row],[Total]]-VENTAS[[#This Row],[Comisión 10%]]-VENTAS[[#This Row],[Costo SIN Comision]]</f>
        <v>11.0555555555556</v>
      </c>
      <c r="M34" s="14"/>
    </row>
    <row r="35" ht="20" hidden="1" customHeight="1" spans="1:13">
      <c r="A35" s="10">
        <v>45017</v>
      </c>
      <c r="B35" s="11"/>
      <c r="C35" s="11"/>
      <c r="D35" s="11"/>
      <c r="E35" s="11" t="s">
        <v>459</v>
      </c>
      <c r="F35" s="11" t="str">
        <f>IFERROR(VLOOKUP(VENTAS[[#This Row],[Código del producto Vendido]],STOCK[],5,FALSE),"-")</f>
        <v>Bañador bikini con estampado tropical_M</v>
      </c>
      <c r="G35" s="11">
        <v>1</v>
      </c>
      <c r="H35" s="14">
        <v>22</v>
      </c>
      <c r="I35" s="14">
        <f>VENTAS[[#This Row],[Cantidad]]*VENTAS[[#This Row],[Precio Venta]]</f>
        <v>22</v>
      </c>
      <c r="J35" s="14">
        <f>IF(VENTAS[[#This Row],[Nombre del Gestor]]&gt;1,VENTAS[[#This Row],[Total]]*10%,0)</f>
        <v>0</v>
      </c>
      <c r="K35" s="14">
        <f>IFERROR(VLOOKUP(VENTAS[[#This Row],[Código del producto Vendido]],STOCK[],16,FALSE)*VENTAS[[#This Row],[Cantidad]]+VLOOKUP(VENTAS[[#This Row],[Código del producto Vendido]],STOCK[],19,FALSE)*VENTAS[[#This Row],[Cantidad]],VENTAS[[#This Row],[Total]])</f>
        <v>11.2022222222222</v>
      </c>
      <c r="L35" s="14">
        <f>VENTAS[[#This Row],[Total]]-VENTAS[[#This Row],[Comisión 10%]]-VENTAS[[#This Row],[Costo SIN Comision]]</f>
        <v>10.7977777777778</v>
      </c>
      <c r="M35" s="14"/>
    </row>
    <row r="36" ht="20" hidden="1" customHeight="1" spans="1:13">
      <c r="A36" s="10">
        <v>45017</v>
      </c>
      <c r="B36" s="11"/>
      <c r="C36" s="11"/>
      <c r="D36" s="11"/>
      <c r="E36" s="11" t="s">
        <v>461</v>
      </c>
      <c r="F36" s="11" t="str">
        <f>IFERROR(VLOOKUP(VENTAS[[#This Row],[Código del producto Vendido]],STOCK[],5,FALSE),"-")</f>
        <v>Bañador bikini con estampado tropical con nudo de talle alto_M</v>
      </c>
      <c r="G36" s="11">
        <v>1</v>
      </c>
      <c r="H36" s="14">
        <v>22</v>
      </c>
      <c r="I36" s="14">
        <f>VENTAS[[#This Row],[Cantidad]]*VENTAS[[#This Row],[Precio Venta]]</f>
        <v>22</v>
      </c>
      <c r="J36" s="14">
        <f>IF(VENTAS[[#This Row],[Nombre del Gestor]]&gt;1,VENTAS[[#This Row],[Total]]*10%,0)</f>
        <v>0</v>
      </c>
      <c r="K36" s="14">
        <f>IFERROR(VLOOKUP(VENTAS[[#This Row],[Código del producto Vendido]],STOCK[],16,FALSE)*VENTAS[[#This Row],[Cantidad]]+VLOOKUP(VENTAS[[#This Row],[Código del producto Vendido]],STOCK[],19,FALSE)*VENTAS[[#This Row],[Cantidad]],VENTAS[[#This Row],[Total]])</f>
        <v>11.4027777777778</v>
      </c>
      <c r="L36" s="14">
        <f>VENTAS[[#This Row],[Total]]-VENTAS[[#This Row],[Comisión 10%]]-VENTAS[[#This Row],[Costo SIN Comision]]</f>
        <v>10.5972222222222</v>
      </c>
      <c r="M36" s="14"/>
    </row>
    <row r="37" ht="20" hidden="1" customHeight="1" spans="1:13">
      <c r="A37" s="10">
        <v>45017</v>
      </c>
      <c r="B37" s="11"/>
      <c r="C37" s="11"/>
      <c r="D37" s="11"/>
      <c r="E37" s="11" t="s">
        <v>473</v>
      </c>
      <c r="F37" s="11" t="str">
        <f>IFERROR(VLOOKUP(VENTAS[[#This Row],[Código del producto Vendido]],STOCK[],5,FALSE),"-")</f>
        <v>SHEIN Vestido de hombros descubiertos con botón falso de cintura fruncido de manga farol_S</v>
      </c>
      <c r="G37" s="11">
        <v>1</v>
      </c>
      <c r="H37" s="14">
        <v>25</v>
      </c>
      <c r="I37" s="14">
        <f>VENTAS[[#This Row],[Cantidad]]*VENTAS[[#This Row],[Precio Venta]]</f>
        <v>25</v>
      </c>
      <c r="J37" s="14">
        <f>IF(VENTAS[[#This Row],[Nombre del Gestor]]&gt;1,VENTAS[[#This Row],[Total]]*10%,0)</f>
        <v>0</v>
      </c>
      <c r="K37" s="14">
        <f>IFERROR(VLOOKUP(VENTAS[[#This Row],[Código del producto Vendido]],STOCK[],16,FALSE)*VENTAS[[#This Row],[Cantidad]]+VLOOKUP(VENTAS[[#This Row],[Código del producto Vendido]],STOCK[],19,FALSE)*VENTAS[[#This Row],[Cantidad]],VENTAS[[#This Row],[Total]])</f>
        <v>17.2605555555556</v>
      </c>
      <c r="L37" s="14">
        <f>VENTAS[[#This Row],[Total]]-VENTAS[[#This Row],[Comisión 10%]]-VENTAS[[#This Row],[Costo SIN Comision]]</f>
        <v>7.7394444444444</v>
      </c>
      <c r="M37" s="14"/>
    </row>
    <row r="38" ht="20" hidden="1" customHeight="1" spans="1:13">
      <c r="A38" s="10">
        <v>45017</v>
      </c>
      <c r="B38" s="11"/>
      <c r="C38" s="11"/>
      <c r="D38" s="11"/>
      <c r="E38" s="11" t="s">
        <v>475</v>
      </c>
      <c r="F38" s="11" t="str">
        <f>IFERROR(VLOOKUP(VENTAS[[#This Row],[Código del producto Vendido]],STOCK[],5,FALSE),"-")</f>
        <v>Bañador bikini push up de cuadros girante_M</v>
      </c>
      <c r="G38" s="11">
        <v>1</v>
      </c>
      <c r="H38" s="14">
        <v>22</v>
      </c>
      <c r="I38" s="14">
        <f>VENTAS[[#This Row],[Cantidad]]*VENTAS[[#This Row],[Precio Venta]]</f>
        <v>22</v>
      </c>
      <c r="J38" s="14">
        <f>IF(VENTAS[[#This Row],[Nombre del Gestor]]&gt;1,VENTAS[[#This Row],[Total]]*10%,0)</f>
        <v>0</v>
      </c>
      <c r="K38" s="14">
        <f>IFERROR(VLOOKUP(VENTAS[[#This Row],[Código del producto Vendido]],STOCK[],16,FALSE)*VENTAS[[#This Row],[Cantidad]]+VLOOKUP(VENTAS[[#This Row],[Código del producto Vendido]],STOCK[],19,FALSE)*VENTAS[[#This Row],[Cantidad]],VENTAS[[#This Row],[Total]])</f>
        <v>11.0011111111111</v>
      </c>
      <c r="L38" s="14">
        <f>VENTAS[[#This Row],[Total]]-VENTAS[[#This Row],[Comisión 10%]]-VENTAS[[#This Row],[Costo SIN Comision]]</f>
        <v>10.9988888888889</v>
      </c>
      <c r="M38" s="14"/>
    </row>
    <row r="39" ht="20" hidden="1" customHeight="1" spans="1:13">
      <c r="A39" s="10">
        <v>45017</v>
      </c>
      <c r="B39" s="11"/>
      <c r="C39" s="11"/>
      <c r="D39" s="11"/>
      <c r="E39" s="11" t="s">
        <v>487</v>
      </c>
      <c r="F39" s="11" t="str">
        <f>IFERROR(VLOOKUP(VENTAS[[#This Row],[Código del producto Vendido]],STOCK[],5,FALSE),"-")</f>
        <v>Bolsa bandolera</v>
      </c>
      <c r="G39" s="11">
        <v>1</v>
      </c>
      <c r="H39" s="14">
        <v>15</v>
      </c>
      <c r="I39" s="14">
        <f>VENTAS[[#This Row],[Cantidad]]*VENTAS[[#This Row],[Precio Venta]]</f>
        <v>15</v>
      </c>
      <c r="J39" s="14">
        <f>IF(VENTAS[[#This Row],[Nombre del Gestor]]&gt;1,VENTAS[[#This Row],[Total]]*10%,0)</f>
        <v>0</v>
      </c>
      <c r="K39" s="14">
        <f>IFERROR(VLOOKUP(VENTAS[[#This Row],[Código del producto Vendido]],STOCK[],16,FALSE)*VENTAS[[#This Row],[Cantidad]]+VLOOKUP(VENTAS[[#This Row],[Código del producto Vendido]],STOCK[],19,FALSE)*VENTAS[[#This Row],[Cantidad]],VENTAS[[#This Row],[Total]])</f>
        <v>8.94444444444444</v>
      </c>
      <c r="L39" s="14">
        <f>VENTAS[[#This Row],[Total]]-VENTAS[[#This Row],[Comisión 10%]]-VENTAS[[#This Row],[Costo SIN Comision]]</f>
        <v>6.05555555555556</v>
      </c>
      <c r="M39" s="14"/>
    </row>
    <row r="40" ht="20" hidden="1" customHeight="1" spans="1:13">
      <c r="A40" s="10">
        <v>45017</v>
      </c>
      <c r="B40" s="11"/>
      <c r="C40" s="11"/>
      <c r="D40" s="11"/>
      <c r="E40" s="11" t="s">
        <v>491</v>
      </c>
      <c r="F40" s="11" t="str">
        <f>IFERROR(VLOOKUP(VENTAS[[#This Row],[Código del producto Vendido]],STOCK[],5,FALSE),"-")</f>
        <v>Bolso cartera con solapa transparente</v>
      </c>
      <c r="G40" s="11">
        <v>1</v>
      </c>
      <c r="H40" s="14">
        <v>10</v>
      </c>
      <c r="I40" s="14">
        <f>VENTAS[[#This Row],[Cantidad]]*VENTAS[[#This Row],[Precio Venta]]</f>
        <v>10</v>
      </c>
      <c r="J40" s="14">
        <f>IF(VENTAS[[#This Row],[Nombre del Gestor]]&gt;1,VENTAS[[#This Row],[Total]]*10%,0)</f>
        <v>0</v>
      </c>
      <c r="K40" s="14">
        <f>IFERROR(VLOOKUP(VENTAS[[#This Row],[Código del producto Vendido]],STOCK[],16,FALSE)*VENTAS[[#This Row],[Cantidad]]+VLOOKUP(VENTAS[[#This Row],[Código del producto Vendido]],STOCK[],19,FALSE)*VENTAS[[#This Row],[Cantidad]],VENTAS[[#This Row],[Total]])</f>
        <v>5.13055555555556</v>
      </c>
      <c r="L40" s="14">
        <f>VENTAS[[#This Row],[Total]]-VENTAS[[#This Row],[Comisión 10%]]-VENTAS[[#This Row],[Costo SIN Comision]]</f>
        <v>4.86944444444444</v>
      </c>
      <c r="M40" s="14"/>
    </row>
    <row r="41" ht="20" hidden="1" customHeight="1" spans="1:13">
      <c r="A41" s="10">
        <v>45017</v>
      </c>
      <c r="B41" s="11"/>
      <c r="C41" s="11"/>
      <c r="D41" s="11"/>
      <c r="E41" s="11" t="s">
        <v>491</v>
      </c>
      <c r="F41" s="11" t="str">
        <f>IFERROR(VLOOKUP(VENTAS[[#This Row],[Código del producto Vendido]],STOCK[],5,FALSE),"-")</f>
        <v>Bolso cartera con solapa transparente</v>
      </c>
      <c r="G41" s="11">
        <v>1</v>
      </c>
      <c r="H41" s="14">
        <v>10</v>
      </c>
      <c r="I41" s="14">
        <f>VENTAS[[#This Row],[Cantidad]]*VENTAS[[#This Row],[Precio Venta]]</f>
        <v>10</v>
      </c>
      <c r="J41" s="14">
        <f>IF(VENTAS[[#This Row],[Nombre del Gestor]]&gt;1,VENTAS[[#This Row],[Total]]*10%,0)</f>
        <v>0</v>
      </c>
      <c r="K41" s="14">
        <f>IFERROR(VLOOKUP(VENTAS[[#This Row],[Código del producto Vendido]],STOCK[],16,FALSE)*VENTAS[[#This Row],[Cantidad]]+VLOOKUP(VENTAS[[#This Row],[Código del producto Vendido]],STOCK[],19,FALSE)*VENTAS[[#This Row],[Cantidad]],VENTAS[[#This Row],[Total]])</f>
        <v>5.13055555555556</v>
      </c>
      <c r="L41" s="14">
        <f>VENTAS[[#This Row],[Total]]-VENTAS[[#This Row],[Comisión 10%]]-VENTAS[[#This Row],[Costo SIN Comision]]</f>
        <v>4.86944444444444</v>
      </c>
      <c r="M41" s="14"/>
    </row>
    <row r="42" ht="20" hidden="1" customHeight="1" spans="1:13">
      <c r="A42" s="10">
        <v>45017</v>
      </c>
      <c r="B42" s="11"/>
      <c r="C42" s="11"/>
      <c r="D42" s="11"/>
      <c r="E42" s="11" t="s">
        <v>495</v>
      </c>
      <c r="F42" s="11" t="str">
        <f>IFERROR(VLOOKUP(VENTAS[[#This Row],[Código del producto Vendido]],STOCK[],5,FALSE),"-")</f>
        <v>Bañador bikini con nudo delantero bajo fruncido tropical_S</v>
      </c>
      <c r="G42" s="11">
        <v>1</v>
      </c>
      <c r="H42" s="14">
        <v>22</v>
      </c>
      <c r="I42" s="14">
        <f>VENTAS[[#This Row],[Cantidad]]*VENTAS[[#This Row],[Precio Venta]]</f>
        <v>22</v>
      </c>
      <c r="J42" s="14">
        <f>IF(VENTAS[[#This Row],[Nombre del Gestor]]&gt;1,VENTAS[[#This Row],[Total]]*10%,0)</f>
        <v>0</v>
      </c>
      <c r="K42" s="14">
        <f>IFERROR(VLOOKUP(VENTAS[[#This Row],[Código del producto Vendido]],STOCK[],16,FALSE)*VENTAS[[#This Row],[Cantidad]]+VLOOKUP(VENTAS[[#This Row],[Código del producto Vendido]],STOCK[],19,FALSE)*VENTAS[[#This Row],[Cantidad]],VENTAS[[#This Row],[Total]])</f>
        <v>12.4805555555556</v>
      </c>
      <c r="L42" s="14">
        <f>VENTAS[[#This Row],[Total]]-VENTAS[[#This Row],[Comisión 10%]]-VENTAS[[#This Row],[Costo SIN Comision]]</f>
        <v>9.5194444444444</v>
      </c>
      <c r="M42" s="14"/>
    </row>
    <row r="43" ht="20" hidden="1" customHeight="1" spans="1:13">
      <c r="A43" s="10">
        <v>45017</v>
      </c>
      <c r="B43" s="11"/>
      <c r="C43" s="11"/>
      <c r="D43" s="11"/>
      <c r="E43" s="11" t="s">
        <v>501</v>
      </c>
      <c r="F43" s="11" t="str">
        <f>IFERROR(VLOOKUP(VENTAS[[#This Row],[Código del producto Vendido]],STOCK[],5,FALSE),"-")</f>
        <v>3 piezas Bañador bikini push up con estampado tropical con falda de playa</v>
      </c>
      <c r="G43" s="11">
        <v>2</v>
      </c>
      <c r="H43" s="14">
        <v>25</v>
      </c>
      <c r="I43" s="14">
        <f>VENTAS[[#This Row],[Cantidad]]*VENTAS[[#This Row],[Precio Venta]]</f>
        <v>50</v>
      </c>
      <c r="J43" s="14">
        <f>IF(VENTAS[[#This Row],[Nombre del Gestor]]&gt;1,VENTAS[[#This Row],[Total]]*10%,0)</f>
        <v>0</v>
      </c>
      <c r="K43" s="14">
        <f>IFERROR(VLOOKUP(VENTAS[[#This Row],[Código del producto Vendido]],STOCK[],16,FALSE)*VENTAS[[#This Row],[Cantidad]]+VLOOKUP(VENTAS[[#This Row],[Código del producto Vendido]],STOCK[],19,FALSE)*VENTAS[[#This Row],[Cantidad]],VENTAS[[#This Row],[Total]])</f>
        <v>33.1111111111112</v>
      </c>
      <c r="L43" s="14">
        <f>VENTAS[[#This Row],[Total]]-VENTAS[[#This Row],[Comisión 10%]]-VENTAS[[#This Row],[Costo SIN Comision]]</f>
        <v>16.8888888888888</v>
      </c>
      <c r="M43" s="14"/>
    </row>
    <row r="44" ht="20" hidden="1" customHeight="1" spans="1:13">
      <c r="A44" s="10">
        <v>45017</v>
      </c>
      <c r="B44" s="11"/>
      <c r="C44" s="11"/>
      <c r="D44" s="11"/>
      <c r="E44" s="11" t="s">
        <v>503</v>
      </c>
      <c r="F44" s="11" t="str">
        <f>IFERROR(VLOOKUP(VENTAS[[#This Row],[Código del producto Vendido]],STOCK[],5,FALSE),"-")</f>
        <v>Bikini push up tropical </v>
      </c>
      <c r="G44" s="11">
        <v>1</v>
      </c>
      <c r="H44" s="14">
        <v>25</v>
      </c>
      <c r="I44" s="14">
        <f>VENTAS[[#This Row],[Cantidad]]*VENTAS[[#This Row],[Precio Venta]]</f>
        <v>25</v>
      </c>
      <c r="J44" s="14">
        <f>IF(VENTAS[[#This Row],[Nombre del Gestor]]&gt;1,VENTAS[[#This Row],[Total]]*10%,0)</f>
        <v>0</v>
      </c>
      <c r="K44" s="14">
        <f>IFERROR(VLOOKUP(VENTAS[[#This Row],[Código del producto Vendido]],STOCK[],16,FALSE)*VENTAS[[#This Row],[Cantidad]]+VLOOKUP(VENTAS[[#This Row],[Código del producto Vendido]],STOCK[],19,FALSE)*VENTAS[[#This Row],[Cantidad]],VENTAS[[#This Row],[Total]])</f>
        <v>16.5555555555556</v>
      </c>
      <c r="L44" s="14">
        <f>VENTAS[[#This Row],[Total]]-VENTAS[[#This Row],[Comisión 10%]]-VENTAS[[#This Row],[Costo SIN Comision]]</f>
        <v>8.4444444444444</v>
      </c>
      <c r="M44" s="14"/>
    </row>
    <row r="45" ht="20" hidden="1" customHeight="1" spans="1:13">
      <c r="A45" s="10">
        <v>45017</v>
      </c>
      <c r="B45" s="11"/>
      <c r="C45" s="11"/>
      <c r="D45" s="11"/>
      <c r="E45" s="11" t="s">
        <v>508</v>
      </c>
      <c r="F45" s="11" t="str">
        <f>IFERROR(VLOOKUP(VENTAS[[#This Row],[Código del producto Vendido]],STOCK[],5,FALSE),"-")</f>
        <v>3 piezas Bañador bikini triángulo halter con estampado geométrico con pantalones cover up</v>
      </c>
      <c r="G45" s="11">
        <v>2</v>
      </c>
      <c r="H45" s="14">
        <v>25</v>
      </c>
      <c r="I45" s="14">
        <f>VENTAS[[#This Row],[Cantidad]]*VENTAS[[#This Row],[Precio Venta]]</f>
        <v>50</v>
      </c>
      <c r="J45" s="14">
        <f>IF(VENTAS[[#This Row],[Nombre del Gestor]]&gt;1,VENTAS[[#This Row],[Total]]*10%,0)</f>
        <v>0</v>
      </c>
      <c r="K45" s="14">
        <f>IFERROR(VLOOKUP(VENTAS[[#This Row],[Código del producto Vendido]],STOCK[],16,FALSE)*VENTAS[[#This Row],[Cantidad]]+VLOOKUP(VENTAS[[#This Row],[Código del producto Vendido]],STOCK[],19,FALSE)*VENTAS[[#This Row],[Cantidad]],VENTAS[[#This Row],[Total]])</f>
        <v>32.0888888888888</v>
      </c>
      <c r="L45" s="14">
        <f>VENTAS[[#This Row],[Total]]-VENTAS[[#This Row],[Comisión 10%]]-VENTAS[[#This Row],[Costo SIN Comision]]</f>
        <v>17.9111111111112</v>
      </c>
      <c r="M45" s="14"/>
    </row>
    <row r="46" ht="20" hidden="1" customHeight="1" spans="1:13">
      <c r="A46" s="10">
        <v>45017</v>
      </c>
      <c r="B46" s="11"/>
      <c r="C46" s="11"/>
      <c r="D46" s="11"/>
      <c r="E46" s="11" t="s">
        <v>536</v>
      </c>
      <c r="F46" s="11" t="str">
        <f>IFERROR(VLOOKUP(VENTAS[[#This Row],[Código del producto Vendido]],STOCK[],5,FALSE),"-")</f>
        <v>Gafas minimalista de moda </v>
      </c>
      <c r="G46" s="11">
        <v>1</v>
      </c>
      <c r="H46" s="14">
        <v>10</v>
      </c>
      <c r="I46" s="14">
        <f>VENTAS[[#This Row],[Cantidad]]*VENTAS[[#This Row],[Precio Venta]]</f>
        <v>10</v>
      </c>
      <c r="J46" s="14">
        <f>IF(VENTAS[[#This Row],[Nombre del Gestor]]&gt;1,VENTAS[[#This Row],[Total]]*10%,0)</f>
        <v>0</v>
      </c>
      <c r="K46" s="14">
        <f>IFERROR(VLOOKUP(VENTAS[[#This Row],[Código del producto Vendido]],STOCK[],16,FALSE)*VENTAS[[#This Row],[Cantidad]]+VLOOKUP(VENTAS[[#This Row],[Código del producto Vendido]],STOCK[],19,FALSE)*VENTAS[[#This Row],[Cantidad]],VENTAS[[#This Row],[Total]])</f>
        <v>5.83055555555556</v>
      </c>
      <c r="L46" s="14">
        <f>VENTAS[[#This Row],[Total]]-VENTAS[[#This Row],[Comisión 10%]]-VENTAS[[#This Row],[Costo SIN Comision]]</f>
        <v>4.16944444444444</v>
      </c>
      <c r="M46" s="14"/>
    </row>
    <row r="47" ht="20" hidden="1" customHeight="1" spans="1:13">
      <c r="A47" s="10">
        <v>45017</v>
      </c>
      <c r="B47" s="11"/>
      <c r="C47" s="11"/>
      <c r="D47" s="11"/>
      <c r="E47" s="11" t="s">
        <v>538</v>
      </c>
      <c r="F47" s="11" t="str">
        <f>IFERROR(VLOOKUP(VENTAS[[#This Row],[Código del producto Vendido]],STOCK[],5,FALSE),"-")</f>
        <v>Sandalias de tiras con diseño de diamante de imitación con tacón grueso Plateado_MX24</v>
      </c>
      <c r="G47" s="11">
        <v>1</v>
      </c>
      <c r="H47" s="14">
        <v>40</v>
      </c>
      <c r="I47" s="14">
        <f>VENTAS[[#This Row],[Cantidad]]*VENTAS[[#This Row],[Precio Venta]]</f>
        <v>40</v>
      </c>
      <c r="J47" s="14">
        <f>IF(VENTAS[[#This Row],[Nombre del Gestor]]&gt;1,VENTAS[[#This Row],[Total]]*10%,0)</f>
        <v>0</v>
      </c>
      <c r="K47" s="14">
        <f>IFERROR(VLOOKUP(VENTAS[[#This Row],[Código del producto Vendido]],STOCK[],16,FALSE)*VENTAS[[#This Row],[Cantidad]]+VLOOKUP(VENTAS[[#This Row],[Código del producto Vendido]],STOCK[],19,FALSE)*VENTAS[[#This Row],[Cantidad]],VENTAS[[#This Row],[Total]])</f>
        <v>27.9222222222222</v>
      </c>
      <c r="L47" s="14">
        <f>VENTAS[[#This Row],[Total]]-VENTAS[[#This Row],[Comisión 10%]]-VENTAS[[#This Row],[Costo SIN Comision]]</f>
        <v>12.0777777777778</v>
      </c>
      <c r="M47" s="14"/>
    </row>
    <row r="48" ht="20" hidden="1" customHeight="1" spans="1:13">
      <c r="A48" s="10">
        <v>45017</v>
      </c>
      <c r="B48" s="11"/>
      <c r="C48" s="11"/>
      <c r="D48" s="11"/>
      <c r="E48" s="11" t="s">
        <v>541</v>
      </c>
      <c r="F48" s="11" t="str">
        <f>IFERROR(VLOOKUP(VENTAS[[#This Row],[Código del producto Vendido]],STOCK[],5,FALSE),"-")</f>
        <v>SHEIN Felegant Shorts PU de cintura con volante con cordón Negro_5</v>
      </c>
      <c r="G48" s="11">
        <v>1</v>
      </c>
      <c r="H48" s="14">
        <v>19</v>
      </c>
      <c r="I48" s="14">
        <f>VENTAS[[#This Row],[Cantidad]]*VENTAS[[#This Row],[Precio Venta]]</f>
        <v>19</v>
      </c>
      <c r="J48" s="14">
        <f>IF(VENTAS[[#This Row],[Nombre del Gestor]]&gt;1,VENTAS[[#This Row],[Total]]*10%,0)</f>
        <v>0</v>
      </c>
      <c r="K48" s="14">
        <f>IFERROR(VLOOKUP(VENTAS[[#This Row],[Código del producto Vendido]],STOCK[],16,FALSE)*VENTAS[[#This Row],[Cantidad]]+VLOOKUP(VENTAS[[#This Row],[Código del producto Vendido]],STOCK[],19,FALSE)*VENTAS[[#This Row],[Cantidad]],VENTAS[[#This Row],[Total]])</f>
        <v>12.5222222222222</v>
      </c>
      <c r="L48" s="14">
        <f>VENTAS[[#This Row],[Total]]-VENTAS[[#This Row],[Comisión 10%]]-VENTAS[[#This Row],[Costo SIN Comision]]</f>
        <v>6.4777777777778</v>
      </c>
      <c r="M48" s="14"/>
    </row>
    <row r="49" ht="20" hidden="1" customHeight="1" spans="1:13">
      <c r="A49" s="10">
        <v>45017</v>
      </c>
      <c r="B49" s="11" t="s">
        <v>4059</v>
      </c>
      <c r="C49" s="11"/>
      <c r="D49" s="11"/>
      <c r="E49" s="11" t="s">
        <v>551</v>
      </c>
      <c r="F49" s="11" t="str">
        <f>IFERROR(VLOOKUP(VENTAS[[#This Row],[Código del producto Vendido]],STOCK[],5,FALSE),"-")</f>
        <v>Botines con tacón con cordón</v>
      </c>
      <c r="G49" s="11">
        <v>1</v>
      </c>
      <c r="H49" s="14">
        <v>40</v>
      </c>
      <c r="I49" s="14">
        <f>VENTAS[[#This Row],[Cantidad]]*VENTAS[[#This Row],[Precio Venta]]</f>
        <v>40</v>
      </c>
      <c r="J49" s="14">
        <f>IF(VENTAS[[#This Row],[Nombre del Gestor]]&gt;1,VENTAS[[#This Row],[Total]]*10%,0)</f>
        <v>0</v>
      </c>
      <c r="K49" s="14">
        <f>IFERROR(VLOOKUP(VENTAS[[#This Row],[Código del producto Vendido]],STOCK[],16,FALSE)*VENTAS[[#This Row],[Cantidad]]+VLOOKUP(VENTAS[[#This Row],[Código del producto Vendido]],STOCK[],19,FALSE)*VENTAS[[#This Row],[Cantidad]],VENTAS[[#This Row],[Total]])</f>
        <v>27.7861111111111</v>
      </c>
      <c r="L49" s="14">
        <f>VENTAS[[#This Row],[Total]]-VENTAS[[#This Row],[Comisión 10%]]-VENTAS[[#This Row],[Costo SIN Comision]]</f>
        <v>12.2138888888889</v>
      </c>
      <c r="M49" s="14"/>
    </row>
    <row r="50" ht="20" hidden="1" customHeight="1" spans="1:13">
      <c r="A50" s="10">
        <v>45017</v>
      </c>
      <c r="B50" s="11"/>
      <c r="C50" s="11"/>
      <c r="D50" s="11"/>
      <c r="E50" s="11" t="s">
        <v>553</v>
      </c>
      <c r="F50" s="11" t="str">
        <f>IFERROR(VLOOKUP(VENTAS[[#This Row],[Código del producto Vendido]],STOCK[],5,FALSE),"-")</f>
        <v>Falda con abertura alta_XS</v>
      </c>
      <c r="G50" s="11">
        <v>1</v>
      </c>
      <c r="H50" s="14">
        <v>17</v>
      </c>
      <c r="I50" s="14">
        <f>VENTAS[[#This Row],[Cantidad]]*VENTAS[[#This Row],[Precio Venta]]</f>
        <v>17</v>
      </c>
      <c r="J50" s="14">
        <f>IF(VENTAS[[#This Row],[Nombre del Gestor]]&gt;1,VENTAS[[#This Row],[Total]]*10%,0)</f>
        <v>0</v>
      </c>
      <c r="K50" s="14">
        <f>IFERROR(VLOOKUP(VENTAS[[#This Row],[Código del producto Vendido]],STOCK[],16,FALSE)*VENTAS[[#This Row],[Cantidad]]+VLOOKUP(VENTAS[[#This Row],[Código del producto Vendido]],STOCK[],19,FALSE)*VENTAS[[#This Row],[Cantidad]],VENTAS[[#This Row],[Total]])</f>
        <v>9.88944444444445</v>
      </c>
      <c r="L50" s="14">
        <f>VENTAS[[#This Row],[Total]]-VENTAS[[#This Row],[Comisión 10%]]-VENTAS[[#This Row],[Costo SIN Comision]]</f>
        <v>7.11055555555555</v>
      </c>
      <c r="M50" s="14"/>
    </row>
    <row r="51" ht="20" hidden="1" customHeight="1" spans="1:13">
      <c r="A51" s="10">
        <v>45017</v>
      </c>
      <c r="B51" s="11"/>
      <c r="C51" s="11"/>
      <c r="D51" s="11"/>
      <c r="E51" s="11" t="s">
        <v>564</v>
      </c>
      <c r="F51" s="11" t="str">
        <f>IFERROR(VLOOKUP(VENTAS[[#This Row],[Código del producto Vendido]],STOCK[],5,FALSE),"-")</f>
        <v>Vestido de espalda abierta de manga farol_S</v>
      </c>
      <c r="G51" s="11">
        <v>3</v>
      </c>
      <c r="H51" s="14">
        <v>15</v>
      </c>
      <c r="I51" s="14">
        <f>VENTAS[[#This Row],[Cantidad]]*VENTAS[[#This Row],[Precio Venta]]</f>
        <v>45</v>
      </c>
      <c r="J51" s="14">
        <f>IF(VENTAS[[#This Row],[Nombre del Gestor]]&gt;1,VENTAS[[#This Row],[Total]]*10%,0)</f>
        <v>0</v>
      </c>
      <c r="K51" s="14">
        <f>IFERROR(VLOOKUP(VENTAS[[#This Row],[Código del producto Vendido]],STOCK[],16,FALSE)*VENTAS[[#This Row],[Cantidad]]+VLOOKUP(VENTAS[[#This Row],[Código del producto Vendido]],STOCK[],19,FALSE)*VENTAS[[#This Row],[Cantidad]],VENTAS[[#This Row],[Total]])</f>
        <v>32.1666666666667</v>
      </c>
      <c r="L51" s="14">
        <f>VENTAS[[#This Row],[Total]]-VENTAS[[#This Row],[Comisión 10%]]-VENTAS[[#This Row],[Costo SIN Comision]]</f>
        <v>12.8333333333333</v>
      </c>
      <c r="M51" s="14"/>
    </row>
    <row r="52" ht="20" hidden="1" customHeight="1" spans="1:13">
      <c r="A52" s="10"/>
      <c r="B52" s="11" t="s">
        <v>4059</v>
      </c>
      <c r="C52" s="11"/>
      <c r="D52" s="11"/>
      <c r="E52" s="11" t="s">
        <v>566</v>
      </c>
      <c r="F52" s="11" t="str">
        <f>IFERROR(VLOOKUP(VENTAS[[#This Row],[Código del producto Vendido]],STOCK[],5,FALSE),"-")</f>
        <v>Vestido de espalda abierta de manga farol_XS</v>
      </c>
      <c r="G52" s="11">
        <v>3</v>
      </c>
      <c r="H52" s="14">
        <v>20</v>
      </c>
      <c r="I52" s="14">
        <f>VENTAS[[#This Row],[Cantidad]]*VENTAS[[#This Row],[Precio Venta]]</f>
        <v>60</v>
      </c>
      <c r="J52" s="14">
        <f>IF(VENTAS[[#This Row],[Nombre del Gestor]]&gt;1,VENTAS[[#This Row],[Total]]*10%,0)</f>
        <v>0</v>
      </c>
      <c r="K52" s="14">
        <f>IFERROR(VLOOKUP(VENTAS[[#This Row],[Código del producto Vendido]],STOCK[],16,FALSE)*VENTAS[[#This Row],[Cantidad]]+VLOOKUP(VENTAS[[#This Row],[Código del producto Vendido]],STOCK[],19,FALSE)*VENTAS[[#This Row],[Cantidad]],VENTAS[[#This Row],[Total]])</f>
        <v>32.1666666666667</v>
      </c>
      <c r="L52" s="14">
        <f>VENTAS[[#This Row],[Total]]-VENTAS[[#This Row],[Comisión 10%]]-VENTAS[[#This Row],[Costo SIN Comision]]</f>
        <v>27.8333333333333</v>
      </c>
      <c r="M52" s="14"/>
    </row>
    <row r="53" ht="20" hidden="1" customHeight="1" spans="1:13">
      <c r="A53" s="10"/>
      <c r="B53" s="11" t="s">
        <v>4059</v>
      </c>
      <c r="C53" s="11"/>
      <c r="D53" s="11"/>
      <c r="E53" s="11" t="s">
        <v>658</v>
      </c>
      <c r="F53" s="11" t="str">
        <f>IFERROR(VLOOKUP(VENTAS[[#This Row],[Código del producto Vendido]],STOCK[],5,FALSE),"-")</f>
        <v>SHEIN Vestido lencero floral de muslo con abertura_XS</v>
      </c>
      <c r="G53" s="11">
        <v>4</v>
      </c>
      <c r="H53" s="14">
        <v>15</v>
      </c>
      <c r="I53" s="14">
        <f>VENTAS[[#This Row],[Cantidad]]*VENTAS[[#This Row],[Precio Venta]]</f>
        <v>60</v>
      </c>
      <c r="J53" s="14">
        <f>IF(VENTAS[[#This Row],[Nombre del Gestor]]&gt;1,VENTAS[[#This Row],[Total]]*10%,0)</f>
        <v>0</v>
      </c>
      <c r="K53" s="14">
        <f>IFERROR(VLOOKUP(VENTAS[[#This Row],[Código del producto Vendido]],STOCK[],16,FALSE)*VENTAS[[#This Row],[Cantidad]]+VLOOKUP(VENTAS[[#This Row],[Código del producto Vendido]],STOCK[],19,FALSE)*VENTAS[[#This Row],[Cantidad]],VENTAS[[#This Row],[Total]])</f>
        <v>42.8888888888889</v>
      </c>
      <c r="L53" s="14">
        <f>VENTAS[[#This Row],[Total]]-VENTAS[[#This Row],[Comisión 10%]]-VENTAS[[#This Row],[Costo SIN Comision]]</f>
        <v>17.1111111111111</v>
      </c>
      <c r="M53" s="14"/>
    </row>
    <row r="54" ht="20" hidden="1" customHeight="1" spans="1:13">
      <c r="A54" s="10"/>
      <c r="B54" s="11" t="s">
        <v>4059</v>
      </c>
      <c r="C54" s="11"/>
      <c r="D54" s="11"/>
      <c r="E54" s="11" t="s">
        <v>660</v>
      </c>
      <c r="F54" s="11" t="str">
        <f>IFERROR(VLOOKUP(VENTAS[[#This Row],[Código del producto Vendido]],STOCK[],5,FALSE),"-")</f>
        <v>SHEIN Vestido lencero floral de muslo con abertura_S</v>
      </c>
      <c r="G54" s="11">
        <v>4</v>
      </c>
      <c r="H54" s="14">
        <v>20</v>
      </c>
      <c r="I54" s="14">
        <f>VENTAS[[#This Row],[Cantidad]]*VENTAS[[#This Row],[Precio Venta]]</f>
        <v>80</v>
      </c>
      <c r="J54" s="14">
        <f>IF(VENTAS[[#This Row],[Nombre del Gestor]]&gt;1,VENTAS[[#This Row],[Total]]*10%,0)</f>
        <v>0</v>
      </c>
      <c r="K54" s="14">
        <f>IFERROR(VLOOKUP(VENTAS[[#This Row],[Código del producto Vendido]],STOCK[],16,FALSE)*VENTAS[[#This Row],[Cantidad]]+VLOOKUP(VENTAS[[#This Row],[Código del producto Vendido]],STOCK[],19,FALSE)*VENTAS[[#This Row],[Cantidad]],VENTAS[[#This Row],[Total]])</f>
        <v>42.8888888888889</v>
      </c>
      <c r="L54" s="14">
        <f>VENTAS[[#This Row],[Total]]-VENTAS[[#This Row],[Comisión 10%]]-VENTAS[[#This Row],[Costo SIN Comision]]</f>
        <v>37.1111111111111</v>
      </c>
      <c r="M54" s="14"/>
    </row>
    <row r="55" ht="20" hidden="1" customHeight="1" spans="1:13">
      <c r="A55" s="10"/>
      <c r="B55" s="11" t="s">
        <v>4059</v>
      </c>
      <c r="C55" s="11"/>
      <c r="D55" s="11"/>
      <c r="E55" s="11" t="s">
        <v>656</v>
      </c>
      <c r="F55" s="11" t="str">
        <f>IFERROR(VLOOKUP(VENTAS[[#This Row],[Código del producto Vendido]],STOCK[],5,FALSE),"-")</f>
        <v>Vestido floral de manga farol de espalda abierta con cordón bajo con fruncido_L</v>
      </c>
      <c r="G55" s="11">
        <v>4</v>
      </c>
      <c r="H55" s="14">
        <v>20</v>
      </c>
      <c r="I55" s="14">
        <f>VENTAS[[#This Row],[Cantidad]]*VENTAS[[#This Row],[Precio Venta]]</f>
        <v>80</v>
      </c>
      <c r="J55" s="14">
        <f>IF(VENTAS[[#This Row],[Nombre del Gestor]]&gt;1,VENTAS[[#This Row],[Total]]*10%,0)</f>
        <v>0</v>
      </c>
      <c r="K55" s="14">
        <f>IFERROR(VLOOKUP(VENTAS[[#This Row],[Código del producto Vendido]],STOCK[],16,FALSE)*VENTAS[[#This Row],[Cantidad]]+VLOOKUP(VENTAS[[#This Row],[Código del producto Vendido]],STOCK[],19,FALSE)*VENTAS[[#This Row],[Cantidad]],VENTAS[[#This Row],[Total]])</f>
        <v>42.8888888888889</v>
      </c>
      <c r="L55" s="14">
        <f>VENTAS[[#This Row],[Total]]-VENTAS[[#This Row],[Comisión 10%]]-VENTAS[[#This Row],[Costo SIN Comision]]</f>
        <v>37.1111111111111</v>
      </c>
      <c r="M55" s="14"/>
    </row>
    <row r="56" ht="20" hidden="1" customHeight="1" spans="1:13">
      <c r="A56" s="10"/>
      <c r="B56" s="11" t="s">
        <v>4059</v>
      </c>
      <c r="C56" s="11"/>
      <c r="D56" s="11"/>
      <c r="E56" s="11" t="s">
        <v>654</v>
      </c>
      <c r="F56" s="11" t="str">
        <f>IFERROR(VLOOKUP(VENTAS[[#This Row],[Código del producto Vendido]],STOCK[],5,FALSE),"-")</f>
        <v>Vestido floral de manga farol de espalda abierta con cordón bajo con fruncido_M</v>
      </c>
      <c r="G56" s="11">
        <v>4</v>
      </c>
      <c r="H56" s="14">
        <v>20</v>
      </c>
      <c r="I56" s="14">
        <f>VENTAS[[#This Row],[Cantidad]]*VENTAS[[#This Row],[Precio Venta]]</f>
        <v>80</v>
      </c>
      <c r="J56" s="14">
        <f>IF(VENTAS[[#This Row],[Nombre del Gestor]]&gt;1,VENTAS[[#This Row],[Total]]*10%,0)</f>
        <v>0</v>
      </c>
      <c r="K56" s="14">
        <f>IFERROR(VLOOKUP(VENTAS[[#This Row],[Código del producto Vendido]],STOCK[],16,FALSE)*VENTAS[[#This Row],[Cantidad]]+VLOOKUP(VENTAS[[#This Row],[Código del producto Vendido]],STOCK[],19,FALSE)*VENTAS[[#This Row],[Cantidad]],VENTAS[[#This Row],[Total]])</f>
        <v>42.8888888888889</v>
      </c>
      <c r="L56" s="14">
        <f>VENTAS[[#This Row],[Total]]-VENTAS[[#This Row],[Comisión 10%]]-VENTAS[[#This Row],[Costo SIN Comision]]</f>
        <v>37.1111111111111</v>
      </c>
      <c r="M56" s="14"/>
    </row>
    <row r="57" ht="20" hidden="1" customHeight="1" spans="1:13">
      <c r="A57" s="10"/>
      <c r="B57" s="11" t="s">
        <v>4059</v>
      </c>
      <c r="C57" s="11"/>
      <c r="D57" s="11"/>
      <c r="E57" s="11" t="s">
        <v>652</v>
      </c>
      <c r="F57" s="11" t="str">
        <f>IFERROR(VLOOKUP(VENTAS[[#This Row],[Código del producto Vendido]],STOCK[],5,FALSE),"-")</f>
        <v>Vestido floral de manga farol de espalda abierta con cordón bajo con fruncido_S</v>
      </c>
      <c r="G57" s="11">
        <v>4</v>
      </c>
      <c r="H57" s="14">
        <v>20</v>
      </c>
      <c r="I57" s="14">
        <f>VENTAS[[#This Row],[Cantidad]]*VENTAS[[#This Row],[Precio Venta]]</f>
        <v>80</v>
      </c>
      <c r="J57" s="14">
        <f>IF(VENTAS[[#This Row],[Nombre del Gestor]]&gt;1,VENTAS[[#This Row],[Total]]*10%,0)</f>
        <v>0</v>
      </c>
      <c r="K57" s="14">
        <f>IFERROR(VLOOKUP(VENTAS[[#This Row],[Código del producto Vendido]],STOCK[],16,FALSE)*VENTAS[[#This Row],[Cantidad]]+VLOOKUP(VENTAS[[#This Row],[Código del producto Vendido]],STOCK[],19,FALSE)*VENTAS[[#This Row],[Cantidad]],VENTAS[[#This Row],[Total]])</f>
        <v>42.8888888888889</v>
      </c>
      <c r="L57" s="14">
        <f>VENTAS[[#This Row],[Total]]-VENTAS[[#This Row],[Comisión 10%]]-VENTAS[[#This Row],[Costo SIN Comision]]</f>
        <v>37.1111111111111</v>
      </c>
      <c r="M57" s="14"/>
    </row>
    <row r="58" ht="20" hidden="1" customHeight="1" spans="1:13">
      <c r="A58" s="10"/>
      <c r="B58" s="11" t="s">
        <v>4059</v>
      </c>
      <c r="C58" s="11"/>
      <c r="D58" s="11"/>
      <c r="E58" s="11" t="s">
        <v>650</v>
      </c>
      <c r="F58" s="11" t="str">
        <f>IFERROR(VLOOKUP(VENTAS[[#This Row],[Código del producto Vendido]],STOCK[],5,FALSE),"-")</f>
        <v>Vestido floral de manga farol de espalda abierta con cordón bajo con fruncido_XS</v>
      </c>
      <c r="G58" s="11">
        <v>4</v>
      </c>
      <c r="H58" s="14">
        <v>20</v>
      </c>
      <c r="I58" s="14">
        <f>VENTAS[[#This Row],[Cantidad]]*VENTAS[[#This Row],[Precio Venta]]</f>
        <v>80</v>
      </c>
      <c r="J58" s="14">
        <f>IF(VENTAS[[#This Row],[Nombre del Gestor]]&gt;1,VENTAS[[#This Row],[Total]]*10%,0)</f>
        <v>0</v>
      </c>
      <c r="K58" s="14">
        <f>IFERROR(VLOOKUP(VENTAS[[#This Row],[Código del producto Vendido]],STOCK[],16,FALSE)*VENTAS[[#This Row],[Cantidad]]+VLOOKUP(VENTAS[[#This Row],[Código del producto Vendido]],STOCK[],19,FALSE)*VENTAS[[#This Row],[Cantidad]],VENTAS[[#This Row],[Total]])</f>
        <v>42.8888888888889</v>
      </c>
      <c r="L58" s="14">
        <f>VENTAS[[#This Row],[Total]]-VENTAS[[#This Row],[Comisión 10%]]-VENTAS[[#This Row],[Costo SIN Comision]]</f>
        <v>37.1111111111111</v>
      </c>
      <c r="M58" s="14"/>
    </row>
    <row r="59" ht="20" hidden="1" customHeight="1" spans="1:13">
      <c r="A59" s="10">
        <v>45017</v>
      </c>
      <c r="B59" s="11"/>
      <c r="C59" s="11"/>
      <c r="D59" s="11"/>
      <c r="E59" s="11" t="s">
        <v>4060</v>
      </c>
      <c r="F59" s="11" t="str">
        <f>IFERROR(VLOOKUP(VENTAS[[#This Row],[Código del producto Vendido]],STOCK[],5,FALSE),"-")</f>
        <v>-</v>
      </c>
      <c r="G59" s="11">
        <v>1</v>
      </c>
      <c r="H59" s="14">
        <v>15</v>
      </c>
      <c r="I59" s="14">
        <f>VENTAS[[#This Row],[Cantidad]]*VENTAS[[#This Row],[Precio Venta]]</f>
        <v>15</v>
      </c>
      <c r="J59" s="14">
        <f>IF(VENTAS[[#This Row],[Nombre del Gestor]]&gt;1,VENTAS[[#This Row],[Total]]*10%,0)</f>
        <v>0</v>
      </c>
      <c r="K59" s="14">
        <f>IFERROR(VLOOKUP(VENTAS[[#This Row],[Código del producto Vendido]],STOCK[],16,FALSE)*VENTAS[[#This Row],[Cantidad]]+VLOOKUP(VENTAS[[#This Row],[Código del producto Vendido]],STOCK[],19,FALSE)*VENTAS[[#This Row],[Cantidad]],VENTAS[[#This Row],[Total]])</f>
        <v>15</v>
      </c>
      <c r="L59" s="14">
        <f>VENTAS[[#This Row],[Total]]-VENTAS[[#This Row],[Comisión 10%]]-VENTAS[[#This Row],[Costo SIN Comision]]</f>
        <v>0</v>
      </c>
      <c r="M59" s="14"/>
    </row>
    <row r="60" ht="20" hidden="1" customHeight="1" spans="1:13">
      <c r="A60" s="10"/>
      <c r="B60" s="11" t="s">
        <v>4059</v>
      </c>
      <c r="C60" s="11"/>
      <c r="D60" s="11"/>
      <c r="E60" s="11" t="s">
        <v>4061</v>
      </c>
      <c r="F60" s="11" t="str">
        <f>IFERROR(VLOOKUP(VENTAS[[#This Row],[Código del producto Vendido]],STOCK[],5,FALSE),"-")</f>
        <v>-</v>
      </c>
      <c r="G60" s="11">
        <v>1</v>
      </c>
      <c r="H60" s="14">
        <v>15</v>
      </c>
      <c r="I60" s="14">
        <f>VENTAS[[#This Row],[Cantidad]]*VENTAS[[#This Row],[Precio Venta]]</f>
        <v>15</v>
      </c>
      <c r="J60" s="14">
        <f>IF(VENTAS[[#This Row],[Nombre del Gestor]]&gt;1,VENTAS[[#This Row],[Total]]*10%,0)</f>
        <v>0</v>
      </c>
      <c r="K60" s="14">
        <f>IFERROR(VLOOKUP(VENTAS[[#This Row],[Código del producto Vendido]],STOCK[],16,FALSE)*VENTAS[[#This Row],[Cantidad]]+VLOOKUP(VENTAS[[#This Row],[Código del producto Vendido]],STOCK[],19,FALSE)*VENTAS[[#This Row],[Cantidad]],VENTAS[[#This Row],[Total]])</f>
        <v>15</v>
      </c>
      <c r="L60" s="14">
        <f>VENTAS[[#This Row],[Total]]-VENTAS[[#This Row],[Comisión 10%]]-VENTAS[[#This Row],[Costo SIN Comision]]</f>
        <v>0</v>
      </c>
      <c r="M60" s="14"/>
    </row>
    <row r="61" ht="20" hidden="1" customHeight="1" spans="1:13">
      <c r="A61" s="10"/>
      <c r="B61" s="11" t="s">
        <v>4059</v>
      </c>
      <c r="C61" s="11"/>
      <c r="D61" s="11"/>
      <c r="E61" s="11" t="s">
        <v>4061</v>
      </c>
      <c r="F61" s="11" t="str">
        <f>IFERROR(VLOOKUP(VENTAS[[#This Row],[Código del producto Vendido]],STOCK[],5,FALSE),"-")</f>
        <v>-</v>
      </c>
      <c r="G61" s="11">
        <v>1</v>
      </c>
      <c r="H61" s="14">
        <v>0</v>
      </c>
      <c r="I61" s="14">
        <f>VENTAS[[#This Row],[Cantidad]]*VENTAS[[#This Row],[Precio Venta]]</f>
        <v>0</v>
      </c>
      <c r="J61" s="14">
        <f>IF(VENTAS[[#This Row],[Nombre del Gestor]]&gt;1,VENTAS[[#This Row],[Total]]*10%,0)</f>
        <v>0</v>
      </c>
      <c r="K61" s="14">
        <f>IFERROR(VLOOKUP(VENTAS[[#This Row],[Código del producto Vendido]],STOCK[],16,FALSE)*VENTAS[[#This Row],[Cantidad]]+VLOOKUP(VENTAS[[#This Row],[Código del producto Vendido]],STOCK[],19,FALSE)*VENTAS[[#This Row],[Cantidad]],VENTAS[[#This Row],[Total]])</f>
        <v>0</v>
      </c>
      <c r="L61" s="14">
        <f>VENTAS[[#This Row],[Total]]-VENTAS[[#This Row],[Comisión 10%]]-VENTAS[[#This Row],[Costo SIN Comision]]</f>
        <v>0</v>
      </c>
      <c r="M61" s="14"/>
    </row>
    <row r="62" ht="20" hidden="1" customHeight="1" spans="1:13">
      <c r="A62" s="10"/>
      <c r="B62" s="11" t="s">
        <v>4059</v>
      </c>
      <c r="C62" s="11"/>
      <c r="D62" s="11"/>
      <c r="E62" s="11" t="s">
        <v>643</v>
      </c>
      <c r="F62" s="11" t="str">
        <f>IFERROR(VLOOKUP(VENTAS[[#This Row],[Código del producto Vendido]],STOCK[],5,FALSE),"-")</f>
        <v>Vestido floral de manga farol escote corazón con cordón lateral_S</v>
      </c>
      <c r="G62" s="11">
        <v>3</v>
      </c>
      <c r="H62" s="14">
        <v>15</v>
      </c>
      <c r="I62" s="14">
        <f>VENTAS[[#This Row],[Cantidad]]*VENTAS[[#This Row],[Precio Venta]]</f>
        <v>45</v>
      </c>
      <c r="J62" s="14">
        <f>IF(VENTAS[[#This Row],[Nombre del Gestor]]&gt;1,VENTAS[[#This Row],[Total]]*10%,0)</f>
        <v>0</v>
      </c>
      <c r="K62" s="14">
        <f>IFERROR(VLOOKUP(VENTAS[[#This Row],[Código del producto Vendido]],STOCK[],16,FALSE)*VENTAS[[#This Row],[Cantidad]]+VLOOKUP(VENTAS[[#This Row],[Código del producto Vendido]],STOCK[],19,FALSE)*VENTAS[[#This Row],[Cantidad]],VENTAS[[#This Row],[Total]])</f>
        <v>32.1666666666667</v>
      </c>
      <c r="L62" s="14">
        <f>VENTAS[[#This Row],[Total]]-VENTAS[[#This Row],[Comisión 10%]]-VENTAS[[#This Row],[Costo SIN Comision]]</f>
        <v>12.8333333333333</v>
      </c>
      <c r="M62" s="14"/>
    </row>
    <row r="63" ht="20" hidden="1" customHeight="1" spans="1:13">
      <c r="A63" s="10"/>
      <c r="B63" s="11" t="s">
        <v>4059</v>
      </c>
      <c r="C63" s="11"/>
      <c r="D63" s="11"/>
      <c r="E63" s="11" t="s">
        <v>638</v>
      </c>
      <c r="F63" s="11" t="str">
        <f>IFERROR(VLOOKUP(VENTAS[[#This Row],[Código del producto Vendido]],STOCK[],5,FALSE),"-")</f>
        <v>SHEIN Vestido con estampado floral con nudo delantero de manga farol_L</v>
      </c>
      <c r="G63" s="11">
        <v>4</v>
      </c>
      <c r="H63" s="14">
        <v>15</v>
      </c>
      <c r="I63" s="14">
        <f>VENTAS[[#This Row],[Cantidad]]*VENTAS[[#This Row],[Precio Venta]]</f>
        <v>60</v>
      </c>
      <c r="J63" s="14">
        <f>IF(VENTAS[[#This Row],[Nombre del Gestor]]&gt;1,VENTAS[[#This Row],[Total]]*10%,0)</f>
        <v>0</v>
      </c>
      <c r="K63" s="14">
        <f>IFERROR(VLOOKUP(VENTAS[[#This Row],[Código del producto Vendido]],STOCK[],16,FALSE)*VENTAS[[#This Row],[Cantidad]]+VLOOKUP(VENTAS[[#This Row],[Código del producto Vendido]],STOCK[],19,FALSE)*VENTAS[[#This Row],[Cantidad]],VENTAS[[#This Row],[Total]])</f>
        <v>42.8888888888889</v>
      </c>
      <c r="L63" s="14">
        <f>VENTAS[[#This Row],[Total]]-VENTAS[[#This Row],[Comisión 10%]]-VENTAS[[#This Row],[Costo SIN Comision]]</f>
        <v>17.1111111111111</v>
      </c>
      <c r="M63" s="14"/>
    </row>
    <row r="64" ht="20" hidden="1" customHeight="1" spans="1:13">
      <c r="A64" s="10"/>
      <c r="B64" s="11" t="s">
        <v>4059</v>
      </c>
      <c r="C64" s="11"/>
      <c r="D64" s="11"/>
      <c r="E64" s="11" t="s">
        <v>4062</v>
      </c>
      <c r="F64" s="11" t="str">
        <f>IFERROR(VLOOKUP(VENTAS[[#This Row],[Código del producto Vendido]],STOCK[],5,FALSE),"-")</f>
        <v>-</v>
      </c>
      <c r="G64" s="11">
        <v>2</v>
      </c>
      <c r="H64" s="14">
        <v>15</v>
      </c>
      <c r="I64" s="14">
        <f>VENTAS[[#This Row],[Cantidad]]*VENTAS[[#This Row],[Precio Venta]]</f>
        <v>30</v>
      </c>
      <c r="J64" s="14">
        <f>IF(VENTAS[[#This Row],[Nombre del Gestor]]&gt;1,VENTAS[[#This Row],[Total]]*10%,0)</f>
        <v>0</v>
      </c>
      <c r="K64" s="14">
        <f>IFERROR(VLOOKUP(VENTAS[[#This Row],[Código del producto Vendido]],STOCK[],16,FALSE)*VENTAS[[#This Row],[Cantidad]]+VLOOKUP(VENTAS[[#This Row],[Código del producto Vendido]],STOCK[],19,FALSE)*VENTAS[[#This Row],[Cantidad]],VENTAS[[#This Row],[Total]])</f>
        <v>30</v>
      </c>
      <c r="L64" s="14">
        <f>VENTAS[[#This Row],[Total]]-VENTAS[[#This Row],[Comisión 10%]]-VENTAS[[#This Row],[Costo SIN Comision]]</f>
        <v>0</v>
      </c>
      <c r="M64" s="14"/>
    </row>
    <row r="65" ht="20" hidden="1" customHeight="1" spans="1:13">
      <c r="A65" s="10"/>
      <c r="B65" s="11" t="s">
        <v>4059</v>
      </c>
      <c r="C65" s="11"/>
      <c r="D65" s="11"/>
      <c r="E65" s="11" t="s">
        <v>4063</v>
      </c>
      <c r="F65" s="11" t="str">
        <f>IFERROR(VLOOKUP(VENTAS[[#This Row],[Código del producto Vendido]],STOCK[],5,FALSE),"-")</f>
        <v>-</v>
      </c>
      <c r="G65" s="11">
        <v>2</v>
      </c>
      <c r="H65" s="14">
        <v>15</v>
      </c>
      <c r="I65" s="14">
        <f>VENTAS[[#This Row],[Cantidad]]*VENTAS[[#This Row],[Precio Venta]]</f>
        <v>30</v>
      </c>
      <c r="J65" s="14">
        <f>IF(VENTAS[[#This Row],[Nombre del Gestor]]&gt;1,VENTAS[[#This Row],[Total]]*10%,0)</f>
        <v>0</v>
      </c>
      <c r="K65" s="14">
        <f>IFERROR(VLOOKUP(VENTAS[[#This Row],[Código del producto Vendido]],STOCK[],16,FALSE)*VENTAS[[#This Row],[Cantidad]]+VLOOKUP(VENTAS[[#This Row],[Código del producto Vendido]],STOCK[],19,FALSE)*VENTAS[[#This Row],[Cantidad]],VENTAS[[#This Row],[Total]])</f>
        <v>30</v>
      </c>
      <c r="L65" s="14">
        <f>VENTAS[[#This Row],[Total]]-VENTAS[[#This Row],[Comisión 10%]]-VENTAS[[#This Row],[Costo SIN Comision]]</f>
        <v>0</v>
      </c>
      <c r="M65" s="14"/>
    </row>
    <row r="66" ht="20" hidden="1" customHeight="1" spans="1:13">
      <c r="A66" s="10"/>
      <c r="B66" s="11" t="s">
        <v>4059</v>
      </c>
      <c r="C66" s="11"/>
      <c r="D66" s="11"/>
      <c r="E66" s="11" t="s">
        <v>4064</v>
      </c>
      <c r="F66" s="11" t="str">
        <f>IFERROR(VLOOKUP(VENTAS[[#This Row],[Código del producto Vendido]],STOCK[],5,FALSE),"-")</f>
        <v>-</v>
      </c>
      <c r="G66" s="11">
        <v>3</v>
      </c>
      <c r="H66" s="14">
        <v>15</v>
      </c>
      <c r="I66" s="14">
        <f>VENTAS[[#This Row],[Cantidad]]*VENTAS[[#This Row],[Precio Venta]]</f>
        <v>45</v>
      </c>
      <c r="J66" s="14">
        <f>IF(VENTAS[[#This Row],[Nombre del Gestor]]&gt;1,VENTAS[[#This Row],[Total]]*10%,0)</f>
        <v>0</v>
      </c>
      <c r="K66" s="14">
        <f>IFERROR(VLOOKUP(VENTAS[[#This Row],[Código del producto Vendido]],STOCK[],16,FALSE)*VENTAS[[#This Row],[Cantidad]]+VLOOKUP(VENTAS[[#This Row],[Código del producto Vendido]],STOCK[],19,FALSE)*VENTAS[[#This Row],[Cantidad]],VENTAS[[#This Row],[Total]])</f>
        <v>45</v>
      </c>
      <c r="L66" s="14">
        <f>VENTAS[[#This Row],[Total]]-VENTAS[[#This Row],[Comisión 10%]]-VENTAS[[#This Row],[Costo SIN Comision]]</f>
        <v>0</v>
      </c>
      <c r="M66" s="14"/>
    </row>
    <row r="67" ht="20" hidden="1" customHeight="1" spans="1:13">
      <c r="A67" s="10"/>
      <c r="B67" s="11" t="s">
        <v>4059</v>
      </c>
      <c r="C67" s="11"/>
      <c r="D67" s="11"/>
      <c r="E67" s="11" t="s">
        <v>4065</v>
      </c>
      <c r="F67" s="11" t="str">
        <f>IFERROR(VLOOKUP(VENTAS[[#This Row],[Código del producto Vendido]],STOCK[],5,FALSE),"-")</f>
        <v>-</v>
      </c>
      <c r="G67" s="11">
        <v>2</v>
      </c>
      <c r="H67" s="14">
        <v>20</v>
      </c>
      <c r="I67" s="14">
        <f>VENTAS[[#This Row],[Cantidad]]*VENTAS[[#This Row],[Precio Venta]]</f>
        <v>40</v>
      </c>
      <c r="J67" s="14">
        <f>IF(VENTAS[[#This Row],[Nombre del Gestor]]&gt;1,VENTAS[[#This Row],[Total]]*10%,0)</f>
        <v>0</v>
      </c>
      <c r="K67" s="14">
        <f>IFERROR(VLOOKUP(VENTAS[[#This Row],[Código del producto Vendido]],STOCK[],16,FALSE)*VENTAS[[#This Row],[Cantidad]]+VLOOKUP(VENTAS[[#This Row],[Código del producto Vendido]],STOCK[],19,FALSE)*VENTAS[[#This Row],[Cantidad]],VENTAS[[#This Row],[Total]])</f>
        <v>40</v>
      </c>
      <c r="L67" s="14">
        <f>VENTAS[[#This Row],[Total]]-VENTAS[[#This Row],[Comisión 10%]]-VENTAS[[#This Row],[Costo SIN Comision]]</f>
        <v>0</v>
      </c>
      <c r="M67" s="14"/>
    </row>
    <row r="68" ht="20" hidden="1" customHeight="1" spans="1:13">
      <c r="A68" s="10"/>
      <c r="B68" s="11" t="s">
        <v>4059</v>
      </c>
      <c r="C68" s="11"/>
      <c r="D68" s="11"/>
      <c r="E68" s="11" t="s">
        <v>633</v>
      </c>
      <c r="F68" s="11" t="str">
        <f>IFERROR(VLOOKUP(VENTAS[[#This Row],[Código del producto Vendido]],STOCK[],5,FALSE),"-")</f>
        <v>Vestido floral con abertura trasera</v>
      </c>
      <c r="G68" s="11">
        <v>2</v>
      </c>
      <c r="H68" s="14">
        <v>20</v>
      </c>
      <c r="I68" s="14">
        <f>VENTAS[[#This Row],[Cantidad]]*VENTAS[[#This Row],[Precio Venta]]</f>
        <v>40</v>
      </c>
      <c r="J68" s="14">
        <f>IF(VENTAS[[#This Row],[Nombre del Gestor]]&gt;1,VENTAS[[#This Row],[Total]]*10%,0)</f>
        <v>0</v>
      </c>
      <c r="K68" s="14">
        <f>IFERROR(VLOOKUP(VENTAS[[#This Row],[Código del producto Vendido]],STOCK[],16,FALSE)*VENTAS[[#This Row],[Cantidad]]+VLOOKUP(VENTAS[[#This Row],[Código del producto Vendido]],STOCK[],19,FALSE)*VENTAS[[#This Row],[Cantidad]],VENTAS[[#This Row],[Total]])</f>
        <v>21.4444444444444</v>
      </c>
      <c r="L68" s="14">
        <f>VENTAS[[#This Row],[Total]]-VENTAS[[#This Row],[Comisión 10%]]-VENTAS[[#This Row],[Costo SIN Comision]]</f>
        <v>18.5555555555556</v>
      </c>
      <c r="M68" s="14"/>
    </row>
    <row r="69" ht="20" hidden="1" customHeight="1" spans="1:13">
      <c r="A69" s="10"/>
      <c r="B69" s="11" t="s">
        <v>4059</v>
      </c>
      <c r="C69" s="11"/>
      <c r="D69" s="11"/>
      <c r="E69" s="11" t="s">
        <v>4066</v>
      </c>
      <c r="F69" s="11" t="str">
        <f>IFERROR(VLOOKUP(VENTAS[[#This Row],[Código del producto Vendido]],STOCK[],5,FALSE),"-")</f>
        <v>-</v>
      </c>
      <c r="G69" s="11">
        <v>1</v>
      </c>
      <c r="H69" s="14">
        <v>15</v>
      </c>
      <c r="I69" s="14">
        <f>VENTAS[[#This Row],[Cantidad]]*VENTAS[[#This Row],[Precio Venta]]</f>
        <v>15</v>
      </c>
      <c r="J69" s="14">
        <f>IF(VENTAS[[#This Row],[Nombre del Gestor]]&gt;1,VENTAS[[#This Row],[Total]]*10%,0)</f>
        <v>0</v>
      </c>
      <c r="K69" s="14">
        <f>IFERROR(VLOOKUP(VENTAS[[#This Row],[Código del producto Vendido]],STOCK[],16,FALSE)*VENTAS[[#This Row],[Cantidad]]+VLOOKUP(VENTAS[[#This Row],[Código del producto Vendido]],STOCK[],19,FALSE)*VENTAS[[#This Row],[Cantidad]],VENTAS[[#This Row],[Total]])</f>
        <v>15</v>
      </c>
      <c r="L69" s="14">
        <f>VENTAS[[#This Row],[Total]]-VENTAS[[#This Row],[Comisión 10%]]-VENTAS[[#This Row],[Costo SIN Comision]]</f>
        <v>0</v>
      </c>
      <c r="M69" s="14"/>
    </row>
    <row r="70" ht="20" hidden="1" customHeight="1" spans="1:13">
      <c r="A70" s="10"/>
      <c r="B70" s="11" t="s">
        <v>4059</v>
      </c>
      <c r="C70" s="11"/>
      <c r="D70" s="11"/>
      <c r="E70" s="11" t="s">
        <v>4067</v>
      </c>
      <c r="F70" s="11" t="str">
        <f>IFERROR(VLOOKUP(VENTAS[[#This Row],[Código del producto Vendido]],STOCK[],5,FALSE),"-")</f>
        <v>-</v>
      </c>
      <c r="G70" s="11">
        <v>1</v>
      </c>
      <c r="H70" s="14">
        <v>15</v>
      </c>
      <c r="I70" s="14">
        <f>VENTAS[[#This Row],[Cantidad]]*VENTAS[[#This Row],[Precio Venta]]</f>
        <v>15</v>
      </c>
      <c r="J70" s="14">
        <f>IF(VENTAS[[#This Row],[Nombre del Gestor]]&gt;1,VENTAS[[#This Row],[Total]]*10%,0)</f>
        <v>0</v>
      </c>
      <c r="K70" s="14">
        <f>IFERROR(VLOOKUP(VENTAS[[#This Row],[Código del producto Vendido]],STOCK[],16,FALSE)*VENTAS[[#This Row],[Cantidad]]+VLOOKUP(VENTAS[[#This Row],[Código del producto Vendido]],STOCK[],19,FALSE)*VENTAS[[#This Row],[Cantidad]],VENTAS[[#This Row],[Total]])</f>
        <v>15</v>
      </c>
      <c r="L70" s="14">
        <f>VENTAS[[#This Row],[Total]]-VENTAS[[#This Row],[Comisión 10%]]-VENTAS[[#This Row],[Costo SIN Comision]]</f>
        <v>0</v>
      </c>
      <c r="M70" s="14"/>
    </row>
    <row r="71" ht="20" hidden="1" customHeight="1" spans="1:13">
      <c r="A71" s="10"/>
      <c r="B71" s="11" t="s">
        <v>4059</v>
      </c>
      <c r="C71" s="11"/>
      <c r="D71" s="11"/>
      <c r="E71" s="11" t="s">
        <v>409</v>
      </c>
      <c r="F71" s="11" t="str">
        <f>IFERROR(VLOOKUP(VENTAS[[#This Row],[Código del producto Vendido]],STOCK[],5,FALSE),"-")</f>
        <v>Bañador una pieza de color combinado </v>
      </c>
      <c r="G71" s="11">
        <v>1</v>
      </c>
      <c r="H71" s="14">
        <v>20</v>
      </c>
      <c r="I71" s="14">
        <f>VENTAS[[#This Row],[Cantidad]]*VENTAS[[#This Row],[Precio Venta]]</f>
        <v>20</v>
      </c>
      <c r="J71" s="14">
        <f>IF(VENTAS[[#This Row],[Nombre del Gestor]]&gt;1,VENTAS[[#This Row],[Total]]*10%,0)</f>
        <v>0</v>
      </c>
      <c r="K71" s="14">
        <f>IFERROR(VLOOKUP(VENTAS[[#This Row],[Código del producto Vendido]],STOCK[],16,FALSE)*VENTAS[[#This Row],[Cantidad]]+VLOOKUP(VENTAS[[#This Row],[Código del producto Vendido]],STOCK[],19,FALSE)*VENTAS[[#This Row],[Cantidad]],VENTAS[[#This Row],[Total]])</f>
        <v>9.66666666666667</v>
      </c>
      <c r="L71" s="14">
        <f>VENTAS[[#This Row],[Total]]-VENTAS[[#This Row],[Comisión 10%]]-VENTAS[[#This Row],[Costo SIN Comision]]</f>
        <v>10.3333333333333</v>
      </c>
      <c r="M71" s="14"/>
    </row>
    <row r="72" ht="20" hidden="1" customHeight="1" spans="1:13">
      <c r="A72" s="10"/>
      <c r="B72" s="11" t="s">
        <v>4059</v>
      </c>
      <c r="C72" s="11"/>
      <c r="D72" s="11"/>
      <c r="E72" s="11" t="s">
        <v>410</v>
      </c>
      <c r="F72" s="11" t="str">
        <f>IFERROR(VLOOKUP(VENTAS[[#This Row],[Código del producto Vendido]],STOCK[],5,FALSE),"-")</f>
        <v>Bañador una pieza de color combinado </v>
      </c>
      <c r="G72" s="11">
        <v>1</v>
      </c>
      <c r="H72" s="14">
        <v>20</v>
      </c>
      <c r="I72" s="14">
        <f>VENTAS[[#This Row],[Cantidad]]*VENTAS[[#This Row],[Precio Venta]]</f>
        <v>20</v>
      </c>
      <c r="J72" s="14">
        <f>IF(VENTAS[[#This Row],[Nombre del Gestor]]&gt;1,VENTAS[[#This Row],[Total]]*10%,0)</f>
        <v>0</v>
      </c>
      <c r="K72" s="14">
        <f>IFERROR(VLOOKUP(VENTAS[[#This Row],[Código del producto Vendido]],STOCK[],16,FALSE)*VENTAS[[#This Row],[Cantidad]]+VLOOKUP(VENTAS[[#This Row],[Código del producto Vendido]],STOCK[],19,FALSE)*VENTAS[[#This Row],[Cantidad]],VENTAS[[#This Row],[Total]])</f>
        <v>9.66666666666667</v>
      </c>
      <c r="L72" s="14">
        <f>VENTAS[[#This Row],[Total]]-VENTAS[[#This Row],[Comisión 10%]]-VENTAS[[#This Row],[Costo SIN Comision]]</f>
        <v>10.3333333333333</v>
      </c>
      <c r="M72" s="14"/>
    </row>
    <row r="73" ht="20" hidden="1" customHeight="1" spans="1:13">
      <c r="A73" s="10"/>
      <c r="B73" s="11" t="s">
        <v>4059</v>
      </c>
      <c r="C73" s="11"/>
      <c r="D73" s="11"/>
      <c r="E73" s="11" t="s">
        <v>606</v>
      </c>
      <c r="F73" s="11" t="str">
        <f>IFERROR(VLOOKUP(VENTAS[[#This Row],[Código del producto Vendido]],STOCK[],5,FALSE),"-")</f>
        <v>SHEIN Vestido con estampado floral pecho con fruncido con nudo delantero bajo con fruncido_L</v>
      </c>
      <c r="G73" s="11">
        <v>1</v>
      </c>
      <c r="H73" s="14">
        <v>20</v>
      </c>
      <c r="I73" s="14">
        <f>VENTAS[[#This Row],[Cantidad]]*VENTAS[[#This Row],[Precio Venta]]</f>
        <v>20</v>
      </c>
      <c r="J73" s="14">
        <f>IF(VENTAS[[#This Row],[Nombre del Gestor]]&gt;1,VENTAS[[#This Row],[Total]]*10%,0)</f>
        <v>0</v>
      </c>
      <c r="K73" s="14">
        <f>IFERROR(VLOOKUP(VENTAS[[#This Row],[Código del producto Vendido]],STOCK[],16,FALSE)*VENTAS[[#This Row],[Cantidad]]+VLOOKUP(VENTAS[[#This Row],[Código del producto Vendido]],STOCK[],19,FALSE)*VENTAS[[#This Row],[Cantidad]],VENTAS[[#This Row],[Total]])</f>
        <v>10.7222222222222</v>
      </c>
      <c r="L73" s="14">
        <f>VENTAS[[#This Row],[Total]]-VENTAS[[#This Row],[Comisión 10%]]-VENTAS[[#This Row],[Costo SIN Comision]]</f>
        <v>9.27777777777778</v>
      </c>
      <c r="M73" s="14"/>
    </row>
    <row r="74" ht="20" hidden="1" customHeight="1" spans="1:13">
      <c r="A74" s="10"/>
      <c r="B74" s="11" t="s">
        <v>4059</v>
      </c>
      <c r="C74" s="11"/>
      <c r="D74" s="11"/>
      <c r="E74" s="11" t="s">
        <v>4068</v>
      </c>
      <c r="F74" s="11" t="str">
        <f>IFERROR(VLOOKUP(VENTAS[[#This Row],[Código del producto Vendido]],STOCK[],5,FALSE),"-")</f>
        <v>-</v>
      </c>
      <c r="G74" s="11">
        <v>1</v>
      </c>
      <c r="H74" s="14">
        <v>15</v>
      </c>
      <c r="I74" s="14">
        <f>VENTAS[[#This Row],[Cantidad]]*VENTAS[[#This Row],[Precio Venta]]</f>
        <v>15</v>
      </c>
      <c r="J74" s="14">
        <f>IF(VENTAS[[#This Row],[Nombre del Gestor]]&gt;1,VENTAS[[#This Row],[Total]]*10%,0)</f>
        <v>0</v>
      </c>
      <c r="K74" s="14">
        <f>IFERROR(VLOOKUP(VENTAS[[#This Row],[Código del producto Vendido]],STOCK[],16,FALSE)*VENTAS[[#This Row],[Cantidad]]+VLOOKUP(VENTAS[[#This Row],[Código del producto Vendido]],STOCK[],19,FALSE)*VENTAS[[#This Row],[Cantidad]],VENTAS[[#This Row],[Total]])</f>
        <v>15</v>
      </c>
      <c r="L74" s="14">
        <f>VENTAS[[#This Row],[Total]]-VENTAS[[#This Row],[Comisión 10%]]-VENTAS[[#This Row],[Costo SIN Comision]]</f>
        <v>0</v>
      </c>
      <c r="M74" s="14"/>
    </row>
    <row r="75" ht="20" hidden="1" customHeight="1" spans="1:13">
      <c r="A75" s="10"/>
      <c r="B75" s="11" t="s">
        <v>4059</v>
      </c>
      <c r="C75" s="11"/>
      <c r="D75" s="11"/>
      <c r="E75" s="11" t="s">
        <v>621</v>
      </c>
      <c r="F75" s="11" t="str">
        <f>IFERROR(VLOOKUP(VENTAS[[#This Row],[Código del producto Vendido]],STOCK[],5,FALSE),"-")</f>
        <v>Vestido pecho con fruncido cruzado cintura con estampado floral_S</v>
      </c>
      <c r="G75" s="11">
        <v>3</v>
      </c>
      <c r="H75" s="14">
        <v>20</v>
      </c>
      <c r="I75" s="14">
        <f>VENTAS[[#This Row],[Cantidad]]*VENTAS[[#This Row],[Precio Venta]]</f>
        <v>60</v>
      </c>
      <c r="J75" s="14">
        <f>IF(VENTAS[[#This Row],[Nombre del Gestor]]&gt;1,VENTAS[[#This Row],[Total]]*10%,0)</f>
        <v>0</v>
      </c>
      <c r="K75" s="14">
        <f>IFERROR(VLOOKUP(VENTAS[[#This Row],[Código del producto Vendido]],STOCK[],16,FALSE)*VENTAS[[#This Row],[Cantidad]]+VLOOKUP(VENTAS[[#This Row],[Código del producto Vendido]],STOCK[],19,FALSE)*VENTAS[[#This Row],[Cantidad]],VENTAS[[#This Row],[Total]])</f>
        <v>32.1666666666667</v>
      </c>
      <c r="L75" s="14">
        <f>VENTAS[[#This Row],[Total]]-VENTAS[[#This Row],[Comisión 10%]]-VENTAS[[#This Row],[Costo SIN Comision]]</f>
        <v>27.8333333333333</v>
      </c>
      <c r="M75" s="14"/>
    </row>
    <row r="76" ht="20" hidden="1" customHeight="1" spans="1:13">
      <c r="A76" s="10"/>
      <c r="B76" s="11" t="s">
        <v>4059</v>
      </c>
      <c r="C76" s="11"/>
      <c r="D76" s="11"/>
      <c r="E76" s="11" t="s">
        <v>623</v>
      </c>
      <c r="F76" s="11" t="str">
        <f>IFERROR(VLOOKUP(VENTAS[[#This Row],[Código del producto Vendido]],STOCK[],5,FALSE),"-")</f>
        <v>Vestido pecho con fruncido cruzado cintura con estampado floral_M</v>
      </c>
      <c r="G76" s="11">
        <v>3</v>
      </c>
      <c r="H76" s="14">
        <v>20</v>
      </c>
      <c r="I76" s="14">
        <f>VENTAS[[#This Row],[Cantidad]]*VENTAS[[#This Row],[Precio Venta]]</f>
        <v>60</v>
      </c>
      <c r="J76" s="14">
        <f>IF(VENTAS[[#This Row],[Nombre del Gestor]]&gt;1,VENTAS[[#This Row],[Total]]*10%,0)</f>
        <v>0</v>
      </c>
      <c r="K76" s="14">
        <f>IFERROR(VLOOKUP(VENTAS[[#This Row],[Código del producto Vendido]],STOCK[],16,FALSE)*VENTAS[[#This Row],[Cantidad]]+VLOOKUP(VENTAS[[#This Row],[Código del producto Vendido]],STOCK[],19,FALSE)*VENTAS[[#This Row],[Cantidad]],VENTAS[[#This Row],[Total]])</f>
        <v>32.1666666666667</v>
      </c>
      <c r="L76" s="14">
        <f>VENTAS[[#This Row],[Total]]-VENTAS[[#This Row],[Comisión 10%]]-VENTAS[[#This Row],[Costo SIN Comision]]</f>
        <v>27.8333333333333</v>
      </c>
      <c r="M76" s="14"/>
    </row>
    <row r="77" ht="20" hidden="1" customHeight="1" spans="1:13">
      <c r="A77" s="10"/>
      <c r="B77" s="11" t="s">
        <v>4059</v>
      </c>
      <c r="C77" s="11"/>
      <c r="D77" s="11"/>
      <c r="E77" s="11" t="s">
        <v>625</v>
      </c>
      <c r="F77" s="11" t="str">
        <f>IFERROR(VLOOKUP(VENTAS[[#This Row],[Código del producto Vendido]],STOCK[],5,FALSE),"-")</f>
        <v>Vestido pecho con fruncido cruzado cintura con estampado floral_L</v>
      </c>
      <c r="G77" s="11">
        <v>2</v>
      </c>
      <c r="H77" s="14">
        <v>20</v>
      </c>
      <c r="I77" s="14">
        <f>VENTAS[[#This Row],[Cantidad]]*VENTAS[[#This Row],[Precio Venta]]</f>
        <v>40</v>
      </c>
      <c r="J77" s="14">
        <f>IF(VENTAS[[#This Row],[Nombre del Gestor]]&gt;1,VENTAS[[#This Row],[Total]]*10%,0)</f>
        <v>0</v>
      </c>
      <c r="K77" s="14">
        <f>IFERROR(VLOOKUP(VENTAS[[#This Row],[Código del producto Vendido]],STOCK[],16,FALSE)*VENTAS[[#This Row],[Cantidad]]+VLOOKUP(VENTAS[[#This Row],[Código del producto Vendido]],STOCK[],19,FALSE)*VENTAS[[#This Row],[Cantidad]],VENTAS[[#This Row],[Total]])</f>
        <v>21.4444444444444</v>
      </c>
      <c r="L77" s="14">
        <f>VENTAS[[#This Row],[Total]]-VENTAS[[#This Row],[Comisión 10%]]-VENTAS[[#This Row],[Costo SIN Comision]]</f>
        <v>18.5555555555556</v>
      </c>
      <c r="M77" s="14"/>
    </row>
    <row r="78" ht="20" hidden="1" customHeight="1" spans="1:13">
      <c r="A78" s="10"/>
      <c r="B78" s="11" t="s">
        <v>4059</v>
      </c>
      <c r="C78" s="11"/>
      <c r="D78" s="11"/>
      <c r="E78" s="11" t="s">
        <v>612</v>
      </c>
      <c r="F78" s="11" t="str">
        <f>IFERROR(VLOOKUP(VENTAS[[#This Row],[Código del producto Vendido]],STOCK[],5,FALSE),"-")</f>
        <v>SHEIN Vestido fruncido de cuello con cordón de manga con volante de lunares_M</v>
      </c>
      <c r="G78" s="11">
        <v>3</v>
      </c>
      <c r="H78" s="14">
        <v>20</v>
      </c>
      <c r="I78" s="14">
        <f>VENTAS[[#This Row],[Cantidad]]*VENTAS[[#This Row],[Precio Venta]]</f>
        <v>60</v>
      </c>
      <c r="J78" s="14">
        <f>IF(VENTAS[[#This Row],[Nombre del Gestor]]&gt;1,VENTAS[[#This Row],[Total]]*10%,0)</f>
        <v>0</v>
      </c>
      <c r="K78" s="14">
        <f>IFERROR(VLOOKUP(VENTAS[[#This Row],[Código del producto Vendido]],STOCK[],16,FALSE)*VENTAS[[#This Row],[Cantidad]]+VLOOKUP(VENTAS[[#This Row],[Código del producto Vendido]],STOCK[],19,FALSE)*VENTAS[[#This Row],[Cantidad]],VENTAS[[#This Row],[Total]])</f>
        <v>32.1666666666667</v>
      </c>
      <c r="L78" s="14">
        <f>VENTAS[[#This Row],[Total]]-VENTAS[[#This Row],[Comisión 10%]]-VENTAS[[#This Row],[Costo SIN Comision]]</f>
        <v>27.8333333333333</v>
      </c>
      <c r="M78" s="14"/>
    </row>
    <row r="79" ht="20" hidden="1" customHeight="1" spans="1:13">
      <c r="A79" s="10"/>
      <c r="B79" s="11" t="s">
        <v>4059</v>
      </c>
      <c r="C79" s="11"/>
      <c r="D79" s="11"/>
      <c r="E79" s="11" t="s">
        <v>610</v>
      </c>
      <c r="F79" s="11" t="str">
        <f>IFERROR(VLOOKUP(VENTAS[[#This Row],[Código del producto Vendido]],STOCK[],5,FALSE),"-")</f>
        <v>SHEIN Vestido fruncido de cuello con cordón de manga con volante de lunares_XS</v>
      </c>
      <c r="G79" s="11">
        <v>3</v>
      </c>
      <c r="H79" s="14">
        <v>20</v>
      </c>
      <c r="I79" s="14">
        <f>VENTAS[[#This Row],[Cantidad]]*VENTAS[[#This Row],[Precio Venta]]</f>
        <v>60</v>
      </c>
      <c r="J79" s="14">
        <f>IF(VENTAS[[#This Row],[Nombre del Gestor]]&gt;1,VENTAS[[#This Row],[Total]]*10%,0)</f>
        <v>0</v>
      </c>
      <c r="K79" s="14">
        <f>IFERROR(VLOOKUP(VENTAS[[#This Row],[Código del producto Vendido]],STOCK[],16,FALSE)*VENTAS[[#This Row],[Cantidad]]+VLOOKUP(VENTAS[[#This Row],[Código del producto Vendido]],STOCK[],19,FALSE)*VENTAS[[#This Row],[Cantidad]],VENTAS[[#This Row],[Total]])</f>
        <v>32.1666666666667</v>
      </c>
      <c r="L79" s="14">
        <f>VENTAS[[#This Row],[Total]]-VENTAS[[#This Row],[Comisión 10%]]-VENTAS[[#This Row],[Costo SIN Comision]]</f>
        <v>27.8333333333333</v>
      </c>
      <c r="M79" s="14"/>
    </row>
    <row r="80" ht="20" hidden="1" customHeight="1" spans="1:13">
      <c r="A80" s="10"/>
      <c r="B80" s="11" t="s">
        <v>4059</v>
      </c>
      <c r="C80" s="11"/>
      <c r="D80" s="11"/>
      <c r="E80" s="11" t="s">
        <v>675</v>
      </c>
      <c r="F80" s="11" t="str">
        <f>IFERROR(VLOOKUP(VENTAS[[#This Row],[Código del producto Vendido]],STOCK[],5,FALSE),"-")</f>
        <v>SHEIN Frenchy Vestido de leopardo &amp; piel de tigre con estampado de manga mariposa sin cinturón_S</v>
      </c>
      <c r="G80" s="11">
        <v>3</v>
      </c>
      <c r="H80" s="14">
        <v>20</v>
      </c>
      <c r="I80" s="14">
        <f>VENTAS[[#This Row],[Cantidad]]*VENTAS[[#This Row],[Precio Venta]]</f>
        <v>60</v>
      </c>
      <c r="J80" s="14">
        <f>IF(VENTAS[[#This Row],[Nombre del Gestor]]&gt;1,VENTAS[[#This Row],[Total]]*10%,0)</f>
        <v>0</v>
      </c>
      <c r="K80" s="14">
        <f>IFERROR(VLOOKUP(VENTAS[[#This Row],[Código del producto Vendido]],STOCK[],16,FALSE)*VENTAS[[#This Row],[Cantidad]]+VLOOKUP(VENTAS[[#This Row],[Código del producto Vendido]],STOCK[],19,FALSE)*VENTAS[[#This Row],[Cantidad]],VENTAS[[#This Row],[Total]])</f>
        <v>32.1666666666667</v>
      </c>
      <c r="L80" s="14">
        <f>VENTAS[[#This Row],[Total]]-VENTAS[[#This Row],[Comisión 10%]]-VENTAS[[#This Row],[Costo SIN Comision]]</f>
        <v>27.8333333333333</v>
      </c>
      <c r="M80" s="14"/>
    </row>
    <row r="81" ht="20" hidden="1" customHeight="1" spans="1:13">
      <c r="A81" s="10"/>
      <c r="B81" s="11" t="s">
        <v>4059</v>
      </c>
      <c r="C81" s="11"/>
      <c r="D81" s="11"/>
      <c r="E81" s="11" t="s">
        <v>681</v>
      </c>
      <c r="F81" s="11" t="str">
        <f>IFERROR(VLOOKUP(VENTAS[[#This Row],[Código del producto Vendido]],STOCK[],5,FALSE),"-")</f>
        <v>Vestido de espalda abierta de manga farol_L</v>
      </c>
      <c r="G81" s="11">
        <v>3</v>
      </c>
      <c r="H81" s="14">
        <v>20</v>
      </c>
      <c r="I81" s="14">
        <f>VENTAS[[#This Row],[Cantidad]]*VENTAS[[#This Row],[Precio Venta]]</f>
        <v>60</v>
      </c>
      <c r="J81" s="14">
        <f>IF(VENTAS[[#This Row],[Nombre del Gestor]]&gt;1,VENTAS[[#This Row],[Total]]*10%,0)</f>
        <v>0</v>
      </c>
      <c r="K81" s="14">
        <f>IFERROR(VLOOKUP(VENTAS[[#This Row],[Código del producto Vendido]],STOCK[],16,FALSE)*VENTAS[[#This Row],[Cantidad]]+VLOOKUP(VENTAS[[#This Row],[Código del producto Vendido]],STOCK[],19,FALSE)*VENTAS[[#This Row],[Cantidad]],VENTAS[[#This Row],[Total]])</f>
        <v>32.1666666666667</v>
      </c>
      <c r="L81" s="14">
        <f>VENTAS[[#This Row],[Total]]-VENTAS[[#This Row],[Comisión 10%]]-VENTAS[[#This Row],[Costo SIN Comision]]</f>
        <v>27.8333333333333</v>
      </c>
      <c r="M81" s="14"/>
    </row>
    <row r="82" ht="20" hidden="1" customHeight="1" spans="1:13">
      <c r="A82" s="10"/>
      <c r="B82" s="11" t="s">
        <v>4059</v>
      </c>
      <c r="C82" s="11"/>
      <c r="D82" s="11"/>
      <c r="E82" s="11" t="s">
        <v>683</v>
      </c>
      <c r="F82" s="11" t="str">
        <f>IFERROR(VLOOKUP(VENTAS[[#This Row],[Código del producto Vendido]],STOCK[],5,FALSE),"-")</f>
        <v>Vestido de espalda abierta de manga farol_M</v>
      </c>
      <c r="G82" s="11">
        <v>3</v>
      </c>
      <c r="H82" s="14">
        <v>20</v>
      </c>
      <c r="I82" s="14">
        <f>VENTAS[[#This Row],[Cantidad]]*VENTAS[[#This Row],[Precio Venta]]</f>
        <v>60</v>
      </c>
      <c r="J82" s="14">
        <f>IF(VENTAS[[#This Row],[Nombre del Gestor]]&gt;1,VENTAS[[#This Row],[Total]]*10%,0)</f>
        <v>0</v>
      </c>
      <c r="K82" s="14">
        <f>IFERROR(VLOOKUP(VENTAS[[#This Row],[Código del producto Vendido]],STOCK[],16,FALSE)*VENTAS[[#This Row],[Cantidad]]+VLOOKUP(VENTAS[[#This Row],[Código del producto Vendido]],STOCK[],19,FALSE)*VENTAS[[#This Row],[Cantidad]],VENTAS[[#This Row],[Total]])</f>
        <v>32.1666666666667</v>
      </c>
      <c r="L82" s="14">
        <f>VENTAS[[#This Row],[Total]]-VENTAS[[#This Row],[Comisión 10%]]-VENTAS[[#This Row],[Costo SIN Comision]]</f>
        <v>27.8333333333333</v>
      </c>
      <c r="M82" s="14"/>
    </row>
    <row r="83" ht="20" hidden="1" customHeight="1" spans="1:13">
      <c r="A83" s="10"/>
      <c r="B83" s="11" t="s">
        <v>4059</v>
      </c>
      <c r="C83" s="11"/>
      <c r="D83" s="11"/>
      <c r="E83" s="11" t="s">
        <v>574</v>
      </c>
      <c r="F83" s="11" t="str">
        <f>IFERROR(VLOOKUP(VENTAS[[#This Row],[Código del producto Vendido]],STOCK[],5,FALSE),"-")</f>
        <v>Vestido de manga farol de cuello cuadrado_XS</v>
      </c>
      <c r="G83" s="11">
        <v>3</v>
      </c>
      <c r="H83" s="14">
        <v>15</v>
      </c>
      <c r="I83" s="14">
        <f>VENTAS[[#This Row],[Cantidad]]*VENTAS[[#This Row],[Precio Venta]]</f>
        <v>45</v>
      </c>
      <c r="J83" s="14">
        <f>IF(VENTAS[[#This Row],[Nombre del Gestor]]&gt;1,VENTAS[[#This Row],[Total]]*10%,0)</f>
        <v>0</v>
      </c>
      <c r="K83" s="14">
        <f>IFERROR(VLOOKUP(VENTAS[[#This Row],[Código del producto Vendido]],STOCK[],16,FALSE)*VENTAS[[#This Row],[Cantidad]]+VLOOKUP(VENTAS[[#This Row],[Código del producto Vendido]],STOCK[],19,FALSE)*VENTAS[[#This Row],[Cantidad]],VENTAS[[#This Row],[Total]])</f>
        <v>32.1666666666667</v>
      </c>
      <c r="L83" s="14">
        <f>VENTAS[[#This Row],[Total]]-VENTAS[[#This Row],[Comisión 10%]]-VENTAS[[#This Row],[Costo SIN Comision]]</f>
        <v>12.8333333333333</v>
      </c>
      <c r="M83" s="14"/>
    </row>
    <row r="84" ht="20" hidden="1" customHeight="1" spans="1:13">
      <c r="A84" s="10"/>
      <c r="B84" s="11" t="s">
        <v>4059</v>
      </c>
      <c r="C84" s="11"/>
      <c r="D84" s="11"/>
      <c r="E84" s="11" t="s">
        <v>572</v>
      </c>
      <c r="F84" s="11" t="str">
        <f>IFERROR(VLOOKUP(VENTAS[[#This Row],[Código del producto Vendido]],STOCK[],5,FALSE),"-")</f>
        <v>Vestido de manga farol de cuello cuadrado_S</v>
      </c>
      <c r="G84" s="11">
        <v>3</v>
      </c>
      <c r="H84" s="14">
        <v>15</v>
      </c>
      <c r="I84" s="14">
        <f>VENTAS[[#This Row],[Cantidad]]*VENTAS[[#This Row],[Precio Venta]]</f>
        <v>45</v>
      </c>
      <c r="J84" s="14">
        <f>IF(VENTAS[[#This Row],[Nombre del Gestor]]&gt;1,VENTAS[[#This Row],[Total]]*10%,0)</f>
        <v>0</v>
      </c>
      <c r="K84" s="14">
        <f>IFERROR(VLOOKUP(VENTAS[[#This Row],[Código del producto Vendido]],STOCK[],16,FALSE)*VENTAS[[#This Row],[Cantidad]]+VLOOKUP(VENTAS[[#This Row],[Código del producto Vendido]],STOCK[],19,FALSE)*VENTAS[[#This Row],[Cantidad]],VENTAS[[#This Row],[Total]])</f>
        <v>32.1666666666667</v>
      </c>
      <c r="L84" s="14">
        <f>VENTAS[[#This Row],[Total]]-VENTAS[[#This Row],[Comisión 10%]]-VENTAS[[#This Row],[Costo SIN Comision]]</f>
        <v>12.8333333333333</v>
      </c>
      <c r="M84" s="14"/>
    </row>
    <row r="85" ht="20" hidden="1" customHeight="1" spans="1:13">
      <c r="A85" s="10"/>
      <c r="B85" s="11" t="s">
        <v>4059</v>
      </c>
      <c r="C85" s="11"/>
      <c r="D85" s="11"/>
      <c r="E85" s="11" t="s">
        <v>570</v>
      </c>
      <c r="F85" s="11" t="str">
        <f>IFERROR(VLOOKUP(VENTAS[[#This Row],[Código del producto Vendido]],STOCK[],5,FALSE),"-")</f>
        <v>Vestido de manga farol de cuello cuadrado_M</v>
      </c>
      <c r="G85" s="11">
        <v>3</v>
      </c>
      <c r="H85" s="14">
        <v>15</v>
      </c>
      <c r="I85" s="14">
        <f>VENTAS[[#This Row],[Cantidad]]*VENTAS[[#This Row],[Precio Venta]]</f>
        <v>45</v>
      </c>
      <c r="J85" s="14">
        <f>IF(VENTAS[[#This Row],[Nombre del Gestor]]&gt;1,VENTAS[[#This Row],[Total]]*10%,0)</f>
        <v>0</v>
      </c>
      <c r="K85" s="14">
        <f>IFERROR(VLOOKUP(VENTAS[[#This Row],[Código del producto Vendido]],STOCK[],16,FALSE)*VENTAS[[#This Row],[Cantidad]]+VLOOKUP(VENTAS[[#This Row],[Código del producto Vendido]],STOCK[],19,FALSE)*VENTAS[[#This Row],[Cantidad]],VENTAS[[#This Row],[Total]])</f>
        <v>32.1666666666667</v>
      </c>
      <c r="L85" s="14">
        <f>VENTAS[[#This Row],[Total]]-VENTAS[[#This Row],[Comisión 10%]]-VENTAS[[#This Row],[Costo SIN Comision]]</f>
        <v>12.8333333333333</v>
      </c>
      <c r="M85" s="14"/>
    </row>
    <row r="86" ht="20" hidden="1" customHeight="1" spans="1:13">
      <c r="A86" s="10"/>
      <c r="B86" s="11" t="s">
        <v>4059</v>
      </c>
      <c r="C86" s="11"/>
      <c r="D86" s="11"/>
      <c r="E86" s="11" t="s">
        <v>568</v>
      </c>
      <c r="F86" s="11" t="str">
        <f>IFERROR(VLOOKUP(VENTAS[[#This Row],[Código del producto Vendido]],STOCK[],5,FALSE),"-")</f>
        <v>Vestido de manga farol de cuello cuadrado_L</v>
      </c>
      <c r="G86" s="11">
        <v>3</v>
      </c>
      <c r="H86" s="14">
        <v>15</v>
      </c>
      <c r="I86" s="14">
        <f>VENTAS[[#This Row],[Cantidad]]*VENTAS[[#This Row],[Precio Venta]]</f>
        <v>45</v>
      </c>
      <c r="J86" s="14">
        <f>IF(VENTAS[[#This Row],[Nombre del Gestor]]&gt;1,VENTAS[[#This Row],[Total]]*10%,0)</f>
        <v>0</v>
      </c>
      <c r="K86" s="14">
        <f>IFERROR(VLOOKUP(VENTAS[[#This Row],[Código del producto Vendido]],STOCK[],16,FALSE)*VENTAS[[#This Row],[Cantidad]]+VLOOKUP(VENTAS[[#This Row],[Código del producto Vendido]],STOCK[],19,FALSE)*VENTAS[[#This Row],[Cantidad]],VENTAS[[#This Row],[Total]])</f>
        <v>32.1666666666667</v>
      </c>
      <c r="L86" s="14">
        <f>VENTAS[[#This Row],[Total]]-VENTAS[[#This Row],[Comisión 10%]]-VENTAS[[#This Row],[Costo SIN Comision]]</f>
        <v>12.8333333333333</v>
      </c>
      <c r="M86" s="14"/>
    </row>
    <row r="87" ht="20" hidden="1" customHeight="1" spans="1:13">
      <c r="A87" s="10"/>
      <c r="B87" s="11" t="s">
        <v>4059</v>
      </c>
      <c r="C87" s="11"/>
      <c r="D87" s="11"/>
      <c r="E87" s="11" t="s">
        <v>499</v>
      </c>
      <c r="F87" s="11" t="str">
        <f>IFERROR(VLOOKUP(VENTAS[[#This Row],[Código del producto Vendido]],STOCK[],5,FALSE),"-")</f>
        <v>Vestido Bohemio</v>
      </c>
      <c r="G87" s="11">
        <v>1</v>
      </c>
      <c r="H87" s="14">
        <v>25</v>
      </c>
      <c r="I87" s="14">
        <f>VENTAS[[#This Row],[Cantidad]]*VENTAS[[#This Row],[Precio Venta]]</f>
        <v>25</v>
      </c>
      <c r="J87" s="14">
        <f>IF(VENTAS[[#This Row],[Nombre del Gestor]]&gt;1,VENTAS[[#This Row],[Total]]*10%,0)</f>
        <v>0</v>
      </c>
      <c r="K87" s="14">
        <f>IFERROR(VLOOKUP(VENTAS[[#This Row],[Código del producto Vendido]],STOCK[],16,FALSE)*VENTAS[[#This Row],[Cantidad]]+VLOOKUP(VENTAS[[#This Row],[Código del producto Vendido]],STOCK[],19,FALSE)*VENTAS[[#This Row],[Cantidad]],VENTAS[[#This Row],[Total]])</f>
        <v>10.1894444444444</v>
      </c>
      <c r="L87" s="14">
        <f>VENTAS[[#This Row],[Total]]-VENTAS[[#This Row],[Comisión 10%]]-VENTAS[[#This Row],[Costo SIN Comision]]</f>
        <v>14.8105555555556</v>
      </c>
      <c r="M87" s="14"/>
    </row>
    <row r="88" ht="20" hidden="1" customHeight="1" spans="1:13">
      <c r="A88" s="10"/>
      <c r="B88" s="11" t="s">
        <v>4059</v>
      </c>
      <c r="C88" s="11"/>
      <c r="D88" s="11"/>
      <c r="E88" s="11" t="s">
        <v>452</v>
      </c>
      <c r="F88" s="11" t="str">
        <f>IFERROR(VLOOKUP(VENTAS[[#This Row],[Código del producto Vendido]],STOCK[],5,FALSE),"-")</f>
        <v>Bañador bikini de manga raglán con cordón floral</v>
      </c>
      <c r="G88" s="11">
        <v>3</v>
      </c>
      <c r="H88" s="14">
        <v>25</v>
      </c>
      <c r="I88" s="14">
        <f>VENTAS[[#This Row],[Cantidad]]*VENTAS[[#This Row],[Precio Venta]]</f>
        <v>75</v>
      </c>
      <c r="J88" s="14">
        <f>IF(VENTAS[[#This Row],[Nombre del Gestor]]&gt;1,VENTAS[[#This Row],[Total]]*10%,0)</f>
        <v>0</v>
      </c>
      <c r="K88" s="14">
        <f>IFERROR(VLOOKUP(VENTAS[[#This Row],[Código del producto Vendido]],STOCK[],16,FALSE)*VENTAS[[#This Row],[Cantidad]]+VLOOKUP(VENTAS[[#This Row],[Código del producto Vendido]],STOCK[],19,FALSE)*VENTAS[[#This Row],[Cantidad]],VENTAS[[#This Row],[Total]])</f>
        <v>59.3833333333332</v>
      </c>
      <c r="L88" s="14">
        <f>VENTAS[[#This Row],[Total]]-VENTAS[[#This Row],[Comisión 10%]]-VENTAS[[#This Row],[Costo SIN Comision]]</f>
        <v>15.6166666666668</v>
      </c>
      <c r="M88" s="14"/>
    </row>
    <row r="89" ht="20" hidden="1" customHeight="1" spans="1:13">
      <c r="A89" s="10"/>
      <c r="B89" s="11" t="s">
        <v>4059</v>
      </c>
      <c r="C89" s="11"/>
      <c r="D89" s="11"/>
      <c r="E89" s="11" t="s">
        <v>324</v>
      </c>
      <c r="F89" s="11" t="str">
        <f>IFERROR(VLOOKUP(VENTAS[[#This Row],[Código del producto Vendido]],STOCK[],5,FALSE),"-")</f>
        <v>Vestido Tie-Dye Bohemio</v>
      </c>
      <c r="G89" s="11">
        <v>1</v>
      </c>
      <c r="H89" s="14">
        <v>12</v>
      </c>
      <c r="I89" s="14">
        <f>VENTAS[[#This Row],[Cantidad]]*VENTAS[[#This Row],[Precio Venta]]</f>
        <v>12</v>
      </c>
      <c r="J89" s="14">
        <f>IF(VENTAS[[#This Row],[Nombre del Gestor]]&gt;1,VENTAS[[#This Row],[Total]]*10%,0)</f>
        <v>0</v>
      </c>
      <c r="K89" s="14">
        <f>IFERROR(VLOOKUP(VENTAS[[#This Row],[Código del producto Vendido]],STOCK[],16,FALSE)*VENTAS[[#This Row],[Cantidad]]+VLOOKUP(VENTAS[[#This Row],[Código del producto Vendido]],STOCK[],19,FALSE)*VENTAS[[#This Row],[Cantidad]],VENTAS[[#This Row],[Total]])</f>
        <v>7.24555555555556</v>
      </c>
      <c r="L89" s="14">
        <f>VENTAS[[#This Row],[Total]]-VENTAS[[#This Row],[Comisión 10%]]-VENTAS[[#This Row],[Costo SIN Comision]]</f>
        <v>4.75444444444444</v>
      </c>
      <c r="M89" s="14"/>
    </row>
    <row r="90" ht="20" hidden="1" customHeight="1" spans="1:13">
      <c r="A90" s="10"/>
      <c r="B90" s="11" t="s">
        <v>4059</v>
      </c>
      <c r="C90" s="11"/>
      <c r="D90" s="11"/>
      <c r="E90" s="11" t="s">
        <v>328</v>
      </c>
      <c r="F90" s="11" t="str">
        <f>IFERROR(VLOOKUP(VENTAS[[#This Row],[Código del producto Vendido]],STOCK[],5,FALSE),"-")</f>
        <v>Vestido tubo con abertura de muslo con abertura</v>
      </c>
      <c r="G90" s="11">
        <v>1</v>
      </c>
      <c r="H90" s="14">
        <v>15</v>
      </c>
      <c r="I90" s="14">
        <f>VENTAS[[#This Row],[Cantidad]]*VENTAS[[#This Row],[Precio Venta]]</f>
        <v>15</v>
      </c>
      <c r="J90" s="14">
        <f>IF(VENTAS[[#This Row],[Nombre del Gestor]]&gt;1,VENTAS[[#This Row],[Total]]*10%,0)</f>
        <v>0</v>
      </c>
      <c r="K90" s="14">
        <f>IFERROR(VLOOKUP(VENTAS[[#This Row],[Código del producto Vendido]],STOCK[],16,FALSE)*VENTAS[[#This Row],[Cantidad]]+VLOOKUP(VENTAS[[#This Row],[Código del producto Vendido]],STOCK[],19,FALSE)*VENTAS[[#This Row],[Cantidad]],VENTAS[[#This Row],[Total]])</f>
        <v>12.14</v>
      </c>
      <c r="L90" s="14">
        <f>VENTAS[[#This Row],[Total]]-VENTAS[[#This Row],[Comisión 10%]]-VENTAS[[#This Row],[Costo SIN Comision]]</f>
        <v>2.86</v>
      </c>
      <c r="M90" s="14"/>
    </row>
    <row r="91" ht="20" hidden="1" customHeight="1" spans="1:13">
      <c r="A91" s="10"/>
      <c r="B91" s="11" t="s">
        <v>4059</v>
      </c>
      <c r="C91" s="11"/>
      <c r="D91" s="11"/>
      <c r="E91" s="11" t="s">
        <v>399</v>
      </c>
      <c r="F91" s="11" t="str">
        <f>IFERROR(VLOOKUP(VENTAS[[#This Row],[Código del producto Vendido]],STOCK[],5,FALSE),"-")</f>
        <v>EMERY ROSE Vestido Volante rígido Floral Sencillo_L</v>
      </c>
      <c r="G91" s="11">
        <v>1</v>
      </c>
      <c r="H91" s="14">
        <v>35</v>
      </c>
      <c r="I91" s="14">
        <f>VENTAS[[#This Row],[Cantidad]]*VENTAS[[#This Row],[Precio Venta]]</f>
        <v>35</v>
      </c>
      <c r="J91" s="14">
        <f>IF(VENTAS[[#This Row],[Nombre del Gestor]]&gt;1,VENTAS[[#This Row],[Total]]*10%,0)</f>
        <v>0</v>
      </c>
      <c r="K91" s="14">
        <f>IFERROR(VLOOKUP(VENTAS[[#This Row],[Código del producto Vendido]],STOCK[],16,FALSE)*VENTAS[[#This Row],[Cantidad]]+VLOOKUP(VENTAS[[#This Row],[Código del producto Vendido]],STOCK[],19,FALSE)*VENTAS[[#This Row],[Cantidad]],VENTAS[[#This Row],[Total]])</f>
        <v>19.21</v>
      </c>
      <c r="L91" s="14">
        <f>VENTAS[[#This Row],[Total]]-VENTAS[[#This Row],[Comisión 10%]]-VENTAS[[#This Row],[Costo SIN Comision]]</f>
        <v>15.79</v>
      </c>
      <c r="M91" s="14"/>
    </row>
    <row r="92" ht="20" hidden="1" customHeight="1" spans="1:13">
      <c r="A92" s="10"/>
      <c r="B92" s="11" t="s">
        <v>4059</v>
      </c>
      <c r="C92" s="11"/>
      <c r="D92" s="11"/>
      <c r="E92" s="11" t="s">
        <v>975</v>
      </c>
      <c r="F92" s="11" t="str">
        <f>IFERROR(VLOOKUP(VENTAS[[#This Row],[Código del producto Vendido]],STOCK[],5,FALSE),"-")</f>
        <v>Bañador despalda descubierta</v>
      </c>
      <c r="G92" s="11">
        <v>1</v>
      </c>
      <c r="H92" s="14">
        <v>25</v>
      </c>
      <c r="I92" s="14">
        <f>VENTAS[[#This Row],[Cantidad]]*VENTAS[[#This Row],[Precio Venta]]</f>
        <v>25</v>
      </c>
      <c r="J92" s="14">
        <f>IF(VENTAS[[#This Row],[Nombre del Gestor]]&gt;1,VENTAS[[#This Row],[Total]]*10%,0)</f>
        <v>0</v>
      </c>
      <c r="K92" s="14">
        <f>IFERROR(VLOOKUP(VENTAS[[#This Row],[Código del producto Vendido]],STOCK[],16,FALSE)*VENTAS[[#This Row],[Cantidad]]+VLOOKUP(VENTAS[[#This Row],[Código del producto Vendido]],STOCK[],19,FALSE)*VENTAS[[#This Row],[Cantidad]],VENTAS[[#This Row],[Total]])</f>
        <v>15.325</v>
      </c>
      <c r="L92" s="14">
        <f>VENTAS[[#This Row],[Total]]-VENTAS[[#This Row],[Comisión 10%]]-VENTAS[[#This Row],[Costo SIN Comision]]</f>
        <v>9.675</v>
      </c>
      <c r="M92" s="14"/>
    </row>
    <row r="93" ht="20" hidden="1" customHeight="1" spans="1:13">
      <c r="A93" s="10"/>
      <c r="B93" s="11" t="s">
        <v>4059</v>
      </c>
      <c r="C93" s="11"/>
      <c r="D93" s="11"/>
      <c r="E93" s="11" t="s">
        <v>395</v>
      </c>
      <c r="F93" s="11" t="str">
        <f>IFERROR(VLOOKUP(VENTAS[[#This Row],[Código del producto Vendido]],STOCK[],5,FALSE),"-")</f>
        <v>Bolsa cartera de cocodrilo_Naranja Quemada</v>
      </c>
      <c r="G93" s="11">
        <v>2</v>
      </c>
      <c r="H93" s="14">
        <v>16</v>
      </c>
      <c r="I93" s="14">
        <f>VENTAS[[#This Row],[Cantidad]]*VENTAS[[#This Row],[Precio Venta]]</f>
        <v>32</v>
      </c>
      <c r="J93" s="14">
        <f>IF(VENTAS[[#This Row],[Nombre del Gestor]]&gt;1,VENTAS[[#This Row],[Total]]*10%,0)</f>
        <v>0</v>
      </c>
      <c r="K93" s="14">
        <f>IFERROR(VLOOKUP(VENTAS[[#This Row],[Código del producto Vendido]],STOCK[],16,FALSE)*VENTAS[[#This Row],[Cantidad]]+VLOOKUP(VENTAS[[#This Row],[Código del producto Vendido]],STOCK[],19,FALSE)*VENTAS[[#This Row],[Cantidad]],VENTAS[[#This Row],[Total]])</f>
        <v>18.7577777777778</v>
      </c>
      <c r="L93" s="14">
        <f>VENTAS[[#This Row],[Total]]-VENTAS[[#This Row],[Comisión 10%]]-VENTAS[[#This Row],[Costo SIN Comision]]</f>
        <v>13.2422222222222</v>
      </c>
      <c r="M93" s="14"/>
    </row>
    <row r="94" ht="20" hidden="1" customHeight="1" spans="1:13">
      <c r="A94" s="10"/>
      <c r="B94" s="11" t="s">
        <v>4059</v>
      </c>
      <c r="C94" s="11"/>
      <c r="D94" s="11"/>
      <c r="E94" s="11" t="s">
        <v>386</v>
      </c>
      <c r="F94" s="11" t="str">
        <f>IFERROR(VLOOKUP(VENTAS[[#This Row],[Código del producto Vendido]],STOCK[],5,FALSE),"-")</f>
        <v>Bolsa cartera con manija_Negro</v>
      </c>
      <c r="G94" s="11">
        <v>2</v>
      </c>
      <c r="H94" s="14">
        <v>16</v>
      </c>
      <c r="I94" s="14">
        <f>VENTAS[[#This Row],[Cantidad]]*VENTAS[[#This Row],[Precio Venta]]</f>
        <v>32</v>
      </c>
      <c r="J94" s="14">
        <f>IF(VENTAS[[#This Row],[Nombre del Gestor]]&gt;1,VENTAS[[#This Row],[Total]]*10%,0)</f>
        <v>0</v>
      </c>
      <c r="K94" s="14">
        <f>IFERROR(VLOOKUP(VENTAS[[#This Row],[Código del producto Vendido]],STOCK[],16,FALSE)*VENTAS[[#This Row],[Cantidad]]+VLOOKUP(VENTAS[[#This Row],[Código del producto Vendido]],STOCK[],19,FALSE)*VENTAS[[#This Row],[Cantidad]],VENTAS[[#This Row],[Total]])</f>
        <v>15.6</v>
      </c>
      <c r="L94" s="14">
        <f>VENTAS[[#This Row],[Total]]-VENTAS[[#This Row],[Comisión 10%]]-VENTAS[[#This Row],[Costo SIN Comision]]</f>
        <v>16.4</v>
      </c>
      <c r="M94" s="14"/>
    </row>
    <row r="95" ht="20" hidden="1" customHeight="1" spans="1:13">
      <c r="A95" s="10"/>
      <c r="B95" s="11" t="s">
        <v>4059</v>
      </c>
      <c r="C95" s="11"/>
      <c r="D95" s="11"/>
      <c r="E95" s="11" t="s">
        <v>389</v>
      </c>
      <c r="F95" s="11" t="str">
        <f>IFERROR(VLOOKUP(VENTAS[[#This Row],[Código del producto Vendido]],STOCK[],5,FALSE),"-")</f>
        <v>Bolsa cartera con solapa con lagartija_Caqui</v>
      </c>
      <c r="G95" s="11">
        <v>2</v>
      </c>
      <c r="H95" s="14">
        <v>16</v>
      </c>
      <c r="I95" s="14">
        <f>VENTAS[[#This Row],[Cantidad]]*VENTAS[[#This Row],[Precio Venta]]</f>
        <v>32</v>
      </c>
      <c r="J95" s="14">
        <f>IF(VENTAS[[#This Row],[Nombre del Gestor]]&gt;1,VENTAS[[#This Row],[Total]]*10%,0)</f>
        <v>0</v>
      </c>
      <c r="K95" s="14">
        <f>IFERROR(VLOOKUP(VENTAS[[#This Row],[Código del producto Vendido]],STOCK[],16,FALSE)*VENTAS[[#This Row],[Cantidad]]+VLOOKUP(VENTAS[[#This Row],[Código del producto Vendido]],STOCK[],19,FALSE)*VENTAS[[#This Row],[Cantidad]],VENTAS[[#This Row],[Total]])</f>
        <v>16.0622222222222</v>
      </c>
      <c r="L95" s="14">
        <f>VENTAS[[#This Row],[Total]]-VENTAS[[#This Row],[Comisión 10%]]-VENTAS[[#This Row],[Costo SIN Comision]]</f>
        <v>15.9377777777778</v>
      </c>
      <c r="M95" s="14"/>
    </row>
    <row r="96" ht="20" hidden="1" customHeight="1" spans="1:13">
      <c r="A96" s="10"/>
      <c r="B96" s="11" t="s">
        <v>4059</v>
      </c>
      <c r="C96" s="11"/>
      <c r="D96" s="11"/>
      <c r="E96" s="11" t="s">
        <v>383</v>
      </c>
      <c r="F96" s="11" t="str">
        <f>IFERROR(VLOOKUP(VENTAS[[#This Row],[Código del producto Vendido]],STOCK[],5,FALSE),"-")</f>
        <v>Cinturón con hebilla_Unitalla</v>
      </c>
      <c r="G96" s="11">
        <v>1</v>
      </c>
      <c r="H96" s="14">
        <v>10</v>
      </c>
      <c r="I96" s="14">
        <f>VENTAS[[#This Row],[Cantidad]]*VENTAS[[#This Row],[Precio Venta]]</f>
        <v>10</v>
      </c>
      <c r="J96" s="14">
        <f>IF(VENTAS[[#This Row],[Nombre del Gestor]]&gt;1,VENTAS[[#This Row],[Total]]*10%,0)</f>
        <v>0</v>
      </c>
      <c r="K96" s="14">
        <f>IFERROR(VLOOKUP(VENTAS[[#This Row],[Código del producto Vendido]],STOCK[],16,FALSE)*VENTAS[[#This Row],[Cantidad]]+VLOOKUP(VENTAS[[#This Row],[Código del producto Vendido]],STOCK[],19,FALSE)*VENTAS[[#This Row],[Cantidad]],VENTAS[[#This Row],[Total]])</f>
        <v>5.72944444444444</v>
      </c>
      <c r="L96" s="14">
        <f>VENTAS[[#This Row],[Total]]-VENTAS[[#This Row],[Comisión 10%]]-VENTAS[[#This Row],[Costo SIN Comision]]</f>
        <v>4.27055555555556</v>
      </c>
      <c r="M96" s="14"/>
    </row>
    <row r="97" ht="20" hidden="1" customHeight="1" spans="1:13">
      <c r="A97" s="10"/>
      <c r="B97" s="11" t="s">
        <v>4059</v>
      </c>
      <c r="C97" s="11"/>
      <c r="D97" s="11"/>
      <c r="E97" s="11" t="s">
        <v>377</v>
      </c>
      <c r="F97" s="11" t="str">
        <f>IFERROR(VLOOKUP(VENTAS[[#This Row],[Código del producto Vendido]],STOCK[],5,FALSE),"-")</f>
        <v>SHEIN Felegant Vestido ajustado con estampado de leopardo_M</v>
      </c>
      <c r="G97" s="11">
        <v>1</v>
      </c>
      <c r="H97" s="14">
        <v>15</v>
      </c>
      <c r="I97" s="14">
        <f>VENTAS[[#This Row],[Cantidad]]*VENTAS[[#This Row],[Precio Venta]]</f>
        <v>15</v>
      </c>
      <c r="J97" s="14">
        <f>IF(VENTAS[[#This Row],[Nombre del Gestor]]&gt;1,VENTAS[[#This Row],[Total]]*10%,0)</f>
        <v>0</v>
      </c>
      <c r="K97" s="14">
        <f>IFERROR(VLOOKUP(VENTAS[[#This Row],[Código del producto Vendido]],STOCK[],16,FALSE)*VENTAS[[#This Row],[Cantidad]]+VLOOKUP(VENTAS[[#This Row],[Código del producto Vendido]],STOCK[],19,FALSE)*VENTAS[[#This Row],[Cantidad]],VENTAS[[#This Row],[Total]])</f>
        <v>7.24833333333333</v>
      </c>
      <c r="L97" s="14">
        <f>VENTAS[[#This Row],[Total]]-VENTAS[[#This Row],[Comisión 10%]]-VENTAS[[#This Row],[Costo SIN Comision]]</f>
        <v>7.75166666666667</v>
      </c>
      <c r="M97" s="14"/>
    </row>
    <row r="98" ht="20" hidden="1" customHeight="1" spans="1:13">
      <c r="A98" s="10"/>
      <c r="B98" s="11" t="s">
        <v>4059</v>
      </c>
      <c r="C98" s="11"/>
      <c r="D98" s="11"/>
      <c r="E98" s="11" t="s">
        <v>375</v>
      </c>
      <c r="F98" s="11" t="str">
        <f>IFERROR(VLOOKUP(VENTAS[[#This Row],[Código del producto Vendido]],STOCK[],5,FALSE),"-")</f>
        <v>SHEIN Belle Vestido de dama de honor de hombros descubiertos fruncido cruzado_S</v>
      </c>
      <c r="G98" s="11">
        <v>1</v>
      </c>
      <c r="H98" s="14">
        <v>30</v>
      </c>
      <c r="I98" s="14">
        <f>VENTAS[[#This Row],[Cantidad]]*VENTAS[[#This Row],[Precio Venta]]</f>
        <v>30</v>
      </c>
      <c r="J98" s="14">
        <f>IF(VENTAS[[#This Row],[Nombre del Gestor]]&gt;1,VENTAS[[#This Row],[Total]]*10%,0)</f>
        <v>0</v>
      </c>
      <c r="K98" s="14">
        <f>IFERROR(VLOOKUP(VENTAS[[#This Row],[Código del producto Vendido]],STOCK[],16,FALSE)*VENTAS[[#This Row],[Cantidad]]+VLOOKUP(VENTAS[[#This Row],[Código del producto Vendido]],STOCK[],19,FALSE)*VENTAS[[#This Row],[Cantidad]],VENTAS[[#This Row],[Total]])</f>
        <v>19.4577777777778</v>
      </c>
      <c r="L98" s="14">
        <f>VENTAS[[#This Row],[Total]]-VENTAS[[#This Row],[Comisión 10%]]-VENTAS[[#This Row],[Costo SIN Comision]]</f>
        <v>10.5422222222222</v>
      </c>
      <c r="M98" s="14"/>
    </row>
    <row r="99" ht="20" hidden="1" customHeight="1" spans="1:13">
      <c r="A99" s="10"/>
      <c r="B99" s="11" t="s">
        <v>4059</v>
      </c>
      <c r="C99" s="11"/>
      <c r="D99" s="11"/>
      <c r="E99" s="11" t="s">
        <v>373</v>
      </c>
      <c r="F99" s="11" t="str">
        <f>IFERROR(VLOOKUP(VENTAS[[#This Row],[Código del producto Vendido]],STOCK[],5,FALSE),"-")</f>
        <v>SHEIN VCAY Vestido ajustado con estampado de corazón de confeti de hombros descubiertos ribete fruncido_S</v>
      </c>
      <c r="G99" s="11">
        <v>1</v>
      </c>
      <c r="H99" s="14">
        <v>12</v>
      </c>
      <c r="I99" s="14">
        <f>VENTAS[[#This Row],[Cantidad]]*VENTAS[[#This Row],[Precio Venta]]</f>
        <v>12</v>
      </c>
      <c r="J99" s="14">
        <f>IF(VENTAS[[#This Row],[Nombre del Gestor]]&gt;1,VENTAS[[#This Row],[Total]]*10%,0)</f>
        <v>0</v>
      </c>
      <c r="K99" s="14">
        <f>IFERROR(VLOOKUP(VENTAS[[#This Row],[Código del producto Vendido]],STOCK[],16,FALSE)*VENTAS[[#This Row],[Cantidad]]+VLOOKUP(VENTAS[[#This Row],[Código del producto Vendido]],STOCK[],19,FALSE)*VENTAS[[#This Row],[Cantidad]],VENTAS[[#This Row],[Total]])</f>
        <v>8.37444444444444</v>
      </c>
      <c r="L99" s="14">
        <f>VENTAS[[#This Row],[Total]]-VENTAS[[#This Row],[Comisión 10%]]-VENTAS[[#This Row],[Costo SIN Comision]]</f>
        <v>3.62555555555556</v>
      </c>
      <c r="M99" s="14"/>
    </row>
    <row r="100" ht="20" hidden="1" customHeight="1" spans="1:13">
      <c r="A100" s="10"/>
      <c r="B100" s="11" t="s">
        <v>4059</v>
      </c>
      <c r="C100" s="11"/>
      <c r="D100" s="11"/>
      <c r="E100" s="11" t="s">
        <v>370</v>
      </c>
      <c r="F100" s="11" t="str">
        <f>IFERROR(VLOOKUP(VENTAS[[#This Row],[Código del producto Vendido]],STOCK[],5,FALSE),"-")</f>
        <v>SHEIN Vestido niña ceremonia de tirantes bajo con malla con lazo grande_98CM</v>
      </c>
      <c r="G100" s="11">
        <v>1</v>
      </c>
      <c r="H100" s="14">
        <v>30</v>
      </c>
      <c r="I100" s="14">
        <f>VENTAS[[#This Row],[Cantidad]]*VENTAS[[#This Row],[Precio Venta]]</f>
        <v>30</v>
      </c>
      <c r="J100" s="14">
        <f>IF(VENTAS[[#This Row],[Nombre del Gestor]]&gt;1,VENTAS[[#This Row],[Total]]*10%,0)</f>
        <v>0</v>
      </c>
      <c r="K100" s="14">
        <f>IFERROR(VLOOKUP(VENTAS[[#This Row],[Código del producto Vendido]],STOCK[],16,FALSE)*VENTAS[[#This Row],[Cantidad]]+VLOOKUP(VENTAS[[#This Row],[Código del producto Vendido]],STOCK[],19,FALSE)*VENTAS[[#This Row],[Cantidad]],VENTAS[[#This Row],[Total]])</f>
        <v>12.4555555555556</v>
      </c>
      <c r="L100" s="14">
        <f>VENTAS[[#This Row],[Total]]-VENTAS[[#This Row],[Comisión 10%]]-VENTAS[[#This Row],[Costo SIN Comision]]</f>
        <v>17.5444444444444</v>
      </c>
      <c r="M100" s="14"/>
    </row>
    <row r="101" ht="20" hidden="1" customHeight="1" spans="1:13">
      <c r="A101" s="10"/>
      <c r="B101" s="11" t="s">
        <v>4059</v>
      </c>
      <c r="C101" s="11"/>
      <c r="D101" s="11"/>
      <c r="E101" s="11" t="s">
        <v>356</v>
      </c>
      <c r="F101" s="11" t="str">
        <f>IFERROR(VLOOKUP(VENTAS[[#This Row],[Código del producto Vendido]],STOCK[],5,FALSE),"-")</f>
        <v>EMERY ROSE Vestido maxi floral con estampado de pañuelo de manga farol bajo con fruncido</v>
      </c>
      <c r="G101" s="11">
        <v>1</v>
      </c>
      <c r="H101" s="14">
        <v>35</v>
      </c>
      <c r="I101" s="14">
        <f>VENTAS[[#This Row],[Cantidad]]*VENTAS[[#This Row],[Precio Venta]]</f>
        <v>35</v>
      </c>
      <c r="J101" s="14">
        <f>IF(VENTAS[[#This Row],[Nombre del Gestor]]&gt;1,VENTAS[[#This Row],[Total]]*10%,0)</f>
        <v>0</v>
      </c>
      <c r="K101" s="14">
        <f>IFERROR(VLOOKUP(VENTAS[[#This Row],[Código del producto Vendido]],STOCK[],16,FALSE)*VENTAS[[#This Row],[Cantidad]]+VLOOKUP(VENTAS[[#This Row],[Código del producto Vendido]],STOCK[],19,FALSE)*VENTAS[[#This Row],[Cantidad]],VENTAS[[#This Row],[Total]])</f>
        <v>19.7327777777778</v>
      </c>
      <c r="L101" s="14">
        <f>VENTAS[[#This Row],[Total]]-VENTAS[[#This Row],[Comisión 10%]]-VENTAS[[#This Row],[Costo SIN Comision]]</f>
        <v>15.2672222222222</v>
      </c>
      <c r="M101" s="14"/>
    </row>
    <row r="102" ht="20" hidden="1" customHeight="1" spans="1:13">
      <c r="A102" s="10"/>
      <c r="B102" s="11" t="s">
        <v>4059</v>
      </c>
      <c r="C102" s="11"/>
      <c r="D102" s="11"/>
      <c r="E102" s="11" t="s">
        <v>346</v>
      </c>
      <c r="F102" s="11" t="str">
        <f>IFERROR(VLOOKUP(VENTAS[[#This Row],[Código del producto Vendido]],STOCK[],5,FALSE),"-")</f>
        <v>SHEIN Belle Vestido de dama de honor de hombros descubiertos fruncido cruzado de satén</v>
      </c>
      <c r="G102" s="11">
        <v>1</v>
      </c>
      <c r="H102" s="14">
        <v>30</v>
      </c>
      <c r="I102" s="14">
        <f>VENTAS[[#This Row],[Cantidad]]*VENTAS[[#This Row],[Precio Venta]]</f>
        <v>30</v>
      </c>
      <c r="J102" s="14">
        <f>IF(VENTAS[[#This Row],[Nombre del Gestor]]&gt;1,VENTAS[[#This Row],[Total]]*10%,0)</f>
        <v>0</v>
      </c>
      <c r="K102" s="14">
        <f>IFERROR(VLOOKUP(VENTAS[[#This Row],[Código del producto Vendido]],STOCK[],16,FALSE)*VENTAS[[#This Row],[Cantidad]]+VLOOKUP(VENTAS[[#This Row],[Código del producto Vendido]],STOCK[],19,FALSE)*VENTAS[[#This Row],[Cantidad]],VENTAS[[#This Row],[Total]])</f>
        <v>19.6888888888889</v>
      </c>
      <c r="L102" s="14">
        <f>VENTAS[[#This Row],[Total]]-VENTAS[[#This Row],[Comisión 10%]]-VENTAS[[#This Row],[Costo SIN Comision]]</f>
        <v>10.3111111111111</v>
      </c>
      <c r="M102" s="14"/>
    </row>
    <row r="103" ht="20" hidden="1" customHeight="1" spans="1:13">
      <c r="A103" s="10"/>
      <c r="B103" s="11" t="s">
        <v>4059</v>
      </c>
      <c r="C103" s="11"/>
      <c r="D103" s="11"/>
      <c r="E103" s="11" t="s">
        <v>336</v>
      </c>
      <c r="F103" s="11" t="str">
        <f>IFERROR(VLOOKUP(VENTAS[[#This Row],[Código del producto Vendido]],STOCK[],5,FALSE),"-")</f>
        <v>Vestido cruzado de lunares </v>
      </c>
      <c r="G103" s="11">
        <v>1</v>
      </c>
      <c r="H103" s="14">
        <v>25</v>
      </c>
      <c r="I103" s="14">
        <f>VENTAS[[#This Row],[Cantidad]]*VENTAS[[#This Row],[Precio Venta]]</f>
        <v>25</v>
      </c>
      <c r="J103" s="14">
        <f>IF(VENTAS[[#This Row],[Nombre del Gestor]]&gt;1,VENTAS[[#This Row],[Total]]*10%,0)</f>
        <v>0</v>
      </c>
      <c r="K103" s="14">
        <f>IFERROR(VLOOKUP(VENTAS[[#This Row],[Código del producto Vendido]],STOCK[],16,FALSE)*VENTAS[[#This Row],[Cantidad]]+VLOOKUP(VENTAS[[#This Row],[Código del producto Vendido]],STOCK[],19,FALSE)*VENTAS[[#This Row],[Cantidad]],VENTAS[[#This Row],[Total]])</f>
        <v>12.7216666666667</v>
      </c>
      <c r="L103" s="14">
        <f>VENTAS[[#This Row],[Total]]-VENTAS[[#This Row],[Comisión 10%]]-VENTAS[[#This Row],[Costo SIN Comision]]</f>
        <v>12.2783333333333</v>
      </c>
      <c r="M103" s="14"/>
    </row>
    <row r="104" ht="20" hidden="1" customHeight="1" spans="1:13">
      <c r="A104" s="10"/>
      <c r="B104" s="11" t="s">
        <v>4059</v>
      </c>
      <c r="C104" s="11"/>
      <c r="D104" s="11"/>
      <c r="E104" s="11" t="s">
        <v>334</v>
      </c>
      <c r="F104" s="11" t="str">
        <f>IFERROR(VLOOKUP(VENTAS[[#This Row],[Código del producto Vendido]],STOCK[],5,FALSE),"-")</f>
        <v>Vestido cruzado de lunares </v>
      </c>
      <c r="G104" s="11">
        <v>1</v>
      </c>
      <c r="H104" s="14">
        <v>25</v>
      </c>
      <c r="I104" s="14">
        <f>VENTAS[[#This Row],[Cantidad]]*VENTAS[[#This Row],[Precio Venta]]</f>
        <v>25</v>
      </c>
      <c r="J104" s="14">
        <f>IF(VENTAS[[#This Row],[Nombre del Gestor]]&gt;1,VENTAS[[#This Row],[Total]]*10%,0)</f>
        <v>0</v>
      </c>
      <c r="K104" s="14">
        <f>IFERROR(VLOOKUP(VENTAS[[#This Row],[Código del producto Vendido]],STOCK[],16,FALSE)*VENTAS[[#This Row],[Cantidad]]+VLOOKUP(VENTAS[[#This Row],[Código del producto Vendido]],STOCK[],19,FALSE)*VENTAS[[#This Row],[Cantidad]],VENTAS[[#This Row],[Total]])</f>
        <v>12.7216666666667</v>
      </c>
      <c r="L104" s="14">
        <f>VENTAS[[#This Row],[Total]]-VENTAS[[#This Row],[Comisión 10%]]-VENTAS[[#This Row],[Costo SIN Comision]]</f>
        <v>12.2783333333333</v>
      </c>
      <c r="M104" s="14"/>
    </row>
    <row r="105" ht="20" hidden="1" customHeight="1" spans="1:13">
      <c r="A105" s="10"/>
      <c r="B105" s="11" t="s">
        <v>4059</v>
      </c>
      <c r="C105" s="11"/>
      <c r="D105" s="11"/>
      <c r="E105" s="11" t="s">
        <v>617</v>
      </c>
      <c r="F105" s="11" t="str">
        <f>IFERROR(VLOOKUP(VENTAS[[#This Row],[Código del producto Vendido]],STOCK[],5,FALSE),"-")</f>
        <v>Cinturón trenzado </v>
      </c>
      <c r="G105" s="11">
        <v>2</v>
      </c>
      <c r="H105" s="14">
        <v>10</v>
      </c>
      <c r="I105" s="14">
        <f>VENTAS[[#This Row],[Cantidad]]*VENTAS[[#This Row],[Precio Venta]]</f>
        <v>20</v>
      </c>
      <c r="J105" s="14">
        <f>IF(VENTAS[[#This Row],[Nombre del Gestor]]&gt;1,VENTAS[[#This Row],[Total]]*10%,0)</f>
        <v>0</v>
      </c>
      <c r="K105" s="14">
        <f>IFERROR(VLOOKUP(VENTAS[[#This Row],[Código del producto Vendido]],STOCK[],16,FALSE)*VENTAS[[#This Row],[Cantidad]]+VLOOKUP(VENTAS[[#This Row],[Código del producto Vendido]],STOCK[],19,FALSE)*VENTAS[[#This Row],[Cantidad]],VENTAS[[#This Row],[Total]])</f>
        <v>8.3</v>
      </c>
      <c r="L105" s="14">
        <f>VENTAS[[#This Row],[Total]]-VENTAS[[#This Row],[Comisión 10%]]-VENTAS[[#This Row],[Costo SIN Comision]]</f>
        <v>11.7</v>
      </c>
      <c r="M105" s="14"/>
    </row>
    <row r="106" ht="20" hidden="1" customHeight="1" spans="1:13">
      <c r="A106" s="10"/>
      <c r="B106" s="11"/>
      <c r="C106" s="11"/>
      <c r="D106" s="11"/>
      <c r="E106" s="11" t="s">
        <v>617</v>
      </c>
      <c r="F106" s="11" t="str">
        <f>IFERROR(VLOOKUP(VENTAS[[#This Row],[Código del producto Vendido]],STOCK[],5,FALSE),"-")</f>
        <v>Cinturón trenzado </v>
      </c>
      <c r="G106" s="11">
        <v>1</v>
      </c>
      <c r="H106" s="14">
        <v>10</v>
      </c>
      <c r="I106" s="14">
        <f>VENTAS[[#This Row],[Cantidad]]*VENTAS[[#This Row],[Precio Venta]]</f>
        <v>10</v>
      </c>
      <c r="J106" s="14">
        <f>IF(VENTAS[[#This Row],[Nombre del Gestor]]&gt;1,VENTAS[[#This Row],[Total]]*10%,0)</f>
        <v>0</v>
      </c>
      <c r="K106" s="14">
        <f>IFERROR(VLOOKUP(VENTAS[[#This Row],[Código del producto Vendido]],STOCK[],16,FALSE)*VENTAS[[#This Row],[Cantidad]]+VLOOKUP(VENTAS[[#This Row],[Código del producto Vendido]],STOCK[],19,FALSE)*VENTAS[[#This Row],[Cantidad]],VENTAS[[#This Row],[Total]])</f>
        <v>4.15</v>
      </c>
      <c r="L106" s="14">
        <f>VENTAS[[#This Row],[Total]]-VENTAS[[#This Row],[Comisión 10%]]-VENTAS[[#This Row],[Costo SIN Comision]]</f>
        <v>5.85</v>
      </c>
      <c r="M106" s="14"/>
    </row>
    <row r="107" ht="20" hidden="1" customHeight="1" spans="1:13">
      <c r="A107" s="10"/>
      <c r="B107" s="11" t="s">
        <v>4059</v>
      </c>
      <c r="C107" s="11"/>
      <c r="D107" s="11"/>
      <c r="E107" s="11" t="s">
        <v>685</v>
      </c>
      <c r="F107" s="11" t="str">
        <f>IFERROR(VLOOKUP(VENTAS[[#This Row],[Código del producto Vendido]],STOCK[],5,FALSE),"-")</f>
        <v>Top de cuello cruzado con nudo lateral</v>
      </c>
      <c r="G107" s="11">
        <v>3</v>
      </c>
      <c r="H107" s="14">
        <v>10</v>
      </c>
      <c r="I107" s="14">
        <f>VENTAS[[#This Row],[Cantidad]]*VENTAS[[#This Row],[Precio Venta]]</f>
        <v>30</v>
      </c>
      <c r="J107" s="14">
        <f>IF(VENTAS[[#This Row],[Nombre del Gestor]]&gt;1,VENTAS[[#This Row],[Total]]*10%,0)</f>
        <v>0</v>
      </c>
      <c r="K107" s="14">
        <f>IFERROR(VLOOKUP(VENTAS[[#This Row],[Código del producto Vendido]],STOCK[],16,FALSE)*VENTAS[[#This Row],[Cantidad]]+VLOOKUP(VENTAS[[#This Row],[Código del producto Vendido]],STOCK[],19,FALSE)*VENTAS[[#This Row],[Cantidad]],VENTAS[[#This Row],[Total]])</f>
        <v>15.805</v>
      </c>
      <c r="L107" s="14">
        <f>VENTAS[[#This Row],[Total]]-VENTAS[[#This Row],[Comisión 10%]]-VENTAS[[#This Row],[Costo SIN Comision]]</f>
        <v>14.195</v>
      </c>
      <c r="M107" s="14"/>
    </row>
    <row r="108" ht="20" hidden="1" customHeight="1" spans="1:13">
      <c r="A108" s="10"/>
      <c r="B108" s="11" t="s">
        <v>4059</v>
      </c>
      <c r="C108" s="11"/>
      <c r="D108" s="11"/>
      <c r="E108" s="11" t="s">
        <v>578</v>
      </c>
      <c r="F108" s="11" t="str">
        <f>IFERROR(VLOOKUP(VENTAS[[#This Row],[Código del producto Vendido]],STOCK[],5,FALSE),"-")</f>
        <v>SHEIN SXY Camiseta corta unicolor con abertura_XS</v>
      </c>
      <c r="G108" s="11">
        <v>3</v>
      </c>
      <c r="H108" s="14">
        <v>10</v>
      </c>
      <c r="I108" s="14">
        <f>VENTAS[[#This Row],[Cantidad]]*VENTAS[[#This Row],[Precio Venta]]</f>
        <v>30</v>
      </c>
      <c r="J108" s="14">
        <f>IF(VENTAS[[#This Row],[Nombre del Gestor]]&gt;1,VENTAS[[#This Row],[Total]]*10%,0)</f>
        <v>0</v>
      </c>
      <c r="K108" s="14">
        <f>IFERROR(VLOOKUP(VENTAS[[#This Row],[Código del producto Vendido]],STOCK[],16,FALSE)*VENTAS[[#This Row],[Cantidad]]+VLOOKUP(VENTAS[[#This Row],[Código del producto Vendido]],STOCK[],19,FALSE)*VENTAS[[#This Row],[Cantidad]],VENTAS[[#This Row],[Total]])</f>
        <v>16.4</v>
      </c>
      <c r="L108" s="14">
        <f>VENTAS[[#This Row],[Total]]-VENTAS[[#This Row],[Comisión 10%]]-VENTAS[[#This Row],[Costo SIN Comision]]</f>
        <v>13.6</v>
      </c>
      <c r="M108" s="14"/>
    </row>
    <row r="109" ht="20" hidden="1" customHeight="1" spans="1:13">
      <c r="A109" s="10"/>
      <c r="B109" s="11" t="s">
        <v>4059</v>
      </c>
      <c r="C109" s="11"/>
      <c r="D109" s="11"/>
      <c r="E109" s="11" t="s">
        <v>582</v>
      </c>
      <c r="F109" s="11" t="str">
        <f>IFERROR(VLOOKUP(VENTAS[[#This Row],[Código del producto Vendido]],STOCK[],5,FALSE),"-")</f>
        <v>SHEIN SXY Camiseta corta unicolor con abertura</v>
      </c>
      <c r="G109" s="11">
        <v>3</v>
      </c>
      <c r="H109" s="14">
        <v>10</v>
      </c>
      <c r="I109" s="14">
        <f>VENTAS[[#This Row],[Cantidad]]*VENTAS[[#This Row],[Precio Venta]]</f>
        <v>30</v>
      </c>
      <c r="J109" s="14">
        <f>IF(VENTAS[[#This Row],[Nombre del Gestor]]&gt;1,VENTAS[[#This Row],[Total]]*10%,0)</f>
        <v>0</v>
      </c>
      <c r="K109" s="14">
        <f>IFERROR(VLOOKUP(VENTAS[[#This Row],[Código del producto Vendido]],STOCK[],16,FALSE)*VENTAS[[#This Row],[Cantidad]]+VLOOKUP(VENTAS[[#This Row],[Código del producto Vendido]],STOCK[],19,FALSE)*VENTAS[[#This Row],[Cantidad]],VENTAS[[#This Row],[Total]])</f>
        <v>15.08</v>
      </c>
      <c r="L109" s="14">
        <f>VENTAS[[#This Row],[Total]]-VENTAS[[#This Row],[Comisión 10%]]-VENTAS[[#This Row],[Costo SIN Comision]]</f>
        <v>14.92</v>
      </c>
      <c r="M109" s="14"/>
    </row>
    <row r="110" ht="20" hidden="1" customHeight="1" spans="1:13">
      <c r="A110" s="10"/>
      <c r="B110" s="11" t="s">
        <v>4059</v>
      </c>
      <c r="C110" s="11"/>
      <c r="D110" s="11"/>
      <c r="E110" s="11" t="s">
        <v>580</v>
      </c>
      <c r="F110" s="11" t="str">
        <f>IFERROR(VLOOKUP(VENTAS[[#This Row],[Código del producto Vendido]],STOCK[],5,FALSE),"-")</f>
        <v>Camiseta corta unicolor con abertura</v>
      </c>
      <c r="G110" s="11">
        <v>2</v>
      </c>
      <c r="H110" s="14">
        <v>9</v>
      </c>
      <c r="I110" s="14">
        <f>VENTAS[[#This Row],[Cantidad]]*VENTAS[[#This Row],[Precio Venta]]</f>
        <v>18</v>
      </c>
      <c r="J110" s="14">
        <f>IF(VENTAS[[#This Row],[Nombre del Gestor]]&gt;1,VENTAS[[#This Row],[Total]]*10%,0)</f>
        <v>0</v>
      </c>
      <c r="K110" s="14">
        <f>IFERROR(VLOOKUP(VENTAS[[#This Row],[Código del producto Vendido]],STOCK[],16,FALSE)*VENTAS[[#This Row],[Cantidad]]+VLOOKUP(VENTAS[[#This Row],[Código del producto Vendido]],STOCK[],19,FALSE)*VENTAS[[#This Row],[Cantidad]],VENTAS[[#This Row],[Total]])</f>
        <v>10.0533333333333</v>
      </c>
      <c r="L110" s="14">
        <f>VENTAS[[#This Row],[Total]]-VENTAS[[#This Row],[Comisión 10%]]-VENTAS[[#This Row],[Costo SIN Comision]]</f>
        <v>7.94666666666666</v>
      </c>
      <c r="M110" s="14"/>
    </row>
    <row r="111" ht="20" hidden="1" customHeight="1" spans="1:13">
      <c r="A111" s="10"/>
      <c r="B111" s="11" t="s">
        <v>4059</v>
      </c>
      <c r="C111" s="11"/>
      <c r="D111" s="11"/>
      <c r="E111" s="11" t="s">
        <v>4069</v>
      </c>
      <c r="F111" s="11" t="str">
        <f>IFERROR(VLOOKUP(VENTAS[[#This Row],[Código del producto Vendido]],STOCK[],5,FALSE),"-")</f>
        <v>-</v>
      </c>
      <c r="G111" s="11">
        <v>2</v>
      </c>
      <c r="H111" s="14">
        <v>14</v>
      </c>
      <c r="I111" s="14">
        <f>VENTAS[[#This Row],[Cantidad]]*VENTAS[[#This Row],[Precio Venta]]</f>
        <v>28</v>
      </c>
      <c r="J111" s="14">
        <f>IF(VENTAS[[#This Row],[Nombre del Gestor]]&gt;1,VENTAS[[#This Row],[Total]]*10%,0)</f>
        <v>0</v>
      </c>
      <c r="K111" s="14">
        <f>IFERROR(VLOOKUP(VENTAS[[#This Row],[Código del producto Vendido]],STOCK[],16,FALSE)*VENTAS[[#This Row],[Cantidad]]+VLOOKUP(VENTAS[[#This Row],[Código del producto Vendido]],STOCK[],19,FALSE)*VENTAS[[#This Row],[Cantidad]],VENTAS[[#This Row],[Total]])</f>
        <v>28</v>
      </c>
      <c r="L111" s="14">
        <f>VENTAS[[#This Row],[Total]]-VENTAS[[#This Row],[Comisión 10%]]-VENTAS[[#This Row],[Costo SIN Comision]]</f>
        <v>0</v>
      </c>
      <c r="M111" s="14"/>
    </row>
    <row r="112" ht="20" hidden="1" customHeight="1" spans="1:13">
      <c r="A112" s="10"/>
      <c r="B112" s="11" t="s">
        <v>4059</v>
      </c>
      <c r="C112" s="11"/>
      <c r="D112" s="11"/>
      <c r="E112" s="11" t="s">
        <v>590</v>
      </c>
      <c r="F112" s="11" t="str">
        <f>IFERROR(VLOOKUP(VENTAS[[#This Row],[Código del producto Vendido]],STOCK[],5,FALSE),"-")</f>
        <v>SHEIN SXY Top corto con nudo con abertura de manga farol_S</v>
      </c>
      <c r="G112" s="11">
        <v>1</v>
      </c>
      <c r="H112" s="14">
        <v>9</v>
      </c>
      <c r="I112" s="14">
        <f>VENTAS[[#This Row],[Cantidad]]*VENTAS[[#This Row],[Precio Venta]]</f>
        <v>9</v>
      </c>
      <c r="J112" s="14">
        <f>IF(VENTAS[[#This Row],[Nombre del Gestor]]&gt;1,VENTAS[[#This Row],[Total]]*10%,0)</f>
        <v>0</v>
      </c>
      <c r="K112" s="14">
        <f>IFERROR(VLOOKUP(VENTAS[[#This Row],[Código del producto Vendido]],STOCK[],16,FALSE)*VENTAS[[#This Row],[Cantidad]]+VLOOKUP(VENTAS[[#This Row],[Código del producto Vendido]],STOCK[],19,FALSE)*VENTAS[[#This Row],[Cantidad]],VENTAS[[#This Row],[Total]])</f>
        <v>5.735</v>
      </c>
      <c r="L112" s="14">
        <f>VENTAS[[#This Row],[Total]]-VENTAS[[#This Row],[Comisión 10%]]-VENTAS[[#This Row],[Costo SIN Comision]]</f>
        <v>3.265</v>
      </c>
      <c r="M112" s="14"/>
    </row>
    <row r="113" ht="20" hidden="1" customHeight="1" spans="1:13">
      <c r="A113" s="10"/>
      <c r="B113" s="11" t="s">
        <v>4059</v>
      </c>
      <c r="C113" s="11"/>
      <c r="D113" s="11"/>
      <c r="E113" s="11" t="s">
        <v>592</v>
      </c>
      <c r="F113" s="11" t="str">
        <f>IFERROR(VLOOKUP(VENTAS[[#This Row],[Código del producto Vendido]],STOCK[],5,FALSE),"-")</f>
        <v>SHEIN SXY Top corto con nudo con abertura de manga farol_M</v>
      </c>
      <c r="G113" s="11">
        <v>3</v>
      </c>
      <c r="H113" s="14">
        <v>9</v>
      </c>
      <c r="I113" s="14">
        <f>VENTAS[[#This Row],[Cantidad]]*VENTAS[[#This Row],[Precio Venta]]</f>
        <v>27</v>
      </c>
      <c r="J113" s="14">
        <f>IF(VENTAS[[#This Row],[Nombre del Gestor]]&gt;1,VENTAS[[#This Row],[Total]]*10%,0)</f>
        <v>0</v>
      </c>
      <c r="K113" s="14">
        <f>IFERROR(VLOOKUP(VENTAS[[#This Row],[Código del producto Vendido]],STOCK[],16,FALSE)*VENTAS[[#This Row],[Cantidad]]+VLOOKUP(VENTAS[[#This Row],[Código del producto Vendido]],STOCK[],19,FALSE)*VENTAS[[#This Row],[Cantidad]],VENTAS[[#This Row],[Total]])</f>
        <v>17.205</v>
      </c>
      <c r="L113" s="14">
        <f>VENTAS[[#This Row],[Total]]-VENTAS[[#This Row],[Comisión 10%]]-VENTAS[[#This Row],[Costo SIN Comision]]</f>
        <v>9.795</v>
      </c>
      <c r="M113" s="14"/>
    </row>
    <row r="114" ht="20" hidden="1" customHeight="1" spans="1:13">
      <c r="A114" s="10"/>
      <c r="B114" s="11" t="s">
        <v>4059</v>
      </c>
      <c r="C114" s="11"/>
      <c r="D114" s="11"/>
      <c r="E114" s="11" t="s">
        <v>666</v>
      </c>
      <c r="F114" s="11" t="str">
        <f>IFERROR(VLOOKUP(VENTAS[[#This Row],[Código del producto Vendido]],STOCK[],5,FALSE),"-")</f>
        <v>SHEIN SXY Camiseta con abertura de malla_M</v>
      </c>
      <c r="G114" s="11">
        <v>3</v>
      </c>
      <c r="H114" s="14">
        <v>10</v>
      </c>
      <c r="I114" s="14">
        <f>VENTAS[[#This Row],[Cantidad]]*VENTAS[[#This Row],[Precio Venta]]</f>
        <v>30</v>
      </c>
      <c r="J114" s="14">
        <f>IF(VENTAS[[#This Row],[Nombre del Gestor]]&gt;1,VENTAS[[#This Row],[Total]]*10%,0)</f>
        <v>0</v>
      </c>
      <c r="K114" s="14">
        <f>IFERROR(VLOOKUP(VENTAS[[#This Row],[Código del producto Vendido]],STOCK[],16,FALSE)*VENTAS[[#This Row],[Cantidad]]+VLOOKUP(VENTAS[[#This Row],[Código del producto Vendido]],STOCK[],19,FALSE)*VENTAS[[#This Row],[Cantidad]],VENTAS[[#This Row],[Total]])</f>
        <v>16.33</v>
      </c>
      <c r="L114" s="14">
        <f>VENTAS[[#This Row],[Total]]-VENTAS[[#This Row],[Comisión 10%]]-VENTAS[[#This Row],[Costo SIN Comision]]</f>
        <v>13.67</v>
      </c>
      <c r="M114" s="14"/>
    </row>
    <row r="115" ht="20" hidden="1" customHeight="1" spans="1:13">
      <c r="A115" s="10"/>
      <c r="B115" s="11" t="s">
        <v>4059</v>
      </c>
      <c r="C115" s="11"/>
      <c r="D115" s="11"/>
      <c r="E115" s="11" t="s">
        <v>668</v>
      </c>
      <c r="F115" s="11" t="str">
        <f>IFERROR(VLOOKUP(VENTAS[[#This Row],[Código del producto Vendido]],STOCK[],5,FALSE),"-")</f>
        <v>SHEIN SXY Camiseta con abertura de malla_S</v>
      </c>
      <c r="G115" s="11">
        <v>3</v>
      </c>
      <c r="H115" s="14">
        <v>10</v>
      </c>
      <c r="I115" s="14">
        <f>VENTAS[[#This Row],[Cantidad]]*VENTAS[[#This Row],[Precio Venta]]</f>
        <v>30</v>
      </c>
      <c r="J115" s="14">
        <f>IF(VENTAS[[#This Row],[Nombre del Gestor]]&gt;1,VENTAS[[#This Row],[Total]]*10%,0)</f>
        <v>0</v>
      </c>
      <c r="K115" s="14">
        <f>IFERROR(VLOOKUP(VENTAS[[#This Row],[Código del producto Vendido]],STOCK[],16,FALSE)*VENTAS[[#This Row],[Cantidad]]+VLOOKUP(VENTAS[[#This Row],[Código del producto Vendido]],STOCK[],19,FALSE)*VENTAS[[#This Row],[Cantidad]],VENTAS[[#This Row],[Total]])</f>
        <v>16.33</v>
      </c>
      <c r="L115" s="14">
        <f>VENTAS[[#This Row],[Total]]-VENTAS[[#This Row],[Comisión 10%]]-VENTAS[[#This Row],[Costo SIN Comision]]</f>
        <v>13.67</v>
      </c>
      <c r="M115" s="14"/>
    </row>
    <row r="116" ht="20" hidden="1" customHeight="1" spans="1:13">
      <c r="A116" s="10"/>
      <c r="B116" s="11" t="s">
        <v>4059</v>
      </c>
      <c r="C116" s="11"/>
      <c r="D116" s="11"/>
      <c r="E116" s="11" t="s">
        <v>670</v>
      </c>
      <c r="F116" s="11" t="str">
        <f>IFERROR(VLOOKUP(VENTAS[[#This Row],[Código del producto Vendido]],STOCK[],5,FALSE),"-")</f>
        <v>SHEIN SXY Camiseta con abertura de malla_XS</v>
      </c>
      <c r="G116" s="11">
        <v>3</v>
      </c>
      <c r="H116" s="14">
        <v>9</v>
      </c>
      <c r="I116" s="14">
        <f>VENTAS[[#This Row],[Cantidad]]*VENTAS[[#This Row],[Precio Venta]]</f>
        <v>27</v>
      </c>
      <c r="J116" s="14">
        <f>IF(VENTAS[[#This Row],[Nombre del Gestor]]&gt;1,VENTAS[[#This Row],[Total]]*10%,0)</f>
        <v>0</v>
      </c>
      <c r="K116" s="14">
        <f>IFERROR(VLOOKUP(VENTAS[[#This Row],[Código del producto Vendido]],STOCK[],16,FALSE)*VENTAS[[#This Row],[Cantidad]]+VLOOKUP(VENTAS[[#This Row],[Código del producto Vendido]],STOCK[],19,FALSE)*VENTAS[[#This Row],[Cantidad]],VENTAS[[#This Row],[Total]])</f>
        <v>16.33</v>
      </c>
      <c r="L116" s="14">
        <f>VENTAS[[#This Row],[Total]]-VENTAS[[#This Row],[Comisión 10%]]-VENTAS[[#This Row],[Costo SIN Comision]]</f>
        <v>10.67</v>
      </c>
      <c r="M116" s="14"/>
    </row>
    <row r="117" ht="20" hidden="1" customHeight="1" spans="1:13">
      <c r="A117" s="10"/>
      <c r="B117" s="11" t="s">
        <v>4059</v>
      </c>
      <c r="C117" s="11"/>
      <c r="D117" s="11"/>
      <c r="E117" s="11" t="s">
        <v>4070</v>
      </c>
      <c r="F117" s="11" t="str">
        <f>IFERROR(VLOOKUP(VENTAS[[#This Row],[Código del producto Vendido]],STOCK[],5,FALSE),"-")</f>
        <v>-</v>
      </c>
      <c r="G117" s="11">
        <v>1</v>
      </c>
      <c r="H117" s="14">
        <v>9</v>
      </c>
      <c r="I117" s="14">
        <f>VENTAS[[#This Row],[Cantidad]]*VENTAS[[#This Row],[Precio Venta]]</f>
        <v>9</v>
      </c>
      <c r="J117" s="14">
        <f>IF(VENTAS[[#This Row],[Nombre del Gestor]]&gt;1,VENTAS[[#This Row],[Total]]*10%,0)</f>
        <v>0</v>
      </c>
      <c r="K117" s="14">
        <f>IFERROR(VLOOKUP(VENTAS[[#This Row],[Código del producto Vendido]],STOCK[],16,FALSE)*VENTAS[[#This Row],[Cantidad]]+VLOOKUP(VENTAS[[#This Row],[Código del producto Vendido]],STOCK[],19,FALSE)*VENTAS[[#This Row],[Cantidad]],VENTAS[[#This Row],[Total]])</f>
        <v>9</v>
      </c>
      <c r="L117" s="14">
        <f>VENTAS[[#This Row],[Total]]-VENTAS[[#This Row],[Comisión 10%]]-VENTAS[[#This Row],[Costo SIN Comision]]</f>
        <v>0</v>
      </c>
      <c r="M117" s="14"/>
    </row>
    <row r="118" ht="20" hidden="1" customHeight="1" spans="1:13">
      <c r="A118" s="10"/>
      <c r="B118" s="11" t="s">
        <v>4059</v>
      </c>
      <c r="C118" s="11"/>
      <c r="D118" s="11"/>
      <c r="E118" s="11" t="s">
        <v>4071</v>
      </c>
      <c r="F118" s="11" t="str">
        <f>IFERROR(VLOOKUP(VENTAS[[#This Row],[Código del producto Vendido]],STOCK[],5,FALSE),"-")</f>
        <v>-</v>
      </c>
      <c r="G118" s="11">
        <v>1</v>
      </c>
      <c r="H118" s="14">
        <v>10</v>
      </c>
      <c r="I118" s="14">
        <f>VENTAS[[#This Row],[Cantidad]]*VENTAS[[#This Row],[Precio Venta]]</f>
        <v>10</v>
      </c>
      <c r="J118" s="14">
        <f>IF(VENTAS[[#This Row],[Nombre del Gestor]]&gt;1,VENTAS[[#This Row],[Total]]*10%,0)</f>
        <v>0</v>
      </c>
      <c r="K118" s="14">
        <f>IFERROR(VLOOKUP(VENTAS[[#This Row],[Código del producto Vendido]],STOCK[],16,FALSE)*VENTAS[[#This Row],[Cantidad]]+VLOOKUP(VENTAS[[#This Row],[Código del producto Vendido]],STOCK[],19,FALSE)*VENTAS[[#This Row],[Cantidad]],VENTAS[[#This Row],[Total]])</f>
        <v>10</v>
      </c>
      <c r="L118" s="14">
        <f>VENTAS[[#This Row],[Total]]-VENTAS[[#This Row],[Comisión 10%]]-VENTAS[[#This Row],[Costo SIN Comision]]</f>
        <v>0</v>
      </c>
      <c r="M118" s="14"/>
    </row>
    <row r="119" ht="20" hidden="1" customHeight="1" spans="1:13">
      <c r="A119" s="10"/>
      <c r="B119" s="11" t="s">
        <v>4059</v>
      </c>
      <c r="C119" s="11"/>
      <c r="D119" s="11"/>
      <c r="E119" s="11" t="s">
        <v>4072</v>
      </c>
      <c r="F119" s="11" t="str">
        <f>IFERROR(VLOOKUP(VENTAS[[#This Row],[Código del producto Vendido]],STOCK[],5,FALSE),"-")</f>
        <v>-</v>
      </c>
      <c r="G119" s="11">
        <v>2</v>
      </c>
      <c r="H119" s="14">
        <v>9</v>
      </c>
      <c r="I119" s="14">
        <f>VENTAS[[#This Row],[Cantidad]]*VENTAS[[#This Row],[Precio Venta]]</f>
        <v>18</v>
      </c>
      <c r="J119" s="14">
        <f>IF(VENTAS[[#This Row],[Nombre del Gestor]]&gt;1,VENTAS[[#This Row],[Total]]*10%,0)</f>
        <v>0</v>
      </c>
      <c r="K119" s="14">
        <f>IFERROR(VLOOKUP(VENTAS[[#This Row],[Código del producto Vendido]],STOCK[],16,FALSE)*VENTAS[[#This Row],[Cantidad]]+VLOOKUP(VENTAS[[#This Row],[Código del producto Vendido]],STOCK[],19,FALSE)*VENTAS[[#This Row],[Cantidad]],VENTAS[[#This Row],[Total]])</f>
        <v>18</v>
      </c>
      <c r="L119" s="14">
        <f>VENTAS[[#This Row],[Total]]-VENTAS[[#This Row],[Comisión 10%]]-VENTAS[[#This Row],[Costo SIN Comision]]</f>
        <v>0</v>
      </c>
      <c r="M119" s="14"/>
    </row>
    <row r="120" ht="20" hidden="1" customHeight="1" spans="1:13">
      <c r="A120" s="10"/>
      <c r="B120" s="11" t="s">
        <v>4059</v>
      </c>
      <c r="C120" s="11"/>
      <c r="D120" s="11"/>
      <c r="E120" s="11" t="s">
        <v>4073</v>
      </c>
      <c r="F120" s="11" t="str">
        <f>IFERROR(VLOOKUP(VENTAS[[#This Row],[Código del producto Vendido]],STOCK[],5,FALSE),"-")</f>
        <v>-</v>
      </c>
      <c r="G120" s="11">
        <v>2</v>
      </c>
      <c r="H120" s="14">
        <v>9</v>
      </c>
      <c r="I120" s="14">
        <f>VENTAS[[#This Row],[Cantidad]]*VENTAS[[#This Row],[Precio Venta]]</f>
        <v>18</v>
      </c>
      <c r="J120" s="14">
        <f>IF(VENTAS[[#This Row],[Nombre del Gestor]]&gt;1,VENTAS[[#This Row],[Total]]*10%,0)</f>
        <v>0</v>
      </c>
      <c r="K120" s="14">
        <f>IFERROR(VLOOKUP(VENTAS[[#This Row],[Código del producto Vendido]],STOCK[],16,FALSE)*VENTAS[[#This Row],[Cantidad]]+VLOOKUP(VENTAS[[#This Row],[Código del producto Vendido]],STOCK[],19,FALSE)*VENTAS[[#This Row],[Cantidad]],VENTAS[[#This Row],[Total]])</f>
        <v>18</v>
      </c>
      <c r="L120" s="14">
        <f>VENTAS[[#This Row],[Total]]-VENTAS[[#This Row],[Comisión 10%]]-VENTAS[[#This Row],[Costo SIN Comision]]</f>
        <v>0</v>
      </c>
      <c r="M120" s="14"/>
    </row>
    <row r="121" ht="20" hidden="1" customHeight="1" spans="1:13">
      <c r="A121" s="10"/>
      <c r="B121" s="11" t="s">
        <v>4059</v>
      </c>
      <c r="C121" s="11"/>
      <c r="D121" s="11"/>
      <c r="E121" s="11" t="s">
        <v>616</v>
      </c>
      <c r="F121" s="11" t="str">
        <f>IFERROR(VLOOKUP(VENTAS[[#This Row],[Código del producto Vendido]],STOCK[],5,FALSE),"-")</f>
        <v>Camiseta corta de manga farol</v>
      </c>
      <c r="G121" s="11">
        <v>2</v>
      </c>
      <c r="H121" s="14">
        <v>9</v>
      </c>
      <c r="I121" s="14">
        <f>VENTAS[[#This Row],[Cantidad]]*VENTAS[[#This Row],[Precio Venta]]</f>
        <v>18</v>
      </c>
      <c r="J121" s="14">
        <f>IF(VENTAS[[#This Row],[Nombre del Gestor]]&gt;1,VENTAS[[#This Row],[Total]]*10%,0)</f>
        <v>0</v>
      </c>
      <c r="K121" s="14">
        <f>IFERROR(VLOOKUP(VENTAS[[#This Row],[Código del producto Vendido]],STOCK[],16,FALSE)*VENTAS[[#This Row],[Cantidad]]+VLOOKUP(VENTAS[[#This Row],[Código del producto Vendido]],STOCK[],19,FALSE)*VENTAS[[#This Row],[Cantidad]],VENTAS[[#This Row],[Total]])</f>
        <v>11.47</v>
      </c>
      <c r="L121" s="14">
        <f>VENTAS[[#This Row],[Total]]-VENTAS[[#This Row],[Comisión 10%]]-VENTAS[[#This Row],[Costo SIN Comision]]</f>
        <v>6.53</v>
      </c>
      <c r="M121" s="14"/>
    </row>
    <row r="122" ht="20" hidden="1" customHeight="1" spans="1:13">
      <c r="A122" s="10"/>
      <c r="B122" s="11" t="s">
        <v>4059</v>
      </c>
      <c r="C122" s="11"/>
      <c r="D122" s="11"/>
      <c r="E122" s="11" t="s">
        <v>4074</v>
      </c>
      <c r="F122" s="11" t="str">
        <f>IFERROR(VLOOKUP(VENTAS[[#This Row],[Código del producto Vendido]],STOCK[],5,FALSE),"-")</f>
        <v>-</v>
      </c>
      <c r="G122" s="11">
        <v>1</v>
      </c>
      <c r="H122" s="14">
        <v>9</v>
      </c>
      <c r="I122" s="14">
        <f>VENTAS[[#This Row],[Cantidad]]*VENTAS[[#This Row],[Precio Venta]]</f>
        <v>9</v>
      </c>
      <c r="J122" s="14">
        <f>IF(VENTAS[[#This Row],[Nombre del Gestor]]&gt;1,VENTAS[[#This Row],[Total]]*10%,0)</f>
        <v>0</v>
      </c>
      <c r="K122" s="14">
        <f>IFERROR(VLOOKUP(VENTAS[[#This Row],[Código del producto Vendido]],STOCK[],16,FALSE)*VENTAS[[#This Row],[Cantidad]]+VLOOKUP(VENTAS[[#This Row],[Código del producto Vendido]],STOCK[],19,FALSE)*VENTAS[[#This Row],[Cantidad]],VENTAS[[#This Row],[Total]])</f>
        <v>9</v>
      </c>
      <c r="L122" s="14">
        <f>VENTAS[[#This Row],[Total]]-VENTAS[[#This Row],[Comisión 10%]]-VENTAS[[#This Row],[Costo SIN Comision]]</f>
        <v>0</v>
      </c>
      <c r="M122" s="14"/>
    </row>
    <row r="123" ht="20" hidden="1" customHeight="1" spans="1:13">
      <c r="A123" s="10"/>
      <c r="B123" s="11" t="s">
        <v>4059</v>
      </c>
      <c r="C123" s="11"/>
      <c r="D123" s="11"/>
      <c r="E123" s="11" t="s">
        <v>614</v>
      </c>
      <c r="F123" s="11" t="str">
        <f>IFERROR(VLOOKUP(VENTAS[[#This Row],[Código del producto Vendido]],STOCK[],5,FALSE),"-")</f>
        <v>Camiseta corta de manga farol</v>
      </c>
      <c r="G123" s="11">
        <v>2</v>
      </c>
      <c r="H123" s="14">
        <v>9</v>
      </c>
      <c r="I123" s="14">
        <f>VENTAS[[#This Row],[Cantidad]]*VENTAS[[#This Row],[Precio Venta]]</f>
        <v>18</v>
      </c>
      <c r="J123" s="14">
        <f>IF(VENTAS[[#This Row],[Nombre del Gestor]]&gt;1,VENTAS[[#This Row],[Total]]*10%,0)</f>
        <v>0</v>
      </c>
      <c r="K123" s="14">
        <f>IFERROR(VLOOKUP(VENTAS[[#This Row],[Código del producto Vendido]],STOCK[],16,FALSE)*VENTAS[[#This Row],[Cantidad]]+VLOOKUP(VENTAS[[#This Row],[Código del producto Vendido]],STOCK[],19,FALSE)*VENTAS[[#This Row],[Cantidad]],VENTAS[[#This Row],[Total]])</f>
        <v>11.47</v>
      </c>
      <c r="L123" s="14">
        <f>VENTAS[[#This Row],[Total]]-VENTAS[[#This Row],[Comisión 10%]]-VENTAS[[#This Row],[Costo SIN Comision]]</f>
        <v>6.53</v>
      </c>
      <c r="M123" s="14"/>
    </row>
    <row r="124" ht="20" hidden="1" customHeight="1" spans="1:13">
      <c r="A124" s="10"/>
      <c r="B124" s="11" t="s">
        <v>4059</v>
      </c>
      <c r="C124" s="11"/>
      <c r="D124" s="11"/>
      <c r="E124" s="11" t="s">
        <v>4075</v>
      </c>
      <c r="F124" s="11" t="str">
        <f>IFERROR(VLOOKUP(VENTAS[[#This Row],[Código del producto Vendido]],STOCK[],5,FALSE),"-")</f>
        <v>-</v>
      </c>
      <c r="G124" s="11">
        <v>1</v>
      </c>
      <c r="H124" s="14">
        <v>9</v>
      </c>
      <c r="I124" s="14">
        <f>VENTAS[[#This Row],[Cantidad]]*VENTAS[[#This Row],[Precio Venta]]</f>
        <v>9</v>
      </c>
      <c r="J124" s="14">
        <f>IF(VENTAS[[#This Row],[Nombre del Gestor]]&gt;1,VENTAS[[#This Row],[Total]]*10%,0)</f>
        <v>0</v>
      </c>
      <c r="K124" s="14">
        <f>IFERROR(VLOOKUP(VENTAS[[#This Row],[Código del producto Vendido]],STOCK[],16,FALSE)*VENTAS[[#This Row],[Cantidad]]+VLOOKUP(VENTAS[[#This Row],[Código del producto Vendido]],STOCK[],19,FALSE)*VENTAS[[#This Row],[Cantidad]],VENTAS[[#This Row],[Total]])</f>
        <v>9</v>
      </c>
      <c r="L124" s="14">
        <f>VENTAS[[#This Row],[Total]]-VENTAS[[#This Row],[Comisión 10%]]-VENTAS[[#This Row],[Costo SIN Comision]]</f>
        <v>0</v>
      </c>
      <c r="M124" s="14"/>
    </row>
    <row r="125" ht="20" hidden="1" customHeight="1" spans="1:13">
      <c r="A125" s="10"/>
      <c r="B125" s="11" t="s">
        <v>4059</v>
      </c>
      <c r="C125" s="11"/>
      <c r="D125" s="11"/>
      <c r="E125" s="11" t="s">
        <v>588</v>
      </c>
      <c r="F125" s="11" t="str">
        <f>IFERROR(VLOOKUP(VENTAS[[#This Row],[Código del producto Vendido]],STOCK[],5,FALSE),"-")</f>
        <v>Top corto manga farol</v>
      </c>
      <c r="G125" s="11">
        <v>2</v>
      </c>
      <c r="H125" s="14">
        <v>9</v>
      </c>
      <c r="I125" s="14">
        <f>VENTAS[[#This Row],[Cantidad]]*VENTAS[[#This Row],[Precio Venta]]</f>
        <v>18</v>
      </c>
      <c r="J125" s="14">
        <f>IF(VENTAS[[#This Row],[Nombre del Gestor]]&gt;1,VENTAS[[#This Row],[Total]]*10%,0)</f>
        <v>0</v>
      </c>
      <c r="K125" s="14">
        <f>IFERROR(VLOOKUP(VENTAS[[#This Row],[Código del producto Vendido]],STOCK[],16,FALSE)*VENTAS[[#This Row],[Cantidad]]+VLOOKUP(VENTAS[[#This Row],[Código del producto Vendido]],STOCK[],19,FALSE)*VENTAS[[#This Row],[Cantidad]],VENTAS[[#This Row],[Total]])</f>
        <v>11.47</v>
      </c>
      <c r="L125" s="14">
        <f>VENTAS[[#This Row],[Total]]-VENTAS[[#This Row],[Comisión 10%]]-VENTAS[[#This Row],[Costo SIN Comision]]</f>
        <v>6.53</v>
      </c>
      <c r="M125" s="14"/>
    </row>
    <row r="126" ht="20" hidden="1" customHeight="1" spans="1:13">
      <c r="A126" s="10"/>
      <c r="B126" s="11" t="s">
        <v>4059</v>
      </c>
      <c r="C126" s="11"/>
      <c r="D126" s="11"/>
      <c r="E126" s="11" t="s">
        <v>576</v>
      </c>
      <c r="F126" s="11" t="str">
        <f>IFERROR(VLOOKUP(VENTAS[[#This Row],[Código del producto Vendido]],STOCK[],5,FALSE),"-")</f>
        <v>Top de hombros descubiertos unicolor ribete con fruncido_S</v>
      </c>
      <c r="G126" s="11">
        <v>3</v>
      </c>
      <c r="H126" s="14">
        <v>12</v>
      </c>
      <c r="I126" s="14">
        <f>VENTAS[[#This Row],[Cantidad]]*VENTAS[[#This Row],[Precio Venta]]</f>
        <v>36</v>
      </c>
      <c r="J126" s="14">
        <f>IF(VENTAS[[#This Row],[Nombre del Gestor]]&gt;1,VENTAS[[#This Row],[Total]]*10%,0)</f>
        <v>0</v>
      </c>
      <c r="K126" s="14">
        <f>IFERROR(VLOOKUP(VENTAS[[#This Row],[Código del producto Vendido]],STOCK[],16,FALSE)*VENTAS[[#This Row],[Cantidad]]+VLOOKUP(VENTAS[[#This Row],[Código del producto Vendido]],STOCK[],19,FALSE)*VENTAS[[#This Row],[Cantidad]],VENTAS[[#This Row],[Total]])</f>
        <v>15.275</v>
      </c>
      <c r="L126" s="14">
        <f>VENTAS[[#This Row],[Total]]-VENTAS[[#This Row],[Comisión 10%]]-VENTAS[[#This Row],[Costo SIN Comision]]</f>
        <v>20.725</v>
      </c>
      <c r="M126" s="14"/>
    </row>
    <row r="127" ht="20" hidden="1" customHeight="1" spans="1:13">
      <c r="A127" s="10">
        <v>45045</v>
      </c>
      <c r="B127" s="11"/>
      <c r="C127" s="11" t="s">
        <v>4076</v>
      </c>
      <c r="D127" s="11"/>
      <c r="E127" s="11" t="s">
        <v>54</v>
      </c>
      <c r="F127" s="11" t="str">
        <f>IFERROR(VLOOKUP(VENTAS[[#This Row],[Código del producto Vendido]],STOCK[],5,FALSE),"-")</f>
        <v>Pareo pantalón</v>
      </c>
      <c r="G127" s="11">
        <v>1</v>
      </c>
      <c r="H127" s="14">
        <v>15</v>
      </c>
      <c r="I127" s="14">
        <f>VENTAS[[#This Row],[Cantidad]]*VENTAS[[#This Row],[Precio Venta]]</f>
        <v>15</v>
      </c>
      <c r="J127" s="14">
        <f>IF(VENTAS[[#This Row],[Nombre del Gestor]]&gt;1,VENTAS[[#This Row],[Total]]*10%,0)</f>
        <v>0</v>
      </c>
      <c r="K127" s="14">
        <f>IFERROR(VLOOKUP(VENTAS[[#This Row],[Código del producto Vendido]],STOCK[],16,FALSE)*VENTAS[[#This Row],[Cantidad]]+VLOOKUP(VENTAS[[#This Row],[Código del producto Vendido]],STOCK[],19,FALSE)*VENTAS[[#This Row],[Cantidad]],VENTAS[[#This Row],[Total]])</f>
        <v>10.0633333333333</v>
      </c>
      <c r="L127" s="14">
        <f>VENTAS[[#This Row],[Total]]-VENTAS[[#This Row],[Comisión 10%]]-VENTAS[[#This Row],[Costo SIN Comision]]</f>
        <v>4.93666666666667</v>
      </c>
      <c r="M127" s="14"/>
    </row>
    <row r="128" ht="20" hidden="1" customHeight="1" spans="1:13">
      <c r="A128" s="10">
        <v>45045</v>
      </c>
      <c r="B128" s="11"/>
      <c r="C128" s="11" t="s">
        <v>4077</v>
      </c>
      <c r="D128" s="11"/>
      <c r="E128" s="11" t="s">
        <v>139</v>
      </c>
      <c r="F128" s="11" t="str">
        <f>IFERROR(VLOOKUP(VENTAS[[#This Row],[Código del producto Vendido]],STOCK[],5,FALSE),"-")</f>
        <v>Bañador con estampado de girasol con cover up</v>
      </c>
      <c r="G128" s="11">
        <v>1</v>
      </c>
      <c r="H128" s="14">
        <v>20</v>
      </c>
      <c r="I128" s="14">
        <f>VENTAS[[#This Row],[Cantidad]]*VENTAS[[#This Row],[Precio Venta]]</f>
        <v>20</v>
      </c>
      <c r="J128" s="14">
        <f>IF(VENTAS[[#This Row],[Nombre del Gestor]]&gt;1,VENTAS[[#This Row],[Total]]*10%,0)</f>
        <v>0</v>
      </c>
      <c r="K128" s="14">
        <f>IFERROR(VLOOKUP(VENTAS[[#This Row],[Código del producto Vendido]],STOCK[],16,FALSE)*VENTAS[[#This Row],[Cantidad]]+VLOOKUP(VENTAS[[#This Row],[Código del producto Vendido]],STOCK[],19,FALSE)*VENTAS[[#This Row],[Cantidad]],VENTAS[[#This Row],[Total]])</f>
        <v>12.805</v>
      </c>
      <c r="L128" s="14">
        <f>VENTAS[[#This Row],[Total]]-VENTAS[[#This Row],[Comisión 10%]]-VENTAS[[#This Row],[Costo SIN Comision]]</f>
        <v>7.195</v>
      </c>
      <c r="M128" s="14"/>
    </row>
    <row r="129" ht="20" hidden="1" customHeight="1" spans="1:13">
      <c r="A129" s="10">
        <v>45045</v>
      </c>
      <c r="B129" s="11"/>
      <c r="C129" s="11" t="s">
        <v>4078</v>
      </c>
      <c r="D129" s="11"/>
      <c r="E129" s="11" t="s">
        <v>625</v>
      </c>
      <c r="F129" s="11" t="str">
        <f>IFERROR(VLOOKUP(VENTAS[[#This Row],[Código del producto Vendido]],STOCK[],5,FALSE),"-")</f>
        <v>Vestido pecho con fruncido cruzado cintura con estampado floral_L</v>
      </c>
      <c r="G129" s="11">
        <v>1</v>
      </c>
      <c r="H129" s="14">
        <v>15</v>
      </c>
      <c r="I129" s="14">
        <f>VENTAS[[#This Row],[Cantidad]]*VENTAS[[#This Row],[Precio Venta]]</f>
        <v>15</v>
      </c>
      <c r="J129" s="14">
        <f>IF(VENTAS[[#This Row],[Nombre del Gestor]]&gt;1,VENTAS[[#This Row],[Total]]*10%,0)</f>
        <v>0</v>
      </c>
      <c r="K129" s="14">
        <f>IFERROR(VLOOKUP(VENTAS[[#This Row],[Código del producto Vendido]],STOCK[],16,FALSE)*VENTAS[[#This Row],[Cantidad]]+VLOOKUP(VENTAS[[#This Row],[Código del producto Vendido]],STOCK[],19,FALSE)*VENTAS[[#This Row],[Cantidad]],VENTAS[[#This Row],[Total]])</f>
        <v>10.7222222222222</v>
      </c>
      <c r="L129" s="14">
        <f>VENTAS[[#This Row],[Total]]-VENTAS[[#This Row],[Comisión 10%]]-VENTAS[[#This Row],[Costo SIN Comision]]</f>
        <v>4.27777777777778</v>
      </c>
      <c r="M129" s="14"/>
    </row>
    <row r="130" ht="20" hidden="1" customHeight="1" spans="1:13">
      <c r="A130" s="10">
        <v>45045</v>
      </c>
      <c r="B130" s="11"/>
      <c r="C130" s="11" t="s">
        <v>4079</v>
      </c>
      <c r="D130" s="11"/>
      <c r="E130" s="11" t="s">
        <v>602</v>
      </c>
      <c r="F130" s="11" t="str">
        <f>IFERROR(VLOOKUP(VENTAS[[#This Row],[Código del producto Vendido]],STOCK[],5,FALSE),"-")</f>
        <v>Vestido floral de mangas farol</v>
      </c>
      <c r="G130" s="11">
        <v>1</v>
      </c>
      <c r="H130" s="14">
        <v>15</v>
      </c>
      <c r="I130" s="14">
        <f>VENTAS[[#This Row],[Cantidad]]*VENTAS[[#This Row],[Precio Venta]]</f>
        <v>15</v>
      </c>
      <c r="J130" s="14">
        <f>IF(VENTAS[[#This Row],[Nombre del Gestor]]&gt;1,VENTAS[[#This Row],[Total]]*10%,0)</f>
        <v>0</v>
      </c>
      <c r="K130" s="14">
        <f>IFERROR(VLOOKUP(VENTAS[[#This Row],[Código del producto Vendido]],STOCK[],16,FALSE)*VENTAS[[#This Row],[Cantidad]]+VLOOKUP(VENTAS[[#This Row],[Código del producto Vendido]],STOCK[],19,FALSE)*VENTAS[[#This Row],[Cantidad]],VENTAS[[#This Row],[Total]])</f>
        <v>10.7222222222222</v>
      </c>
      <c r="L130" s="14">
        <f>VENTAS[[#This Row],[Total]]-VENTAS[[#This Row],[Comisión 10%]]-VENTAS[[#This Row],[Costo SIN Comision]]</f>
        <v>4.27777777777778</v>
      </c>
      <c r="M130" s="14"/>
    </row>
    <row r="131" ht="20" hidden="1" customHeight="1" spans="1:13">
      <c r="A131" s="10">
        <v>45045</v>
      </c>
      <c r="B131" s="11"/>
      <c r="C131" s="11" t="s">
        <v>4080</v>
      </c>
      <c r="D131" s="11"/>
      <c r="E131" s="11" t="s">
        <v>643</v>
      </c>
      <c r="F131" s="11" t="str">
        <f>IFERROR(VLOOKUP(VENTAS[[#This Row],[Código del producto Vendido]],STOCK[],5,FALSE),"-")</f>
        <v>Vestido floral de manga farol escote corazón con cordón lateral_S</v>
      </c>
      <c r="G131" s="11">
        <v>1</v>
      </c>
      <c r="H131" s="14">
        <v>15</v>
      </c>
      <c r="I131" s="14">
        <f>VENTAS[[#This Row],[Cantidad]]*VENTAS[[#This Row],[Precio Venta]]</f>
        <v>15</v>
      </c>
      <c r="J131" s="14">
        <f>IF(VENTAS[[#This Row],[Nombre del Gestor]]&gt;1,VENTAS[[#This Row],[Total]]*10%,0)</f>
        <v>0</v>
      </c>
      <c r="K131" s="14">
        <f>IFERROR(VLOOKUP(VENTAS[[#This Row],[Código del producto Vendido]],STOCK[],16,FALSE)*VENTAS[[#This Row],[Cantidad]]+VLOOKUP(VENTAS[[#This Row],[Código del producto Vendido]],STOCK[],19,FALSE)*VENTAS[[#This Row],[Cantidad]],VENTAS[[#This Row],[Total]])</f>
        <v>10.7222222222222</v>
      </c>
      <c r="L131" s="14">
        <f>VENTAS[[#This Row],[Total]]-VENTAS[[#This Row],[Comisión 10%]]-VENTAS[[#This Row],[Costo SIN Comision]]</f>
        <v>4.27777777777778</v>
      </c>
      <c r="M131" s="14"/>
    </row>
    <row r="132" ht="20" hidden="1" customHeight="1" spans="1:13">
      <c r="A132" s="10"/>
      <c r="B132" s="11" t="s">
        <v>4059</v>
      </c>
      <c r="C132" s="11"/>
      <c r="D132" s="11"/>
      <c r="E132" s="11" t="s">
        <v>723</v>
      </c>
      <c r="F132" s="11" t="str">
        <f>IFERROR(VLOOKUP(VENTAS[[#This Row],[Código del producto Vendido]],STOCK[],5,FALSE),"-")</f>
        <v>Top acanalado sin mangas</v>
      </c>
      <c r="G132" s="11">
        <v>5</v>
      </c>
      <c r="H132" s="14">
        <v>9</v>
      </c>
      <c r="I132" s="14">
        <f>VENTAS[[#This Row],[Cantidad]]*VENTAS[[#This Row],[Precio Venta]]</f>
        <v>45</v>
      </c>
      <c r="J132" s="14">
        <f>IF(VENTAS[[#This Row],[Nombre del Gestor]]&gt;1,VENTAS[[#This Row],[Total]]*10%,0)</f>
        <v>0</v>
      </c>
      <c r="K132" s="14">
        <f>IFERROR(VLOOKUP(VENTAS[[#This Row],[Código del producto Vendido]],STOCK[],16,FALSE)*VENTAS[[#This Row],[Cantidad]]+VLOOKUP(VENTAS[[#This Row],[Código del producto Vendido]],STOCK[],19,FALSE)*VENTAS[[#This Row],[Cantidad]],VENTAS[[#This Row],[Total]])</f>
        <v>25.1111111111111</v>
      </c>
      <c r="L132" s="14">
        <f>VENTAS[[#This Row],[Total]]-VENTAS[[#This Row],[Comisión 10%]]-VENTAS[[#This Row],[Costo SIN Comision]]</f>
        <v>19.8888888888889</v>
      </c>
      <c r="M132" s="14"/>
    </row>
    <row r="133" ht="20" hidden="1" customHeight="1" spans="1:13">
      <c r="A133" s="10"/>
      <c r="B133" s="11" t="s">
        <v>4059</v>
      </c>
      <c r="C133" s="11"/>
      <c r="D133" s="11"/>
      <c r="E133" s="11" t="s">
        <v>728</v>
      </c>
      <c r="F133" s="11" t="str">
        <f>IFERROR(VLOOKUP(VENTAS[[#This Row],[Código del producto Vendido]],STOCK[],5,FALSE),"-")</f>
        <v>Top acanalado sin mangas</v>
      </c>
      <c r="G133" s="11">
        <v>5</v>
      </c>
      <c r="H133" s="14">
        <v>9</v>
      </c>
      <c r="I133" s="14">
        <f>VENTAS[[#This Row],[Cantidad]]*VENTAS[[#This Row],[Precio Venta]]</f>
        <v>45</v>
      </c>
      <c r="J133" s="14">
        <f>IF(VENTAS[[#This Row],[Nombre del Gestor]]&gt;1,VENTAS[[#This Row],[Total]]*10%,0)</f>
        <v>0</v>
      </c>
      <c r="K133" s="14">
        <f>IFERROR(VLOOKUP(VENTAS[[#This Row],[Código del producto Vendido]],STOCK[],16,FALSE)*VENTAS[[#This Row],[Cantidad]]+VLOOKUP(VENTAS[[#This Row],[Código del producto Vendido]],STOCK[],19,FALSE)*VENTAS[[#This Row],[Cantidad]],VENTAS[[#This Row],[Total]])</f>
        <v>25.1111111111111</v>
      </c>
      <c r="L133" s="14">
        <f>VENTAS[[#This Row],[Total]]-VENTAS[[#This Row],[Comisión 10%]]-VENTAS[[#This Row],[Costo SIN Comision]]</f>
        <v>19.8888888888889</v>
      </c>
      <c r="M133" s="14"/>
    </row>
    <row r="134" ht="20" hidden="1" customHeight="1" spans="1:13">
      <c r="A134" s="10">
        <v>45047</v>
      </c>
      <c r="B134" s="11"/>
      <c r="C134" s="11" t="s">
        <v>4081</v>
      </c>
      <c r="D134" s="11"/>
      <c r="E134" s="11" t="s">
        <v>128</v>
      </c>
      <c r="F134" s="11" t="str">
        <f>IFERROR(VLOOKUP(VENTAS[[#This Row],[Código del producto Vendido]],STOCK[],5,FALSE),"-")</f>
        <v>Bañador chicas con estampado de letra con cremallera</v>
      </c>
      <c r="G134" s="11">
        <v>1</v>
      </c>
      <c r="H134" s="14">
        <v>20</v>
      </c>
      <c r="I134" s="14">
        <f>VENTAS[[#This Row],[Cantidad]]*VENTAS[[#This Row],[Precio Venta]]</f>
        <v>20</v>
      </c>
      <c r="J134" s="14">
        <f>IF(VENTAS[[#This Row],[Nombre del Gestor]]&gt;1,VENTAS[[#This Row],[Total]]*10%,0)</f>
        <v>0</v>
      </c>
      <c r="K134" s="14">
        <f>IFERROR(VLOOKUP(VENTAS[[#This Row],[Código del producto Vendido]],STOCK[],16,FALSE)*VENTAS[[#This Row],[Cantidad]]+VLOOKUP(VENTAS[[#This Row],[Código del producto Vendido]],STOCK[],19,FALSE)*VENTAS[[#This Row],[Cantidad]],VENTAS[[#This Row],[Total]])</f>
        <v>14.7661111111111</v>
      </c>
      <c r="L134" s="14">
        <f>VENTAS[[#This Row],[Total]]-VENTAS[[#This Row],[Comisión 10%]]-VENTAS[[#This Row],[Costo SIN Comision]]</f>
        <v>5.2338888888889</v>
      </c>
      <c r="M134" s="14"/>
    </row>
    <row r="135" ht="20" hidden="1" customHeight="1" spans="1:13">
      <c r="A135" s="10">
        <v>45047</v>
      </c>
      <c r="B135" s="11"/>
      <c r="C135" s="11" t="s">
        <v>4081</v>
      </c>
      <c r="D135" s="11"/>
      <c r="E135" s="11" t="s">
        <v>95</v>
      </c>
      <c r="F135" s="11" t="str">
        <f>IFERROR(VLOOKUP(VENTAS[[#This Row],[Código del producto Vendido]],STOCK[],5,FALSE),"-")</f>
        <v>Sets de Bikini Casual</v>
      </c>
      <c r="G135" s="11">
        <v>1</v>
      </c>
      <c r="H135" s="14">
        <v>25</v>
      </c>
      <c r="I135" s="14">
        <f>VENTAS[[#This Row],[Cantidad]]*VENTAS[[#This Row],[Precio Venta]]</f>
        <v>25</v>
      </c>
      <c r="J135" s="14">
        <f>IF(VENTAS[[#This Row],[Nombre del Gestor]]&gt;1,VENTAS[[#This Row],[Total]]*10%,0)</f>
        <v>0</v>
      </c>
      <c r="K135" s="14">
        <f>IFERROR(VLOOKUP(VENTAS[[#This Row],[Código del producto Vendido]],STOCK[],16,FALSE)*VENTAS[[#This Row],[Cantidad]]+VLOOKUP(VENTAS[[#This Row],[Código del producto Vendido]],STOCK[],19,FALSE)*VENTAS[[#This Row],[Cantidad]],VENTAS[[#This Row],[Total]])</f>
        <v>14.4261111111111</v>
      </c>
      <c r="L135" s="14">
        <f>VENTAS[[#This Row],[Total]]-VENTAS[[#This Row],[Comisión 10%]]-VENTAS[[#This Row],[Costo SIN Comision]]</f>
        <v>10.5738888888889</v>
      </c>
      <c r="M135" s="14"/>
    </row>
    <row r="136" s="2" customFormat="1" ht="20" hidden="1" customHeight="1" spans="1:13">
      <c r="A136" s="19">
        <v>45047</v>
      </c>
      <c r="B136" s="20"/>
      <c r="C136" s="20" t="s">
        <v>4082</v>
      </c>
      <c r="D136" s="20"/>
      <c r="E136" s="20" t="s">
        <v>619</v>
      </c>
      <c r="F136" s="20" t="str">
        <f>IFERROR(VLOOKUP(VENTAS[[#This Row],[Código del producto Vendido]],STOCK[],5,FALSE),"-")</f>
        <v>Vestido pecho con fruncido </v>
      </c>
      <c r="G136" s="20">
        <v>1</v>
      </c>
      <c r="H136" s="22">
        <v>15</v>
      </c>
      <c r="I136" s="14">
        <f>VENTAS[[#This Row],[Cantidad]]*VENTAS[[#This Row],[Precio Venta]]</f>
        <v>15</v>
      </c>
      <c r="J136" s="14">
        <f>IF(VENTAS[[#This Row],[Nombre del Gestor]]&gt;1,VENTAS[[#This Row],[Total]]*10%,0)</f>
        <v>0</v>
      </c>
      <c r="K136" s="14">
        <f>IFERROR(VLOOKUP(VENTAS[[#This Row],[Código del producto Vendido]],STOCK[],16,FALSE)*VENTAS[[#This Row],[Cantidad]]+VLOOKUP(VENTAS[[#This Row],[Código del producto Vendido]],STOCK[],19,FALSE)*VENTAS[[#This Row],[Cantidad]],VENTAS[[#This Row],[Total]])</f>
        <v>10.7222222222222</v>
      </c>
      <c r="L136" s="14">
        <f>VENTAS[[#This Row],[Total]]-VENTAS[[#This Row],[Comisión 10%]]-VENTAS[[#This Row],[Costo SIN Comision]]</f>
        <v>4.27777777777778</v>
      </c>
      <c r="M136" s="22"/>
    </row>
    <row r="137" ht="20" hidden="1" customHeight="1" spans="1:13">
      <c r="A137" s="10"/>
      <c r="B137" s="11"/>
      <c r="C137" s="11"/>
      <c r="D137" s="11"/>
      <c r="E137" s="11" t="s">
        <v>120</v>
      </c>
      <c r="F137" s="11" t="str">
        <f>IFERROR(VLOOKUP(VENTAS[[#This Row],[Código del producto Vendido]],STOCK[],5,FALSE),"-")</f>
        <v>Bañador color combinado con cremallera_S</v>
      </c>
      <c r="G137" s="11">
        <v>1</v>
      </c>
      <c r="H137" s="14">
        <v>25</v>
      </c>
      <c r="I137" s="14">
        <f>VENTAS[[#This Row],[Cantidad]]*VENTAS[[#This Row],[Precio Venta]]</f>
        <v>25</v>
      </c>
      <c r="J137" s="14">
        <f>IF(VENTAS[[#This Row],[Nombre del Gestor]]&gt;1,VENTAS[[#This Row],[Total]]*10%,0)</f>
        <v>0</v>
      </c>
      <c r="K137" s="14">
        <f>IFERROR(VLOOKUP(VENTAS[[#This Row],[Código del producto Vendido]],STOCK[],16,FALSE)*VENTAS[[#This Row],[Cantidad]]+VLOOKUP(VENTAS[[#This Row],[Código del producto Vendido]],STOCK[],19,FALSE)*VENTAS[[#This Row],[Cantidad]],VENTAS[[#This Row],[Total]])</f>
        <v>16.7727777777778</v>
      </c>
      <c r="L137" s="14">
        <f>VENTAS[[#This Row],[Total]]-VENTAS[[#This Row],[Comisión 10%]]-VENTAS[[#This Row],[Costo SIN Comision]]</f>
        <v>8.2272222222222</v>
      </c>
      <c r="M137" s="14"/>
    </row>
    <row r="138" ht="20" hidden="1" customHeight="1" spans="1:13">
      <c r="A138" s="10">
        <v>45048</v>
      </c>
      <c r="B138" s="11"/>
      <c r="C138" s="11"/>
      <c r="D138" s="11"/>
      <c r="E138" s="11" t="s">
        <v>31</v>
      </c>
      <c r="F138" s="11" t="str">
        <f>IFERROR(VLOOKUP(VENTAS[[#This Row],[Código del producto Vendido]],STOCK[],5,FALSE),"-")</f>
        <v>Pareo falda </v>
      </c>
      <c r="G138" s="11">
        <v>1</v>
      </c>
      <c r="H138" s="14">
        <v>8</v>
      </c>
      <c r="I138" s="14">
        <f>VENTAS[[#This Row],[Cantidad]]*VENTAS[[#This Row],[Precio Venta]]</f>
        <v>8</v>
      </c>
      <c r="J138" s="14">
        <f>IF(VENTAS[[#This Row],[Nombre del Gestor]]&gt;1,VENTAS[[#This Row],[Total]]*10%,0)</f>
        <v>0</v>
      </c>
      <c r="K138" s="14">
        <f>IFERROR(VLOOKUP(VENTAS[[#This Row],[Código del producto Vendido]],STOCK[],16,FALSE)*VENTAS[[#This Row],[Cantidad]]+VLOOKUP(VENTAS[[#This Row],[Código del producto Vendido]],STOCK[],19,FALSE)*VENTAS[[#This Row],[Cantidad]],VENTAS[[#This Row],[Total]])</f>
        <v>4.33722222222222</v>
      </c>
      <c r="L138" s="14">
        <f>VENTAS[[#This Row],[Total]]-VENTAS[[#This Row],[Comisión 10%]]-VENTAS[[#This Row],[Costo SIN Comision]]</f>
        <v>3.66277777777778</v>
      </c>
      <c r="M138" s="14"/>
    </row>
    <row r="139" ht="20" hidden="1" customHeight="1" spans="1:13">
      <c r="A139" s="10">
        <v>45048</v>
      </c>
      <c r="B139" s="11"/>
      <c r="C139" s="11"/>
      <c r="D139" s="11"/>
      <c r="E139" s="11" t="s">
        <v>111</v>
      </c>
      <c r="F139" s="11" t="str">
        <f>IFERROR(VLOOKUP(VENTAS[[#This Row],[Código del producto Vendido]],STOCK[],5,FALSE),"-")</f>
        <v>Bañador de zíper en color combinado</v>
      </c>
      <c r="G139" s="11">
        <v>1</v>
      </c>
      <c r="H139" s="14">
        <v>25</v>
      </c>
      <c r="I139" s="14">
        <f>VENTAS[[#This Row],[Cantidad]]*VENTAS[[#This Row],[Precio Venta]]</f>
        <v>25</v>
      </c>
      <c r="J139" s="14">
        <f>IF(VENTAS[[#This Row],[Nombre del Gestor]]&gt;1,VENTAS[[#This Row],[Total]]*10%,0)</f>
        <v>0</v>
      </c>
      <c r="K139" s="14">
        <f>IFERROR(VLOOKUP(VENTAS[[#This Row],[Código del producto Vendido]],STOCK[],16,FALSE)*VENTAS[[#This Row],[Cantidad]]+VLOOKUP(VENTAS[[#This Row],[Código del producto Vendido]],STOCK[],19,FALSE)*VENTAS[[#This Row],[Cantidad]],VENTAS[[#This Row],[Total]])</f>
        <v>19.1588888888889</v>
      </c>
      <c r="L139" s="14">
        <f>VENTAS[[#This Row],[Total]]-VENTAS[[#This Row],[Comisión 10%]]-VENTAS[[#This Row],[Costo SIN Comision]]</f>
        <v>5.8411111111111</v>
      </c>
      <c r="M139" s="14"/>
    </row>
    <row r="140" ht="20" hidden="1" customHeight="1" spans="1:13">
      <c r="A140" s="10">
        <v>45048</v>
      </c>
      <c r="B140" s="11"/>
      <c r="C140" s="11"/>
      <c r="D140" s="11"/>
      <c r="E140" s="11" t="s">
        <v>124</v>
      </c>
      <c r="F140" s="11" t="str">
        <f>IFERROR(VLOOKUP(VENTAS[[#This Row],[Código del producto Vendido]],STOCK[],5,FALSE),"-")</f>
        <v>Bikini chicas estampado tropical</v>
      </c>
      <c r="G140" s="11">
        <v>1</v>
      </c>
      <c r="H140" s="14">
        <v>20</v>
      </c>
      <c r="I140" s="14">
        <f>VENTAS[[#This Row],[Cantidad]]*VENTAS[[#This Row],[Precio Venta]]</f>
        <v>20</v>
      </c>
      <c r="J140" s="14">
        <f>IF(VENTAS[[#This Row],[Nombre del Gestor]]&gt;1,VENTAS[[#This Row],[Total]]*10%,0)</f>
        <v>0</v>
      </c>
      <c r="K140" s="14">
        <f>IFERROR(VLOOKUP(VENTAS[[#This Row],[Código del producto Vendido]],STOCK[],16,FALSE)*VENTAS[[#This Row],[Cantidad]]+VLOOKUP(VENTAS[[#This Row],[Código del producto Vendido]],STOCK[],19,FALSE)*VENTAS[[#This Row],[Cantidad]],VENTAS[[#This Row],[Total]])</f>
        <v>12.8444444444444</v>
      </c>
      <c r="L140" s="14">
        <f>VENTAS[[#This Row],[Total]]-VENTAS[[#This Row],[Comisión 10%]]-VENTAS[[#This Row],[Costo SIN Comision]]</f>
        <v>7.15555555555556</v>
      </c>
      <c r="M140" s="14"/>
    </row>
    <row r="141" ht="20" hidden="1" customHeight="1" spans="1:13">
      <c r="A141" s="10">
        <v>45051</v>
      </c>
      <c r="B141" s="11"/>
      <c r="C141" s="11" t="s">
        <v>4083</v>
      </c>
      <c r="D141" s="11"/>
      <c r="E141" s="11" t="s">
        <v>104</v>
      </c>
      <c r="F141" s="11" t="str">
        <f>IFERROR(VLOOKUP(VENTAS[[#This Row],[Código del producto Vendido]],STOCK[],5,FALSE),"-")</f>
        <v>Bañador con tira cruzada </v>
      </c>
      <c r="G141" s="11">
        <v>1</v>
      </c>
      <c r="H141" s="14">
        <v>22</v>
      </c>
      <c r="I141" s="14">
        <f>VENTAS[[#This Row],[Cantidad]]*VENTAS[[#This Row],[Precio Venta]]</f>
        <v>22</v>
      </c>
      <c r="J141" s="14">
        <f>IF(VENTAS[[#This Row],[Nombre del Gestor]]&gt;1,VENTAS[[#This Row],[Total]]*10%,0)</f>
        <v>0</v>
      </c>
      <c r="K141" s="14">
        <f>IFERROR(VLOOKUP(VENTAS[[#This Row],[Código del producto Vendido]],STOCK[],16,FALSE)*VENTAS[[#This Row],[Cantidad]]+VLOOKUP(VENTAS[[#This Row],[Código del producto Vendido]],STOCK[],19,FALSE)*VENTAS[[#This Row],[Cantidad]],VENTAS[[#This Row],[Total]])</f>
        <v>14.8283333333333</v>
      </c>
      <c r="L141" s="14">
        <f>VENTAS[[#This Row],[Total]]-VENTAS[[#This Row],[Comisión 10%]]-VENTAS[[#This Row],[Costo SIN Comision]]</f>
        <v>7.1716666666667</v>
      </c>
      <c r="M141" s="14"/>
    </row>
    <row r="142" ht="20" hidden="1" customHeight="1" spans="1:13">
      <c r="A142" s="10">
        <v>45057</v>
      </c>
      <c r="B142" s="11"/>
      <c r="C142" s="11" t="s">
        <v>4084</v>
      </c>
      <c r="D142" s="11"/>
      <c r="E142" s="11" t="s">
        <v>50</v>
      </c>
      <c r="F142" s="11" t="str">
        <f>IFERROR(VLOOKUP(VENTAS[[#This Row],[Código del producto Vendido]],STOCK[],5,FALSE),"-")</f>
        <v>Vestido Camisero Elegante</v>
      </c>
      <c r="G142" s="11">
        <v>1</v>
      </c>
      <c r="H142" s="14">
        <v>30</v>
      </c>
      <c r="I142" s="14">
        <f>VENTAS[[#This Row],[Cantidad]]*VENTAS[[#This Row],[Precio Venta]]</f>
        <v>30</v>
      </c>
      <c r="J142" s="14">
        <f>IF(VENTAS[[#This Row],[Nombre del Gestor]]&gt;1,VENTAS[[#This Row],[Total]]*10%,0)</f>
        <v>0</v>
      </c>
      <c r="K142" s="14">
        <f>IFERROR(VLOOKUP(VENTAS[[#This Row],[Código del producto Vendido]],STOCK[],16,FALSE)*VENTAS[[#This Row],[Cantidad]]+VLOOKUP(VENTAS[[#This Row],[Código del producto Vendido]],STOCK[],19,FALSE)*VENTAS[[#This Row],[Cantidad]],VENTAS[[#This Row],[Total]])</f>
        <v>18.5772222222222</v>
      </c>
      <c r="L142" s="14">
        <f>VENTAS[[#This Row],[Total]]-VENTAS[[#This Row],[Comisión 10%]]-VENTAS[[#This Row],[Costo SIN Comision]]</f>
        <v>11.4227777777778</v>
      </c>
      <c r="M142" s="14"/>
    </row>
    <row r="143" ht="20" hidden="1" customHeight="1" spans="1:13">
      <c r="A143" s="10">
        <v>45057</v>
      </c>
      <c r="B143" s="11"/>
      <c r="C143" s="11" t="s">
        <v>4084</v>
      </c>
      <c r="D143" s="11"/>
      <c r="E143" s="11" t="s">
        <v>290</v>
      </c>
      <c r="F143" s="11" t="str">
        <f>IFERROR(VLOOKUP(VENTAS[[#This Row],[Código del producto Vendido]],STOCK[],5,FALSE),"-")</f>
        <v>Conjunto de cuello profundo con girante delantero con falda</v>
      </c>
      <c r="G143" s="11">
        <v>1</v>
      </c>
      <c r="H143" s="14">
        <v>25</v>
      </c>
      <c r="I143" s="14">
        <f>VENTAS[[#This Row],[Cantidad]]*VENTAS[[#This Row],[Precio Venta]]</f>
        <v>25</v>
      </c>
      <c r="J143" s="14">
        <f>IF(VENTAS[[#This Row],[Nombre del Gestor]]&gt;1,VENTAS[[#This Row],[Total]]*10%,0)</f>
        <v>0</v>
      </c>
      <c r="K143" s="14">
        <f>IFERROR(VLOOKUP(VENTAS[[#This Row],[Código del producto Vendido]],STOCK[],16,FALSE)*VENTAS[[#This Row],[Cantidad]]+VLOOKUP(VENTAS[[#This Row],[Código del producto Vendido]],STOCK[],19,FALSE)*VENTAS[[#This Row],[Cantidad]],VENTAS[[#This Row],[Total]])</f>
        <v>13.2333333333333</v>
      </c>
      <c r="L143" s="14">
        <f>VENTAS[[#This Row],[Total]]-VENTAS[[#This Row],[Comisión 10%]]-VENTAS[[#This Row],[Costo SIN Comision]]</f>
        <v>11.7666666666667</v>
      </c>
      <c r="M143" s="14"/>
    </row>
    <row r="144" ht="20" hidden="1" customHeight="1" spans="1:13">
      <c r="A144" s="10">
        <v>45057</v>
      </c>
      <c r="B144" s="11"/>
      <c r="C144" s="11" t="s">
        <v>4085</v>
      </c>
      <c r="D144" s="11"/>
      <c r="E144" s="11" t="s">
        <v>320</v>
      </c>
      <c r="F144" s="11" t="str">
        <f>IFERROR(VLOOKUP(VENTAS[[#This Row],[Código del producto Vendido]],STOCK[],5,FALSE),"-")</f>
        <v>Falda en mezclilla de talle alto con abertura</v>
      </c>
      <c r="G144" s="11">
        <v>1</v>
      </c>
      <c r="H144" s="14">
        <v>35</v>
      </c>
      <c r="I144" s="14">
        <f>VENTAS[[#This Row],[Cantidad]]*VENTAS[[#This Row],[Precio Venta]]</f>
        <v>35</v>
      </c>
      <c r="J144" s="14">
        <f>IF(VENTAS[[#This Row],[Nombre del Gestor]]&gt;1,VENTAS[[#This Row],[Total]]*10%,0)</f>
        <v>0</v>
      </c>
      <c r="K144" s="14">
        <f>IFERROR(VLOOKUP(VENTAS[[#This Row],[Código del producto Vendido]],STOCK[],16,FALSE)*VENTAS[[#This Row],[Cantidad]]+VLOOKUP(VENTAS[[#This Row],[Código del producto Vendido]],STOCK[],19,FALSE)*VENTAS[[#This Row],[Cantidad]],VENTAS[[#This Row],[Total]])</f>
        <v>19</v>
      </c>
      <c r="L144" s="14">
        <f>VENTAS[[#This Row],[Total]]-VENTAS[[#This Row],[Comisión 10%]]-VENTAS[[#This Row],[Costo SIN Comision]]</f>
        <v>16</v>
      </c>
      <c r="M144" s="14"/>
    </row>
    <row r="145" ht="20" hidden="1" customHeight="1" spans="1:13">
      <c r="A145" s="10">
        <v>45057</v>
      </c>
      <c r="B145" s="11"/>
      <c r="C145" s="11" t="s">
        <v>4086</v>
      </c>
      <c r="D145" s="11"/>
      <c r="E145" s="11" t="s">
        <v>54</v>
      </c>
      <c r="F145" s="11" t="str">
        <f>IFERROR(VLOOKUP(VENTAS[[#This Row],[Código del producto Vendido]],STOCK[],5,FALSE),"-")</f>
        <v>Pareo pantalón</v>
      </c>
      <c r="G145" s="11">
        <v>1</v>
      </c>
      <c r="H145" s="14">
        <v>15</v>
      </c>
      <c r="I145" s="14">
        <f>VENTAS[[#This Row],[Cantidad]]*VENTAS[[#This Row],[Precio Venta]]</f>
        <v>15</v>
      </c>
      <c r="J145" s="14">
        <f>IF(VENTAS[[#This Row],[Nombre del Gestor]]&gt;1,VENTAS[[#This Row],[Total]]*10%,0)</f>
        <v>0</v>
      </c>
      <c r="K145" s="14">
        <f>IFERROR(VLOOKUP(VENTAS[[#This Row],[Código del producto Vendido]],STOCK[],16,FALSE)*VENTAS[[#This Row],[Cantidad]]+VLOOKUP(VENTAS[[#This Row],[Código del producto Vendido]],STOCK[],19,FALSE)*VENTAS[[#This Row],[Cantidad]],VENTAS[[#This Row],[Total]])</f>
        <v>10.0633333333333</v>
      </c>
      <c r="L145" s="14">
        <f>VENTAS[[#This Row],[Total]]-VENTAS[[#This Row],[Comisión 10%]]-VENTAS[[#This Row],[Costo SIN Comision]]</f>
        <v>4.93666666666667</v>
      </c>
      <c r="M145" s="14"/>
    </row>
    <row r="146" ht="20" hidden="1" customHeight="1" spans="1:13">
      <c r="A146" s="10"/>
      <c r="B146" s="11" t="s">
        <v>4087</v>
      </c>
      <c r="C146" s="11"/>
      <c r="D146" s="11"/>
      <c r="E146" s="11" t="s">
        <v>73</v>
      </c>
      <c r="F146" s="11" t="str">
        <f>IFERROR(VLOOKUP(VENTAS[[#This Row],[Código del producto Vendido]],STOCK[],5,FALSE),"-")</f>
        <v>Bañador con estampado floral</v>
      </c>
      <c r="G146" s="11">
        <v>1</v>
      </c>
      <c r="H146" s="14">
        <v>25</v>
      </c>
      <c r="I146" s="14">
        <f>VENTAS[[#This Row],[Cantidad]]*VENTAS[[#This Row],[Precio Venta]]</f>
        <v>25</v>
      </c>
      <c r="J146" s="14">
        <f>IF(VENTAS[[#This Row],[Nombre del Gestor]]&gt;1,VENTAS[[#This Row],[Total]]*10%,0)</f>
        <v>0</v>
      </c>
      <c r="K146" s="14">
        <f>IFERROR(VLOOKUP(VENTAS[[#This Row],[Código del producto Vendido]],STOCK[],16,FALSE)*VENTAS[[#This Row],[Cantidad]]+VLOOKUP(VENTAS[[#This Row],[Código del producto Vendido]],STOCK[],19,FALSE)*VENTAS[[#This Row],[Cantidad]],VENTAS[[#This Row],[Total]])</f>
        <v>19.8388888888889</v>
      </c>
      <c r="L146" s="14">
        <f>VENTAS[[#This Row],[Total]]-VENTAS[[#This Row],[Comisión 10%]]-VENTAS[[#This Row],[Costo SIN Comision]]</f>
        <v>5.1611111111111</v>
      </c>
      <c r="M146" s="14"/>
    </row>
    <row r="147" ht="20" hidden="1" customHeight="1" spans="1:13">
      <c r="A147" s="10">
        <v>45062</v>
      </c>
      <c r="B147" s="11"/>
      <c r="C147" s="11" t="s">
        <v>4088</v>
      </c>
      <c r="D147" s="11"/>
      <c r="E147" s="11" t="s">
        <v>545</v>
      </c>
      <c r="F147" s="11" t="str">
        <f>IFERROR(VLOOKUP(VENTAS[[#This Row],[Código del producto Vendido]],STOCK[],5,FALSE),"-")</f>
        <v>Cubierta de pezón de metal vinculado</v>
      </c>
      <c r="G147" s="11">
        <v>1</v>
      </c>
      <c r="H147" s="14">
        <v>8</v>
      </c>
      <c r="I147" s="14">
        <f>VENTAS[[#This Row],[Cantidad]]*VENTAS[[#This Row],[Precio Venta]]</f>
        <v>8</v>
      </c>
      <c r="J147" s="14">
        <f>IF(VENTAS[[#This Row],[Nombre del Gestor]]&gt;1,VENTAS[[#This Row],[Total]]*10%,0)</f>
        <v>0</v>
      </c>
      <c r="K147" s="14">
        <f>IFERROR(VLOOKUP(VENTAS[[#This Row],[Código del producto Vendido]],STOCK[],16,FALSE)*VENTAS[[#This Row],[Cantidad]]+VLOOKUP(VENTAS[[#This Row],[Código del producto Vendido]],STOCK[],19,FALSE)*VENTAS[[#This Row],[Cantidad]],VENTAS[[#This Row],[Total]])</f>
        <v>3.86444444444444</v>
      </c>
      <c r="L147" s="14">
        <f>VENTAS[[#This Row],[Total]]-VENTAS[[#This Row],[Comisión 10%]]-VENTAS[[#This Row],[Costo SIN Comision]]</f>
        <v>4.13555555555556</v>
      </c>
      <c r="M147" s="14"/>
    </row>
    <row r="148" ht="20" hidden="1" customHeight="1" spans="1:13">
      <c r="A148" s="10"/>
      <c r="B148" s="11" t="s">
        <v>4087</v>
      </c>
      <c r="C148" s="11"/>
      <c r="D148" s="11"/>
      <c r="E148" s="11" t="s">
        <v>56</v>
      </c>
      <c r="F148" s="11" t="str">
        <f>IFERROR(VLOOKUP(VENTAS[[#This Row],[Código del producto Vendido]],STOCK[],5,FALSE),"-")</f>
        <v>Pareo pantalón en malla</v>
      </c>
      <c r="G148" s="11">
        <v>1</v>
      </c>
      <c r="H148" s="14">
        <v>15</v>
      </c>
      <c r="I148" s="14">
        <f>VENTAS[[#This Row],[Cantidad]]*VENTAS[[#This Row],[Precio Venta]]</f>
        <v>15</v>
      </c>
      <c r="J148" s="14">
        <f>IF(VENTAS[[#This Row],[Nombre del Gestor]]&gt;1,VENTAS[[#This Row],[Total]]*10%,0)</f>
        <v>0</v>
      </c>
      <c r="K148" s="14">
        <f>IFERROR(VLOOKUP(VENTAS[[#This Row],[Código del producto Vendido]],STOCK[],16,FALSE)*VENTAS[[#This Row],[Cantidad]]+VLOOKUP(VENTAS[[#This Row],[Código del producto Vendido]],STOCK[],19,FALSE)*VENTAS[[#This Row],[Cantidad]],VENTAS[[#This Row],[Total]])</f>
        <v>10.0633333333333</v>
      </c>
      <c r="L148" s="14">
        <f>VENTAS[[#This Row],[Total]]-VENTAS[[#This Row],[Comisión 10%]]-VENTAS[[#This Row],[Costo SIN Comision]]</f>
        <v>4.93666666666667</v>
      </c>
      <c r="M148" s="14"/>
    </row>
    <row r="149" ht="20" hidden="1" customHeight="1" spans="1:13">
      <c r="A149" s="10">
        <v>45062</v>
      </c>
      <c r="B149" s="11"/>
      <c r="C149" s="11" t="s">
        <v>4088</v>
      </c>
      <c r="D149" s="11"/>
      <c r="E149" s="11" t="s">
        <v>433</v>
      </c>
      <c r="F149" s="11" t="str">
        <f>IFERROR(VLOOKUP(VENTAS[[#This Row],[Código del producto Vendido]],STOCK[],5,FALSE),"-")</f>
        <v>Vestido con cordón de espalda abierta </v>
      </c>
      <c r="G149" s="11">
        <v>1</v>
      </c>
      <c r="H149" s="14">
        <v>25</v>
      </c>
      <c r="I149" s="14">
        <f>VENTAS[[#This Row],[Cantidad]]*VENTAS[[#This Row],[Precio Venta]]</f>
        <v>25</v>
      </c>
      <c r="J149" s="14">
        <f>IF(VENTAS[[#This Row],[Nombre del Gestor]]&gt;1,VENTAS[[#This Row],[Total]]*10%,0)</f>
        <v>0</v>
      </c>
      <c r="K149" s="14">
        <f>IFERROR(VLOOKUP(VENTAS[[#This Row],[Código del producto Vendido]],STOCK[],16,FALSE)*VENTAS[[#This Row],[Cantidad]]+VLOOKUP(VENTAS[[#This Row],[Código del producto Vendido]],STOCK[],19,FALSE)*VENTAS[[#This Row],[Cantidad]],VENTAS[[#This Row],[Total]])</f>
        <v>15.9077777777778</v>
      </c>
      <c r="L149" s="14">
        <f>VENTAS[[#This Row],[Total]]-VENTAS[[#This Row],[Comisión 10%]]-VENTAS[[#This Row],[Costo SIN Comision]]</f>
        <v>9.0922222222222</v>
      </c>
      <c r="M149" s="14"/>
    </row>
    <row r="150" ht="20" hidden="1" customHeight="1" spans="1:13">
      <c r="A150" s="10">
        <v>45062</v>
      </c>
      <c r="B150" s="11"/>
      <c r="C150" s="11" t="s">
        <v>4088</v>
      </c>
      <c r="D150" s="11"/>
      <c r="E150" s="11" t="s">
        <v>908</v>
      </c>
      <c r="F150" s="11" t="str">
        <f>IFERROR(VLOOKUP(VENTAS[[#This Row],[Código del producto Vendido]],STOCK[],5,FALSE),"-")</f>
        <v> Top Cuello V Verde</v>
      </c>
      <c r="G150" s="11">
        <v>1</v>
      </c>
      <c r="H150" s="14">
        <v>12</v>
      </c>
      <c r="I150" s="14">
        <f>VENTAS[[#This Row],[Cantidad]]*VENTAS[[#This Row],[Precio Venta]]</f>
        <v>12</v>
      </c>
      <c r="J150" s="14">
        <f>IF(VENTAS[[#This Row],[Nombre del Gestor]]&gt;1,VENTAS[[#This Row],[Total]]*10%,0)</f>
        <v>0</v>
      </c>
      <c r="K150" s="14">
        <f>IFERROR(VLOOKUP(VENTAS[[#This Row],[Código del producto Vendido]],STOCK[],16,FALSE)*VENTAS[[#This Row],[Cantidad]]+VLOOKUP(VENTAS[[#This Row],[Código del producto Vendido]],STOCK[],19,FALSE)*VENTAS[[#This Row],[Cantidad]],VENTAS[[#This Row],[Total]])</f>
        <v>8.00545454545454</v>
      </c>
      <c r="L150" s="14">
        <f>VENTAS[[#This Row],[Total]]-VENTAS[[#This Row],[Comisión 10%]]-VENTAS[[#This Row],[Costo SIN Comision]]</f>
        <v>3.99454545454546</v>
      </c>
      <c r="M150" s="14"/>
    </row>
    <row r="151" ht="20" hidden="1" customHeight="1" spans="1:13">
      <c r="A151" s="21">
        <v>45062</v>
      </c>
      <c r="B151" s="11"/>
      <c r="C151" s="11" t="s">
        <v>4088</v>
      </c>
      <c r="D151" s="11"/>
      <c r="E151" s="11" t="s">
        <v>891</v>
      </c>
      <c r="F151" s="11" t="str">
        <f>IFERROR(VLOOKUP(VENTAS[[#This Row],[Código del producto Vendido]],STOCK[],5,FALSE),"-")</f>
        <v>Top Cuello encaje y mangas abombadas</v>
      </c>
      <c r="G151" s="11">
        <v>1</v>
      </c>
      <c r="H151" s="14">
        <v>12</v>
      </c>
      <c r="I151" s="14">
        <f>VENTAS[[#This Row],[Cantidad]]*VENTAS[[#This Row],[Precio Venta]]</f>
        <v>12</v>
      </c>
      <c r="J151" s="14">
        <f>IF(VENTAS[[#This Row],[Nombre del Gestor]]&gt;1,VENTAS[[#This Row],[Total]]*10%,0)</f>
        <v>0</v>
      </c>
      <c r="K151" s="14">
        <f>IFERROR(VLOOKUP(VENTAS[[#This Row],[Código del producto Vendido]],STOCK[],16,FALSE)*VENTAS[[#This Row],[Cantidad]]+VLOOKUP(VENTAS[[#This Row],[Código del producto Vendido]],STOCK[],19,FALSE)*VENTAS[[#This Row],[Cantidad]],VENTAS[[#This Row],[Total]])</f>
        <v>6.35818181818182</v>
      </c>
      <c r="L151" s="14">
        <f>VENTAS[[#This Row],[Total]]-VENTAS[[#This Row],[Comisión 10%]]-VENTAS[[#This Row],[Costo SIN Comision]]</f>
        <v>5.64181818181818</v>
      </c>
      <c r="M151" s="14"/>
    </row>
    <row r="152" ht="20" hidden="1" customHeight="1" spans="1:13">
      <c r="A152" s="10">
        <v>45062</v>
      </c>
      <c r="B152" s="11"/>
      <c r="C152" s="11" t="s">
        <v>4088</v>
      </c>
      <c r="D152" s="11"/>
      <c r="E152" s="11" t="s">
        <v>633</v>
      </c>
      <c r="F152" s="11" t="str">
        <f>IFERROR(VLOOKUP(VENTAS[[#This Row],[Código del producto Vendido]],STOCK[],5,FALSE),"-")</f>
        <v>Vestido floral con abertura trasera</v>
      </c>
      <c r="G152" s="11">
        <v>1</v>
      </c>
      <c r="H152" s="14">
        <v>15</v>
      </c>
      <c r="I152" s="14">
        <f>VENTAS[[#This Row],[Cantidad]]*VENTAS[[#This Row],[Precio Venta]]</f>
        <v>15</v>
      </c>
      <c r="J152" s="14">
        <f>IF(VENTAS[[#This Row],[Nombre del Gestor]]&gt;1,VENTAS[[#This Row],[Total]]*10%,0)</f>
        <v>0</v>
      </c>
      <c r="K152" s="14">
        <f>IFERROR(VLOOKUP(VENTAS[[#This Row],[Código del producto Vendido]],STOCK[],16,FALSE)*VENTAS[[#This Row],[Cantidad]]+VLOOKUP(VENTAS[[#This Row],[Código del producto Vendido]],STOCK[],19,FALSE)*VENTAS[[#This Row],[Cantidad]],VENTAS[[#This Row],[Total]])</f>
        <v>10.7222222222222</v>
      </c>
      <c r="L152" s="14">
        <f>VENTAS[[#This Row],[Total]]-VENTAS[[#This Row],[Comisión 10%]]-VENTAS[[#This Row],[Costo SIN Comision]]</f>
        <v>4.27777777777778</v>
      </c>
      <c r="M152" s="14"/>
    </row>
    <row r="153" ht="20" hidden="1" customHeight="1" spans="1:13">
      <c r="A153" s="10">
        <v>45062</v>
      </c>
      <c r="B153" s="11"/>
      <c r="C153" s="11" t="s">
        <v>4088</v>
      </c>
      <c r="D153" s="11"/>
      <c r="E153" s="11" t="s">
        <v>1005</v>
      </c>
      <c r="F153" s="11" t="str">
        <f>IFERROR(VLOOKUP(VENTAS[[#This Row],[Código del producto Vendido]],STOCK[],5,FALSE),"-")</f>
        <v>Vestido frenchy de puntos</v>
      </c>
      <c r="G153" s="11">
        <v>1</v>
      </c>
      <c r="H153" s="14">
        <v>22</v>
      </c>
      <c r="I153" s="14">
        <f>VENTAS[[#This Row],[Cantidad]]*VENTAS[[#This Row],[Precio Venta]]</f>
        <v>22</v>
      </c>
      <c r="J153" s="14">
        <f>IF(VENTAS[[#This Row],[Nombre del Gestor]]&gt;1,VENTAS[[#This Row],[Total]]*10%,0)</f>
        <v>0</v>
      </c>
      <c r="K153" s="14">
        <f>IFERROR(VLOOKUP(VENTAS[[#This Row],[Código del producto Vendido]],STOCK[],16,FALSE)*VENTAS[[#This Row],[Cantidad]]+VLOOKUP(VENTAS[[#This Row],[Código del producto Vendido]],STOCK[],19,FALSE)*VENTAS[[#This Row],[Cantidad]],VENTAS[[#This Row],[Total]])</f>
        <v>15.3272727272727</v>
      </c>
      <c r="L153" s="14">
        <f>VENTAS[[#This Row],[Total]]-VENTAS[[#This Row],[Comisión 10%]]-VENTAS[[#This Row],[Costo SIN Comision]]</f>
        <v>6.6727272727273</v>
      </c>
      <c r="M153" s="14"/>
    </row>
    <row r="154" ht="20" hidden="1" customHeight="1" spans="1:13">
      <c r="A154" s="21">
        <v>45062</v>
      </c>
      <c r="B154" s="11"/>
      <c r="C154" s="11" t="s">
        <v>4088</v>
      </c>
      <c r="D154" s="11"/>
      <c r="E154" s="11" t="s">
        <v>1000</v>
      </c>
      <c r="F154" s="11" t="str">
        <f>IFERROR(VLOOKUP(VENTAS[[#This Row],[Código del producto Vendido]],STOCK[],5,FALSE),"-")</f>
        <v>Top Acanalado</v>
      </c>
      <c r="G154" s="11">
        <v>1</v>
      </c>
      <c r="H154" s="14">
        <v>12</v>
      </c>
      <c r="I154" s="14">
        <f>VENTAS[[#This Row],[Cantidad]]*VENTAS[[#This Row],[Precio Venta]]</f>
        <v>12</v>
      </c>
      <c r="J154" s="14">
        <f>IF(VENTAS[[#This Row],[Nombre del Gestor]]&gt;1,VENTAS[[#This Row],[Total]]*10%,0)</f>
        <v>0</v>
      </c>
      <c r="K154" s="14">
        <f>IFERROR(VLOOKUP(VENTAS[[#This Row],[Código del producto Vendido]],STOCK[],16,FALSE)*VENTAS[[#This Row],[Cantidad]]+VLOOKUP(VENTAS[[#This Row],[Código del producto Vendido]],STOCK[],19,FALSE)*VENTAS[[#This Row],[Cantidad]],VENTAS[[#This Row],[Total]])</f>
        <v>9.28</v>
      </c>
      <c r="L154" s="14">
        <f>VENTAS[[#This Row],[Total]]-VENTAS[[#This Row],[Comisión 10%]]-VENTAS[[#This Row],[Costo SIN Comision]]</f>
        <v>2.72</v>
      </c>
      <c r="M154" s="14"/>
    </row>
    <row r="155" ht="20" hidden="1" customHeight="1" spans="1:13">
      <c r="A155" s="10">
        <v>45061</v>
      </c>
      <c r="B155" s="11"/>
      <c r="C155" s="11" t="s">
        <v>4089</v>
      </c>
      <c r="D155" s="11"/>
      <c r="E155" s="11" t="s">
        <v>1023</v>
      </c>
      <c r="F155" s="11" t="str">
        <f>IFERROR(VLOOKUP(VENTAS[[#This Row],[Código del producto Vendido]],STOCK[],5,FALSE),"-")</f>
        <v>Falda Margarita</v>
      </c>
      <c r="G155" s="11">
        <v>1</v>
      </c>
      <c r="H155" s="14">
        <v>18</v>
      </c>
      <c r="I155" s="14">
        <f>VENTAS[[#This Row],[Cantidad]]*VENTAS[[#This Row],[Precio Venta]]</f>
        <v>18</v>
      </c>
      <c r="J155" s="14">
        <f>IF(VENTAS[[#This Row],[Nombre del Gestor]]&gt;1,VENTAS[[#This Row],[Total]]*10%,0)</f>
        <v>0</v>
      </c>
      <c r="K155" s="14">
        <f>IFERROR(VLOOKUP(VENTAS[[#This Row],[Código del producto Vendido]],STOCK[],16,FALSE)*VENTAS[[#This Row],[Cantidad]]+VLOOKUP(VENTAS[[#This Row],[Código del producto Vendido]],STOCK[],19,FALSE)*VENTAS[[#This Row],[Cantidad]],VENTAS[[#This Row],[Total]])</f>
        <v>8.105</v>
      </c>
      <c r="L155" s="14">
        <f>VENTAS[[#This Row],[Total]]-VENTAS[[#This Row],[Comisión 10%]]-VENTAS[[#This Row],[Costo SIN Comision]]</f>
        <v>9.895</v>
      </c>
      <c r="M155" s="14"/>
    </row>
    <row r="156" ht="20" hidden="1" customHeight="1" spans="1:13">
      <c r="A156" s="10">
        <v>45061</v>
      </c>
      <c r="B156" s="11"/>
      <c r="C156" s="11" t="s">
        <v>4089</v>
      </c>
      <c r="D156" s="11"/>
      <c r="E156" s="11" t="s">
        <v>1017</v>
      </c>
      <c r="F156" s="11" t="str">
        <f>IFERROR(VLOOKUP(VENTAS[[#This Row],[Código del producto Vendido]],STOCK[],5,FALSE),"-")</f>
        <v>Top Dreamer Negro</v>
      </c>
      <c r="G156" s="11">
        <v>1</v>
      </c>
      <c r="H156" s="14">
        <v>12</v>
      </c>
      <c r="I156" s="14">
        <f>VENTAS[[#This Row],[Cantidad]]*VENTAS[[#This Row],[Precio Venta]]</f>
        <v>12</v>
      </c>
      <c r="J156" s="14">
        <f>IF(VENTAS[[#This Row],[Nombre del Gestor]]&gt;1,VENTAS[[#This Row],[Total]]*10%,0)</f>
        <v>0</v>
      </c>
      <c r="K156" s="14">
        <f>IFERROR(VLOOKUP(VENTAS[[#This Row],[Código del producto Vendido]],STOCK[],16,FALSE)*VENTAS[[#This Row],[Cantidad]]+VLOOKUP(VENTAS[[#This Row],[Código del producto Vendido]],STOCK[],19,FALSE)*VENTAS[[#This Row],[Cantidad]],VENTAS[[#This Row],[Total]])</f>
        <v>7.15681818181818</v>
      </c>
      <c r="L156" s="14">
        <f>VENTAS[[#This Row],[Total]]-VENTAS[[#This Row],[Comisión 10%]]-VENTAS[[#This Row],[Costo SIN Comision]]</f>
        <v>4.84318181818182</v>
      </c>
      <c r="M156" s="14"/>
    </row>
    <row r="157" ht="20" hidden="1" customHeight="1" spans="1:13">
      <c r="A157" s="10">
        <v>45061</v>
      </c>
      <c r="B157" s="11"/>
      <c r="C157" s="11" t="s">
        <v>4089</v>
      </c>
      <c r="D157" s="11"/>
      <c r="E157" s="11" t="s">
        <v>981</v>
      </c>
      <c r="F157" s="11" t="str">
        <f>IFERROR(VLOOKUP(VENTAS[[#This Row],[Código del producto Vendido]],STOCK[],5,FALSE),"-")</f>
        <v> Top Mangas Fruncidas</v>
      </c>
      <c r="G157" s="11">
        <v>1</v>
      </c>
      <c r="H157" s="14">
        <v>11</v>
      </c>
      <c r="I157" s="14">
        <f>VENTAS[[#This Row],[Cantidad]]*VENTAS[[#This Row],[Precio Venta]]</f>
        <v>11</v>
      </c>
      <c r="J157" s="14">
        <f>IF(VENTAS[[#This Row],[Nombre del Gestor]]&gt;1,VENTAS[[#This Row],[Total]]*10%,0)</f>
        <v>0</v>
      </c>
      <c r="K157" s="14">
        <f>IFERROR(VLOOKUP(VENTAS[[#This Row],[Código del producto Vendido]],STOCK[],16,FALSE)*VENTAS[[#This Row],[Cantidad]]+VLOOKUP(VENTAS[[#This Row],[Código del producto Vendido]],STOCK[],19,FALSE)*VENTAS[[#This Row],[Cantidad]],VENTAS[[#This Row],[Total]])</f>
        <v>6.81136363636364</v>
      </c>
      <c r="L157" s="14">
        <f>VENTAS[[#This Row],[Total]]-VENTAS[[#This Row],[Comisión 10%]]-VENTAS[[#This Row],[Costo SIN Comision]]</f>
        <v>4.18863636363636</v>
      </c>
      <c r="M157" s="14"/>
    </row>
    <row r="158" ht="20" hidden="1" customHeight="1" spans="1:13">
      <c r="A158" s="10">
        <v>45061</v>
      </c>
      <c r="B158" s="11"/>
      <c r="C158" s="11" t="s">
        <v>4089</v>
      </c>
      <c r="D158" s="11"/>
      <c r="E158" s="11" t="s">
        <v>1049</v>
      </c>
      <c r="F158" s="11" t="str">
        <f>IFERROR(VLOOKUP(VENTAS[[#This Row],[Código del producto Vendido]],STOCK[],5,FALSE),"-")</f>
        <v>Pantaloneta Camel</v>
      </c>
      <c r="G158" s="11">
        <v>1</v>
      </c>
      <c r="H158" s="14">
        <v>30</v>
      </c>
      <c r="I158" s="14">
        <f>VENTAS[[#This Row],[Cantidad]]*VENTAS[[#This Row],[Precio Venta]]</f>
        <v>30</v>
      </c>
      <c r="J158" s="14">
        <f>IF(VENTAS[[#This Row],[Nombre del Gestor]]&gt;1,VENTAS[[#This Row],[Total]]*10%,0)</f>
        <v>0</v>
      </c>
      <c r="K158" s="14">
        <f>IFERROR(VLOOKUP(VENTAS[[#This Row],[Código del producto Vendido]],STOCK[],16,FALSE)*VENTAS[[#This Row],[Cantidad]]+VLOOKUP(VENTAS[[#This Row],[Código del producto Vendido]],STOCK[],19,FALSE)*VENTAS[[#This Row],[Cantidad]],VENTAS[[#This Row],[Total]])</f>
        <v>18.6477272727273</v>
      </c>
      <c r="L158" s="14">
        <f>VENTAS[[#This Row],[Total]]-VENTAS[[#This Row],[Comisión 10%]]-VENTAS[[#This Row],[Costo SIN Comision]]</f>
        <v>11.3522727272727</v>
      </c>
      <c r="M158" s="14"/>
    </row>
    <row r="159" ht="20" hidden="1" customHeight="1" spans="1:13">
      <c r="A159" s="10">
        <v>45061</v>
      </c>
      <c r="B159" s="11"/>
      <c r="C159" s="11" t="s">
        <v>4089</v>
      </c>
      <c r="D159" s="11"/>
      <c r="E159" s="11" t="s">
        <v>915</v>
      </c>
      <c r="F159" s="11" t="str">
        <f>IFERROR(VLOOKUP(VENTAS[[#This Row],[Código del producto Vendido]],STOCK[],5,FALSE),"-")</f>
        <v>Camiseta con figura</v>
      </c>
      <c r="G159" s="11">
        <v>1</v>
      </c>
      <c r="H159" s="14">
        <v>15</v>
      </c>
      <c r="I159" s="14">
        <f>VENTAS[[#This Row],[Cantidad]]*VENTAS[[#This Row],[Precio Venta]]</f>
        <v>15</v>
      </c>
      <c r="J159" s="14">
        <f>IF(VENTAS[[#This Row],[Nombre del Gestor]]&gt;1,VENTAS[[#This Row],[Total]]*10%,0)</f>
        <v>0</v>
      </c>
      <c r="K159" s="14">
        <f>IFERROR(VLOOKUP(VENTAS[[#This Row],[Código del producto Vendido]],STOCK[],16,FALSE)*VENTAS[[#This Row],[Cantidad]]+VLOOKUP(VENTAS[[#This Row],[Código del producto Vendido]],STOCK[],19,FALSE)*VENTAS[[#This Row],[Cantidad]],VENTAS[[#This Row],[Total]])</f>
        <v>10.0772727272727</v>
      </c>
      <c r="L159" s="14">
        <f>VENTAS[[#This Row],[Total]]-VENTAS[[#This Row],[Comisión 10%]]-VENTAS[[#This Row],[Costo SIN Comision]]</f>
        <v>4.92272727272727</v>
      </c>
      <c r="M159" s="14"/>
    </row>
    <row r="160" ht="20" hidden="1" customHeight="1" spans="1:13">
      <c r="A160" s="10">
        <v>45061</v>
      </c>
      <c r="B160" s="11"/>
      <c r="C160" s="11" t="s">
        <v>4089</v>
      </c>
      <c r="D160" s="11"/>
      <c r="E160" s="11" t="s">
        <v>1044</v>
      </c>
      <c r="F160" s="11" t="str">
        <f>IFERROR(VLOOKUP(VENTAS[[#This Row],[Código del producto Vendido]],STOCK[],5,FALSE),"-")</f>
        <v>Jeans Elastizados Pierna Ancha</v>
      </c>
      <c r="G160" s="11">
        <v>1</v>
      </c>
      <c r="H160" s="14">
        <v>35</v>
      </c>
      <c r="I160" s="14">
        <f>VENTAS[[#This Row],[Cantidad]]*VENTAS[[#This Row],[Precio Venta]]</f>
        <v>35</v>
      </c>
      <c r="J160" s="14">
        <f>IF(VENTAS[[#This Row],[Nombre del Gestor]]&gt;1,VENTAS[[#This Row],[Total]]*10%,0)</f>
        <v>0</v>
      </c>
      <c r="K160" s="14">
        <f>IFERROR(VLOOKUP(VENTAS[[#This Row],[Código del producto Vendido]],STOCK[],16,FALSE)*VENTAS[[#This Row],[Cantidad]]+VLOOKUP(VENTAS[[#This Row],[Código del producto Vendido]],STOCK[],19,FALSE)*VENTAS[[#This Row],[Cantidad]],VENTAS[[#This Row],[Total]])</f>
        <v>27.5227272727273</v>
      </c>
      <c r="L160" s="14">
        <f>VENTAS[[#This Row],[Total]]-VENTAS[[#This Row],[Comisión 10%]]-VENTAS[[#This Row],[Costo SIN Comision]]</f>
        <v>7.4772727272727</v>
      </c>
      <c r="M160" s="14"/>
    </row>
    <row r="161" ht="20" hidden="1" customHeight="1" spans="1:13">
      <c r="A161" s="10">
        <v>45062</v>
      </c>
      <c r="B161" s="11"/>
      <c r="C161" s="11" t="s">
        <v>4090</v>
      </c>
      <c r="D161" s="11"/>
      <c r="E161" s="11" t="s">
        <v>51</v>
      </c>
      <c r="F161" s="11" t="str">
        <f>IFERROR(VLOOKUP(VENTAS[[#This Row],[Código del producto Vendido]],STOCK[],5,FALSE),"-")</f>
        <v>Pareo Pantalón</v>
      </c>
      <c r="G161" s="11">
        <v>1</v>
      </c>
      <c r="H161" s="14">
        <v>15</v>
      </c>
      <c r="I161" s="14">
        <f>VENTAS[[#This Row],[Cantidad]]*VENTAS[[#This Row],[Precio Venta]]</f>
        <v>15</v>
      </c>
      <c r="J161" s="14">
        <f>IF(VENTAS[[#This Row],[Nombre del Gestor]]&gt;1,VENTAS[[#This Row],[Total]]*10%,0)</f>
        <v>0</v>
      </c>
      <c r="K161" s="14">
        <f>IFERROR(VLOOKUP(VENTAS[[#This Row],[Código del producto Vendido]],STOCK[],16,FALSE)*VENTAS[[#This Row],[Cantidad]]+VLOOKUP(VENTAS[[#This Row],[Código del producto Vendido]],STOCK[],19,FALSE)*VENTAS[[#This Row],[Cantidad]],VENTAS[[#This Row],[Total]])</f>
        <v>10.0633333333333</v>
      </c>
      <c r="L161" s="14">
        <f>VENTAS[[#This Row],[Total]]-VENTAS[[#This Row],[Comisión 10%]]-VENTAS[[#This Row],[Costo SIN Comision]]</f>
        <v>4.93666666666667</v>
      </c>
      <c r="M161" s="14"/>
    </row>
    <row r="162" ht="20" hidden="1" customHeight="1" spans="1:13">
      <c r="A162" s="10">
        <v>45062</v>
      </c>
      <c r="B162" s="11"/>
      <c r="C162" s="11" t="s">
        <v>4090</v>
      </c>
      <c r="D162" s="11"/>
      <c r="E162" s="11" t="s">
        <v>901</v>
      </c>
      <c r="F162" s="11" t="str">
        <f>IFERROR(VLOOKUP(VENTAS[[#This Row],[Código del producto Vendido]],STOCK[],5,FALSE),"-")</f>
        <v>Bañador con adorno de malla</v>
      </c>
      <c r="G162" s="11">
        <v>1</v>
      </c>
      <c r="H162" s="14">
        <v>25</v>
      </c>
      <c r="I162" s="14">
        <f>VENTAS[[#This Row],[Cantidad]]*VENTAS[[#This Row],[Precio Venta]]</f>
        <v>25</v>
      </c>
      <c r="J162" s="14">
        <f>IF(VENTAS[[#This Row],[Nombre del Gestor]]&gt;1,VENTAS[[#This Row],[Total]]*10%,0)</f>
        <v>0</v>
      </c>
      <c r="K162" s="14">
        <f>IFERROR(VLOOKUP(VENTAS[[#This Row],[Código del producto Vendido]],STOCK[],16,FALSE)*VENTAS[[#This Row],[Cantidad]]+VLOOKUP(VENTAS[[#This Row],[Código del producto Vendido]],STOCK[],19,FALSE)*VENTAS[[#This Row],[Cantidad]],VENTAS[[#This Row],[Total]])</f>
        <v>15.3295454545455</v>
      </c>
      <c r="L162" s="14">
        <f>VENTAS[[#This Row],[Total]]-VENTAS[[#This Row],[Comisión 10%]]-VENTAS[[#This Row],[Costo SIN Comision]]</f>
        <v>9.6704545454545</v>
      </c>
      <c r="M162" s="14"/>
    </row>
    <row r="163" ht="20" hidden="1" customHeight="1" spans="1:13">
      <c r="A163" s="10">
        <v>45059</v>
      </c>
      <c r="B163" s="11" t="s">
        <v>1075</v>
      </c>
      <c r="C163" s="11" t="s">
        <v>4076</v>
      </c>
      <c r="D163" s="11"/>
      <c r="E163" s="11" t="s">
        <v>957</v>
      </c>
      <c r="F163" s="11" t="str">
        <f>IFERROR(VLOOKUP(VENTAS[[#This Row],[Código del producto Vendido]],STOCK[],5,FALSE),"-")</f>
        <v>Bañador una pieza con mariposa aplique fruncido</v>
      </c>
      <c r="G163" s="11">
        <v>1</v>
      </c>
      <c r="H163" s="14">
        <v>22</v>
      </c>
      <c r="I163" s="14">
        <f>VENTAS[[#This Row],[Cantidad]]*VENTAS[[#This Row],[Precio Venta]]</f>
        <v>22</v>
      </c>
      <c r="J163" s="14">
        <f>IF(VENTAS[[#This Row],[Nombre del Gestor]]&gt;1,VENTAS[[#This Row],[Total]]*10%,0)</f>
        <v>0</v>
      </c>
      <c r="K163" s="14">
        <f>IFERROR(VLOOKUP(VENTAS[[#This Row],[Código del producto Vendido]],STOCK[],16,FALSE)*VENTAS[[#This Row],[Cantidad]]+VLOOKUP(VENTAS[[#This Row],[Código del producto Vendido]],STOCK[],19,FALSE)*VENTAS[[#This Row],[Cantidad]],VENTAS[[#This Row],[Total]])</f>
        <v>11.9227272727273</v>
      </c>
      <c r="L163" s="14">
        <f>VENTAS[[#This Row],[Total]]-VENTAS[[#This Row],[Comisión 10%]]-VENTAS[[#This Row],[Costo SIN Comision]]</f>
        <v>10.0772727272727</v>
      </c>
      <c r="M163" s="14"/>
    </row>
    <row r="164" ht="20" hidden="1" customHeight="1" spans="1:13">
      <c r="A164" s="10">
        <v>45064</v>
      </c>
      <c r="B164" s="11"/>
      <c r="C164" s="11" t="s">
        <v>4091</v>
      </c>
      <c r="D164" s="11"/>
      <c r="E164" s="11" t="s">
        <v>1041</v>
      </c>
      <c r="F164" s="11" t="str">
        <f>IFERROR(VLOOKUP(VENTAS[[#This Row],[Código del producto Vendido]],STOCK[],5,FALSE),"-")</f>
        <v>Jeans Elastizados Pierna Ancha</v>
      </c>
      <c r="G164" s="11">
        <v>1</v>
      </c>
      <c r="H164" s="14">
        <v>35</v>
      </c>
      <c r="I164" s="14">
        <f>VENTAS[[#This Row],[Cantidad]]*VENTAS[[#This Row],[Precio Venta]]</f>
        <v>35</v>
      </c>
      <c r="J164" s="14">
        <f>IF(VENTAS[[#This Row],[Nombre del Gestor]]&gt;1,VENTAS[[#This Row],[Total]]*10%,0)</f>
        <v>0</v>
      </c>
      <c r="K164" s="14">
        <f>IFERROR(VLOOKUP(VENTAS[[#This Row],[Código del producto Vendido]],STOCK[],16,FALSE)*VENTAS[[#This Row],[Cantidad]]+VLOOKUP(VENTAS[[#This Row],[Código del producto Vendido]],STOCK[],19,FALSE)*VENTAS[[#This Row],[Cantidad]],VENTAS[[#This Row],[Total]])</f>
        <v>27.5227272727273</v>
      </c>
      <c r="L164" s="14">
        <f>VENTAS[[#This Row],[Total]]-VENTAS[[#This Row],[Comisión 10%]]-VENTAS[[#This Row],[Costo SIN Comision]]</f>
        <v>7.4772727272727</v>
      </c>
      <c r="M164" s="14"/>
    </row>
    <row r="165" ht="20" hidden="1" customHeight="1" spans="1:13">
      <c r="A165" s="10">
        <v>45064</v>
      </c>
      <c r="B165" s="11"/>
      <c r="C165" s="11" t="s">
        <v>4091</v>
      </c>
      <c r="D165" s="11"/>
      <c r="E165" s="11" t="s">
        <v>984</v>
      </c>
      <c r="F165" s="11" t="str">
        <f>IFERROR(VLOOKUP(VENTAS[[#This Row],[Código del producto Vendido]],STOCK[],5,FALSE),"-")</f>
        <v> Top Mangas Fruncidas</v>
      </c>
      <c r="G165" s="11">
        <v>1</v>
      </c>
      <c r="H165" s="14">
        <v>12</v>
      </c>
      <c r="I165" s="14">
        <f>VENTAS[[#This Row],[Cantidad]]*VENTAS[[#This Row],[Precio Venta]]</f>
        <v>12</v>
      </c>
      <c r="J165" s="14">
        <f>IF(VENTAS[[#This Row],[Nombre del Gestor]]&gt;1,VENTAS[[#This Row],[Total]]*10%,0)</f>
        <v>0</v>
      </c>
      <c r="K165" s="14">
        <f>IFERROR(VLOOKUP(VENTAS[[#This Row],[Código del producto Vendido]],STOCK[],16,FALSE)*VENTAS[[#This Row],[Cantidad]]+VLOOKUP(VENTAS[[#This Row],[Código del producto Vendido]],STOCK[],19,FALSE)*VENTAS[[#This Row],[Cantidad]],VENTAS[[#This Row],[Total]])</f>
        <v>6.81136363636364</v>
      </c>
      <c r="L165" s="14">
        <f>VENTAS[[#This Row],[Total]]-VENTAS[[#This Row],[Comisión 10%]]-VENTAS[[#This Row],[Costo SIN Comision]]</f>
        <v>5.18863636363636</v>
      </c>
      <c r="M165" s="14"/>
    </row>
    <row r="166" ht="20" hidden="1" customHeight="1" spans="1:13">
      <c r="A166" s="10">
        <v>45064</v>
      </c>
      <c r="B166" s="11"/>
      <c r="C166" s="11" t="s">
        <v>4092</v>
      </c>
      <c r="D166" s="11"/>
      <c r="E166" s="23" t="s">
        <v>943</v>
      </c>
      <c r="F166" s="11" t="str">
        <f>IFERROR(VLOOKUP(VENTAS[[#This Row],[Código del producto Vendido]],STOCK[],5,FALSE),"-")</f>
        <v>Vestido Tropical</v>
      </c>
      <c r="G166" s="11">
        <v>1</v>
      </c>
      <c r="H166" s="14">
        <v>30</v>
      </c>
      <c r="I166" s="14">
        <f>VENTAS[[#This Row],[Cantidad]]*VENTAS[[#This Row],[Precio Venta]]</f>
        <v>30</v>
      </c>
      <c r="J166" s="14">
        <f>IF(VENTAS[[#This Row],[Nombre del Gestor]]&gt;1,VENTAS[[#This Row],[Total]]*10%,0)</f>
        <v>0</v>
      </c>
      <c r="K166" s="14">
        <f>IFERROR(VLOOKUP(VENTAS[[#This Row],[Código del producto Vendido]],STOCK[],16,FALSE)*VENTAS[[#This Row],[Cantidad]]+VLOOKUP(VENTAS[[#This Row],[Código del producto Vendido]],STOCK[],19,FALSE)*VENTAS[[#This Row],[Cantidad]],VENTAS[[#This Row],[Total]])</f>
        <v>18.8486363636364</v>
      </c>
      <c r="L166" s="14">
        <f>VENTAS[[#This Row],[Total]]-VENTAS[[#This Row],[Comisión 10%]]-VENTAS[[#This Row],[Costo SIN Comision]]</f>
        <v>11.1513636363636</v>
      </c>
      <c r="M166" s="14"/>
    </row>
    <row r="167" ht="20" hidden="1" customHeight="1" spans="1:13">
      <c r="A167" s="10">
        <v>45064</v>
      </c>
      <c r="B167" s="11"/>
      <c r="C167" s="11" t="s">
        <v>4092</v>
      </c>
      <c r="D167" s="11"/>
      <c r="E167" s="11" t="s">
        <v>987</v>
      </c>
      <c r="F167" s="11" t="str">
        <f>IFERROR(VLOOKUP(VENTAS[[#This Row],[Código del producto Vendido]],STOCK[],5,FALSE),"-")</f>
        <v>Vestido con abertura</v>
      </c>
      <c r="G167" s="11">
        <v>1</v>
      </c>
      <c r="H167" s="14">
        <v>22</v>
      </c>
      <c r="I167" s="14">
        <f>VENTAS[[#This Row],[Cantidad]]*VENTAS[[#This Row],[Precio Venta]]</f>
        <v>22</v>
      </c>
      <c r="J167" s="14">
        <f>IF(VENTAS[[#This Row],[Nombre del Gestor]]&gt;1,VENTAS[[#This Row],[Total]]*10%,0)</f>
        <v>0</v>
      </c>
      <c r="K167" s="14">
        <f>IFERROR(VLOOKUP(VENTAS[[#This Row],[Código del producto Vendido]],STOCK[],16,FALSE)*VENTAS[[#This Row],[Cantidad]]+VLOOKUP(VENTAS[[#This Row],[Código del producto Vendido]],STOCK[],19,FALSE)*VENTAS[[#This Row],[Cantidad]],VENTAS[[#This Row],[Total]])</f>
        <v>15.5277272727273</v>
      </c>
      <c r="L167" s="14">
        <f>VENTAS[[#This Row],[Total]]-VENTAS[[#This Row],[Comisión 10%]]-VENTAS[[#This Row],[Costo SIN Comision]]</f>
        <v>6.4722727272727</v>
      </c>
      <c r="M167" s="14"/>
    </row>
    <row r="168" ht="20" hidden="1" customHeight="1" spans="1:13">
      <c r="A168" s="10">
        <v>45064</v>
      </c>
      <c r="B168" s="11"/>
      <c r="C168" s="11" t="s">
        <v>4083</v>
      </c>
      <c r="D168" s="11"/>
      <c r="E168" s="11" t="s">
        <v>31</v>
      </c>
      <c r="F168" s="11" t="str">
        <f>IFERROR(VLOOKUP(VENTAS[[#This Row],[Código del producto Vendido]],STOCK[],5,FALSE),"-")</f>
        <v>Pareo falda </v>
      </c>
      <c r="G168" s="11">
        <v>4</v>
      </c>
      <c r="H168" s="14">
        <v>8</v>
      </c>
      <c r="I168" s="14">
        <f>VENTAS[[#This Row],[Cantidad]]*VENTAS[[#This Row],[Precio Venta]]</f>
        <v>32</v>
      </c>
      <c r="J168" s="14">
        <f>IF(VENTAS[[#This Row],[Nombre del Gestor]]&gt;1,VENTAS[[#This Row],[Total]]*10%,0)</f>
        <v>0</v>
      </c>
      <c r="K168" s="14">
        <f>IFERROR(VLOOKUP(VENTAS[[#This Row],[Código del producto Vendido]],STOCK[],16,FALSE)*VENTAS[[#This Row],[Cantidad]]+VLOOKUP(VENTAS[[#This Row],[Código del producto Vendido]],STOCK[],19,FALSE)*VENTAS[[#This Row],[Cantidad]],VENTAS[[#This Row],[Total]])</f>
        <v>17.3488888888889</v>
      </c>
      <c r="L168" s="14">
        <f>VENTAS[[#This Row],[Total]]-VENTAS[[#This Row],[Comisión 10%]]-VENTAS[[#This Row],[Costo SIN Comision]]</f>
        <v>14.6511111111111</v>
      </c>
      <c r="M168" s="14"/>
    </row>
    <row r="169" ht="20" hidden="1" customHeight="1" spans="1:13">
      <c r="A169" s="10">
        <v>45064</v>
      </c>
      <c r="B169" s="11"/>
      <c r="C169" s="11" t="s">
        <v>4083</v>
      </c>
      <c r="D169" s="11"/>
      <c r="E169" s="11" t="s">
        <v>109</v>
      </c>
      <c r="F169" s="11" t="str">
        <f>IFERROR(VLOOKUP(VENTAS[[#This Row],[Código del producto Vendido]],STOCK[],5,FALSE),"-")</f>
        <v>Bañador color combinado</v>
      </c>
      <c r="G169" s="11">
        <v>1</v>
      </c>
      <c r="H169" s="14">
        <v>25</v>
      </c>
      <c r="I169" s="14">
        <f>VENTAS[[#This Row],[Cantidad]]*VENTAS[[#This Row],[Precio Venta]]</f>
        <v>25</v>
      </c>
      <c r="J169" s="14">
        <f>IF(VENTAS[[#This Row],[Nombre del Gestor]]&gt;1,VENTAS[[#This Row],[Total]]*10%,0)</f>
        <v>0</v>
      </c>
      <c r="K169" s="14">
        <f>IFERROR(VLOOKUP(VENTAS[[#This Row],[Código del producto Vendido]],STOCK[],16,FALSE)*VENTAS[[#This Row],[Cantidad]]+VLOOKUP(VENTAS[[#This Row],[Código del producto Vendido]],STOCK[],19,FALSE)*VENTAS[[#This Row],[Cantidad]],VENTAS[[#This Row],[Total]])</f>
        <v>18.4788888888889</v>
      </c>
      <c r="L169" s="14">
        <f>VENTAS[[#This Row],[Total]]-VENTAS[[#This Row],[Comisión 10%]]-VENTAS[[#This Row],[Costo SIN Comision]]</f>
        <v>6.5211111111111</v>
      </c>
      <c r="M169" s="14"/>
    </row>
    <row r="170" ht="20" hidden="1" customHeight="1" spans="1:13">
      <c r="A170" s="10">
        <v>45064</v>
      </c>
      <c r="B170" s="11"/>
      <c r="C170" s="11" t="s">
        <v>4093</v>
      </c>
      <c r="D170" s="11"/>
      <c r="E170" s="11" t="s">
        <v>898</v>
      </c>
      <c r="F170" s="11" t="str">
        <f>IFERROR(VLOOKUP(VENTAS[[#This Row],[Código del producto Vendido]],STOCK[],5,FALSE),"-")</f>
        <v>Bañador con adorno de malla</v>
      </c>
      <c r="G170" s="11">
        <v>1</v>
      </c>
      <c r="H170" s="14">
        <v>25</v>
      </c>
      <c r="I170" s="14">
        <f>VENTAS[[#This Row],[Cantidad]]*VENTAS[[#This Row],[Precio Venta]]</f>
        <v>25</v>
      </c>
      <c r="J170" s="14">
        <f>IF(VENTAS[[#This Row],[Nombre del Gestor]]&gt;1,VENTAS[[#This Row],[Total]]*10%,0)</f>
        <v>0</v>
      </c>
      <c r="K170" s="14">
        <f>IFERROR(VLOOKUP(VENTAS[[#This Row],[Código del producto Vendido]],STOCK[],16,FALSE)*VENTAS[[#This Row],[Cantidad]]+VLOOKUP(VENTAS[[#This Row],[Código del producto Vendido]],STOCK[],19,FALSE)*VENTAS[[#This Row],[Cantidad]],VENTAS[[#This Row],[Total]])</f>
        <v>16.1795454545455</v>
      </c>
      <c r="L170" s="14">
        <f>VENTAS[[#This Row],[Total]]-VENTAS[[#This Row],[Comisión 10%]]-VENTAS[[#This Row],[Costo SIN Comision]]</f>
        <v>8.8204545454545</v>
      </c>
      <c r="M170" s="14"/>
    </row>
    <row r="171" ht="20" hidden="1" customHeight="1" spans="1:13">
      <c r="A171" s="10">
        <v>45064</v>
      </c>
      <c r="B171" s="11"/>
      <c r="C171" s="11" t="s">
        <v>4094</v>
      </c>
      <c r="D171" s="11"/>
      <c r="E171" s="11" t="s">
        <v>1003</v>
      </c>
      <c r="F171" s="11" t="str">
        <f>IFERROR(VLOOKUP(VENTAS[[#This Row],[Código del producto Vendido]],STOCK[],5,FALSE),"-")</f>
        <v>Vestido frenchy de puntos</v>
      </c>
      <c r="G171" s="11">
        <v>1</v>
      </c>
      <c r="H171" s="14">
        <v>22</v>
      </c>
      <c r="I171" s="14">
        <f>VENTAS[[#This Row],[Cantidad]]*VENTAS[[#This Row],[Precio Venta]]</f>
        <v>22</v>
      </c>
      <c r="J171" s="14">
        <f>IF(VENTAS[[#This Row],[Nombre del Gestor]]&gt;1,VENTAS[[#This Row],[Total]]*10%,0)</f>
        <v>0</v>
      </c>
      <c r="K171" s="14">
        <f>IFERROR(VLOOKUP(VENTAS[[#This Row],[Código del producto Vendido]],STOCK[],16,FALSE)*VENTAS[[#This Row],[Cantidad]]+VLOOKUP(VENTAS[[#This Row],[Código del producto Vendido]],STOCK[],19,FALSE)*VENTAS[[#This Row],[Cantidad]],VENTAS[[#This Row],[Total]])</f>
        <v>15.3272727272727</v>
      </c>
      <c r="L171" s="14">
        <f>VENTAS[[#This Row],[Total]]-VENTAS[[#This Row],[Comisión 10%]]-VENTAS[[#This Row],[Costo SIN Comision]]</f>
        <v>6.6727272727273</v>
      </c>
      <c r="M171" s="14"/>
    </row>
    <row r="172" ht="20" hidden="1" customHeight="1" spans="1:13">
      <c r="A172" s="10">
        <v>45065</v>
      </c>
      <c r="B172" s="11"/>
      <c r="C172" s="11" t="s">
        <v>4095</v>
      </c>
      <c r="D172" s="11"/>
      <c r="E172" s="11" t="s">
        <v>953</v>
      </c>
      <c r="F172" s="11" t="str">
        <f>IFERROR(VLOOKUP(VENTAS[[#This Row],[Código del producto Vendido]],STOCK[],5,FALSE),"-")</f>
        <v> Pantaloneta Verde</v>
      </c>
      <c r="G172" s="11">
        <v>1</v>
      </c>
      <c r="H172" s="14">
        <v>25</v>
      </c>
      <c r="I172" s="14">
        <f>VENTAS[[#This Row],[Cantidad]]*VENTAS[[#This Row],[Precio Venta]]</f>
        <v>25</v>
      </c>
      <c r="J172" s="14">
        <f>IF(VENTAS[[#This Row],[Nombre del Gestor]]&gt;1,VENTAS[[#This Row],[Total]]*10%,0)</f>
        <v>0</v>
      </c>
      <c r="K172" s="14">
        <f>IFERROR(VLOOKUP(VENTAS[[#This Row],[Código del producto Vendido]],STOCK[],16,FALSE)*VENTAS[[#This Row],[Cantidad]]+VLOOKUP(VENTAS[[#This Row],[Código del producto Vendido]],STOCK[],19,FALSE)*VENTAS[[#This Row],[Cantidad]],VENTAS[[#This Row],[Total]])</f>
        <v>14.8713636363636</v>
      </c>
      <c r="L172" s="14">
        <f>VENTAS[[#This Row],[Total]]-VENTAS[[#This Row],[Comisión 10%]]-VENTAS[[#This Row],[Costo SIN Comision]]</f>
        <v>10.1286363636364</v>
      </c>
      <c r="M172" s="14"/>
    </row>
    <row r="173" ht="20" hidden="1" customHeight="1" spans="1:13">
      <c r="A173" s="10">
        <v>45065</v>
      </c>
      <c r="B173" s="11"/>
      <c r="C173" s="11" t="s">
        <v>4096</v>
      </c>
      <c r="D173" s="11"/>
      <c r="E173" s="11" t="s">
        <v>437</v>
      </c>
      <c r="F173" s="11" t="str">
        <f>IFERROR(VLOOKUP(VENTAS[[#This Row],[Código del producto Vendido]],STOCK[],5,FALSE),"-")</f>
        <v>Bañador bikini floral</v>
      </c>
      <c r="G173" s="11">
        <v>1</v>
      </c>
      <c r="H173" s="14">
        <v>25</v>
      </c>
      <c r="I173" s="14">
        <f>VENTAS[[#This Row],[Cantidad]]*VENTAS[[#This Row],[Precio Venta]]</f>
        <v>25</v>
      </c>
      <c r="J173" s="14">
        <f>IF(VENTAS[[#This Row],[Nombre del Gestor]]&gt;1,VENTAS[[#This Row],[Total]]*10%,0)</f>
        <v>0</v>
      </c>
      <c r="K173" s="14">
        <f>IFERROR(VLOOKUP(VENTAS[[#This Row],[Código del producto Vendido]],STOCK[],16,FALSE)*VENTAS[[#This Row],[Cantidad]]+VLOOKUP(VENTAS[[#This Row],[Código del producto Vendido]],STOCK[],19,FALSE)*VENTAS[[#This Row],[Cantidad]],VENTAS[[#This Row],[Total]])</f>
        <v>16.6044444444444</v>
      </c>
      <c r="L173" s="14">
        <f>VENTAS[[#This Row],[Total]]-VENTAS[[#This Row],[Comisión 10%]]-VENTAS[[#This Row],[Costo SIN Comision]]</f>
        <v>8.3955555555556</v>
      </c>
      <c r="M173" s="14"/>
    </row>
    <row r="174" ht="20" hidden="1" customHeight="1" spans="1:13">
      <c r="A174" s="10">
        <v>45065</v>
      </c>
      <c r="B174" s="11"/>
      <c r="C174" s="11" t="s">
        <v>4097</v>
      </c>
      <c r="D174" s="11"/>
      <c r="E174" s="11" t="s">
        <v>368</v>
      </c>
      <c r="F174" s="11" t="str">
        <f>IFERROR(VLOOKUP(VENTAS[[#This Row],[Código del producto Vendido]],STOCK[],5,FALSE),"-")</f>
        <v>Vestido de un hombro con nudo</v>
      </c>
      <c r="G174" s="11">
        <v>1</v>
      </c>
      <c r="H174" s="14">
        <v>15</v>
      </c>
      <c r="I174" s="14">
        <f>VENTAS[[#This Row],[Cantidad]]*VENTAS[[#This Row],[Precio Venta]]</f>
        <v>15</v>
      </c>
      <c r="J174" s="14">
        <f>IF(VENTAS[[#This Row],[Nombre del Gestor]]&gt;1,VENTAS[[#This Row],[Total]]*10%,0)</f>
        <v>0</v>
      </c>
      <c r="K174" s="14">
        <f>IFERROR(VLOOKUP(VENTAS[[#This Row],[Código del producto Vendido]],STOCK[],16,FALSE)*VENTAS[[#This Row],[Cantidad]]+VLOOKUP(VENTAS[[#This Row],[Código del producto Vendido]],STOCK[],19,FALSE)*VENTAS[[#This Row],[Cantidad]],VENTAS[[#This Row],[Total]])</f>
        <v>12.835</v>
      </c>
      <c r="L174" s="14">
        <f>VENTAS[[#This Row],[Total]]-VENTAS[[#This Row],[Comisión 10%]]-VENTAS[[#This Row],[Costo SIN Comision]]</f>
        <v>2.165</v>
      </c>
      <c r="M174" s="14"/>
    </row>
    <row r="175" ht="20" hidden="1" customHeight="1" spans="1:13">
      <c r="A175" s="10">
        <v>45065</v>
      </c>
      <c r="B175" s="11"/>
      <c r="C175" s="11" t="s">
        <v>4097</v>
      </c>
      <c r="D175" s="11"/>
      <c r="E175" s="11" t="s">
        <v>379</v>
      </c>
      <c r="F175" s="11" t="str">
        <f>IFERROR(VLOOKUP(VENTAS[[#This Row],[Código del producto Vendido]],STOCK[],5,FALSE),"-")</f>
        <v>Elegant Vestido ajustado con estampado de leopardo</v>
      </c>
      <c r="G175" s="11">
        <v>1</v>
      </c>
      <c r="H175" s="14">
        <v>15</v>
      </c>
      <c r="I175" s="14">
        <f>VENTAS[[#This Row],[Cantidad]]*VENTAS[[#This Row],[Precio Venta]]</f>
        <v>15</v>
      </c>
      <c r="J175" s="14">
        <f>IF(VENTAS[[#This Row],[Nombre del Gestor]]&gt;1,VENTAS[[#This Row],[Total]]*10%,0)</f>
        <v>0</v>
      </c>
      <c r="K175" s="14">
        <f>IFERROR(VLOOKUP(VENTAS[[#This Row],[Código del producto Vendido]],STOCK[],16,FALSE)*VENTAS[[#This Row],[Cantidad]]+VLOOKUP(VENTAS[[#This Row],[Código del producto Vendido]],STOCK[],19,FALSE)*VENTAS[[#This Row],[Cantidad]],VENTAS[[#This Row],[Total]])</f>
        <v>7.24833333333333</v>
      </c>
      <c r="L175" s="14">
        <f>VENTAS[[#This Row],[Total]]-VENTAS[[#This Row],[Comisión 10%]]-VENTAS[[#This Row],[Costo SIN Comision]]</f>
        <v>7.75166666666667</v>
      </c>
      <c r="M175" s="14"/>
    </row>
    <row r="176" ht="20" hidden="1" customHeight="1" spans="1:13">
      <c r="A176" s="10">
        <v>45065</v>
      </c>
      <c r="B176" s="11"/>
      <c r="C176" s="11" t="s">
        <v>4097</v>
      </c>
      <c r="D176" s="11"/>
      <c r="E176" s="11" t="s">
        <v>584</v>
      </c>
      <c r="F176" s="11" t="str">
        <f>IFERROR(VLOOKUP(VENTAS[[#This Row],[Código del producto Vendido]],STOCK[],5,FALSE),"-")</f>
        <v>Top cruzado blanco</v>
      </c>
      <c r="G176" s="11">
        <v>1</v>
      </c>
      <c r="H176" s="14">
        <v>9</v>
      </c>
      <c r="I176" s="14">
        <f>VENTAS[[#This Row],[Cantidad]]*VENTAS[[#This Row],[Precio Venta]]</f>
        <v>9</v>
      </c>
      <c r="J176" s="14">
        <f>IF(VENTAS[[#This Row],[Nombre del Gestor]]&gt;1,VENTAS[[#This Row],[Total]]*10%,0)</f>
        <v>0</v>
      </c>
      <c r="K176" s="14">
        <f>IFERROR(VLOOKUP(VENTAS[[#This Row],[Código del producto Vendido]],STOCK[],16,FALSE)*VENTAS[[#This Row],[Cantidad]]+VLOOKUP(VENTAS[[#This Row],[Código del producto Vendido]],STOCK[],19,FALSE)*VENTAS[[#This Row],[Cantidad]],VENTAS[[#This Row],[Total]])</f>
        <v>5.19333333333333</v>
      </c>
      <c r="L176" s="14">
        <f>VENTAS[[#This Row],[Total]]-VENTAS[[#This Row],[Comisión 10%]]-VENTAS[[#This Row],[Costo SIN Comision]]</f>
        <v>3.80666666666667</v>
      </c>
      <c r="M176" s="14"/>
    </row>
    <row r="177" ht="20" hidden="1" customHeight="1" spans="1:13">
      <c r="A177" s="10">
        <v>45065</v>
      </c>
      <c r="B177" s="11"/>
      <c r="C177" s="11" t="s">
        <v>4097</v>
      </c>
      <c r="D177" s="11"/>
      <c r="E177" s="11" t="s">
        <v>729</v>
      </c>
      <c r="F177" s="11" t="str">
        <f>IFERROR(VLOOKUP(VENTAS[[#This Row],[Código del producto Vendido]],STOCK[],5,FALSE),"-")</f>
        <v>Vestido acanalado de un hombro</v>
      </c>
      <c r="G177" s="11">
        <v>1</v>
      </c>
      <c r="H177" s="14">
        <v>18</v>
      </c>
      <c r="I177" s="14">
        <f>VENTAS[[#This Row],[Cantidad]]*VENTAS[[#This Row],[Precio Venta]]</f>
        <v>18</v>
      </c>
      <c r="J177" s="14">
        <f>IF(VENTAS[[#This Row],[Nombre del Gestor]]&gt;1,VENTAS[[#This Row],[Total]]*10%,0)</f>
        <v>0</v>
      </c>
      <c r="K177" s="14">
        <f>IFERROR(VLOOKUP(VENTAS[[#This Row],[Código del producto Vendido]],STOCK[],16,FALSE)*VENTAS[[#This Row],[Cantidad]]+VLOOKUP(VENTAS[[#This Row],[Código del producto Vendido]],STOCK[],19,FALSE)*VENTAS[[#This Row],[Cantidad]],VENTAS[[#This Row],[Total]])</f>
        <v>11.9444444444444</v>
      </c>
      <c r="L177" s="14">
        <f>VENTAS[[#This Row],[Total]]-VENTAS[[#This Row],[Comisión 10%]]-VENTAS[[#This Row],[Costo SIN Comision]]</f>
        <v>6.05555555555556</v>
      </c>
      <c r="M177" s="14"/>
    </row>
    <row r="178" ht="20" hidden="1" customHeight="1" spans="1:13">
      <c r="A178" s="10"/>
      <c r="B178" s="11" t="s">
        <v>4087</v>
      </c>
      <c r="C178" s="11" t="s">
        <v>4088</v>
      </c>
      <c r="D178" s="11"/>
      <c r="E178" s="11" t="s">
        <v>4098</v>
      </c>
      <c r="F178" s="11" t="str">
        <f>IFERROR(VLOOKUP(VENTAS[[#This Row],[Código del producto Vendido]],STOCK[],5,FALSE),"-")</f>
        <v>-</v>
      </c>
      <c r="G178" s="11">
        <v>1</v>
      </c>
      <c r="H178" s="14">
        <v>18</v>
      </c>
      <c r="I178" s="14">
        <f>VENTAS[[#This Row],[Cantidad]]*VENTAS[[#This Row],[Precio Venta]]</f>
        <v>18</v>
      </c>
      <c r="J178" s="14">
        <f>IF(VENTAS[[#This Row],[Nombre del Gestor]]&gt;1,VENTAS[[#This Row],[Total]]*10%,0)</f>
        <v>0</v>
      </c>
      <c r="K178" s="14">
        <f>IFERROR(VLOOKUP(VENTAS[[#This Row],[Código del producto Vendido]],STOCK[],16,FALSE)*VENTAS[[#This Row],[Cantidad]]+VLOOKUP(VENTAS[[#This Row],[Código del producto Vendido]],STOCK[],19,FALSE)*VENTAS[[#This Row],[Cantidad]],VENTAS[[#This Row],[Total]])</f>
        <v>18</v>
      </c>
      <c r="L178" s="14">
        <f>VENTAS[[#This Row],[Total]]-VENTAS[[#This Row],[Comisión 10%]]-VENTAS[[#This Row],[Costo SIN Comision]]</f>
        <v>0</v>
      </c>
      <c r="M178" s="14"/>
    </row>
    <row r="179" ht="20" hidden="1" customHeight="1" spans="1:13">
      <c r="A179" s="10">
        <v>45065</v>
      </c>
      <c r="B179" s="11"/>
      <c r="C179" s="11" t="s">
        <v>4099</v>
      </c>
      <c r="D179" s="11"/>
      <c r="E179" s="11" t="s">
        <v>1041</v>
      </c>
      <c r="F179" s="11" t="str">
        <f>IFERROR(VLOOKUP(VENTAS[[#This Row],[Código del producto Vendido]],STOCK[],5,FALSE),"-")</f>
        <v>Jeans Elastizados Pierna Ancha</v>
      </c>
      <c r="G179" s="11">
        <v>1</v>
      </c>
      <c r="H179" s="14">
        <v>35</v>
      </c>
      <c r="I179" s="14">
        <f>VENTAS[[#This Row],[Cantidad]]*VENTAS[[#This Row],[Precio Venta]]</f>
        <v>35</v>
      </c>
      <c r="J179" s="14">
        <f>IF(VENTAS[[#This Row],[Nombre del Gestor]]&gt;1,VENTAS[[#This Row],[Total]]*10%,0)</f>
        <v>0</v>
      </c>
      <c r="K179" s="14">
        <f>IFERROR(VLOOKUP(VENTAS[[#This Row],[Código del producto Vendido]],STOCK[],16,FALSE)*VENTAS[[#This Row],[Cantidad]]+VLOOKUP(VENTAS[[#This Row],[Código del producto Vendido]],STOCK[],19,FALSE)*VENTAS[[#This Row],[Cantidad]],VENTAS[[#This Row],[Total]])</f>
        <v>27.5227272727273</v>
      </c>
      <c r="L179" s="14">
        <f>VENTAS[[#This Row],[Total]]-VENTAS[[#This Row],[Comisión 10%]]-VENTAS[[#This Row],[Costo SIN Comision]]</f>
        <v>7.4772727272727</v>
      </c>
      <c r="M179" s="14"/>
    </row>
    <row r="180" ht="20" hidden="1" customHeight="1" spans="1:13">
      <c r="A180" s="10">
        <v>45067</v>
      </c>
      <c r="B180" s="11"/>
      <c r="C180" s="11" t="s">
        <v>4100</v>
      </c>
      <c r="D180" s="11"/>
      <c r="E180" s="11" t="s">
        <v>915</v>
      </c>
      <c r="F180" s="11" t="str">
        <f>IFERROR(VLOOKUP(VENTAS[[#This Row],[Código del producto Vendido]],STOCK[],5,FALSE),"-")</f>
        <v>Camiseta con figura</v>
      </c>
      <c r="G180" s="11">
        <v>1</v>
      </c>
      <c r="H180" s="14">
        <v>14</v>
      </c>
      <c r="I180" s="14">
        <f>VENTAS[[#This Row],[Cantidad]]*VENTAS[[#This Row],[Precio Venta]]</f>
        <v>14</v>
      </c>
      <c r="J180" s="14">
        <f>IF(VENTAS[[#This Row],[Nombre del Gestor]]&gt;1,VENTAS[[#This Row],[Total]]*10%,0)</f>
        <v>0</v>
      </c>
      <c r="K180" s="14">
        <f>IFERROR(VLOOKUP(VENTAS[[#This Row],[Código del producto Vendido]],STOCK[],16,FALSE)*VENTAS[[#This Row],[Cantidad]]+VLOOKUP(VENTAS[[#This Row],[Código del producto Vendido]],STOCK[],19,FALSE)*VENTAS[[#This Row],[Cantidad]],VENTAS[[#This Row],[Total]])</f>
        <v>10.0772727272727</v>
      </c>
      <c r="L180" s="14">
        <f>VENTAS[[#This Row],[Total]]-VENTAS[[#This Row],[Comisión 10%]]-VENTAS[[#This Row],[Costo SIN Comision]]</f>
        <v>3.92272727272727</v>
      </c>
      <c r="M180" s="14"/>
    </row>
    <row r="181" ht="20" hidden="1" customHeight="1" spans="1:13">
      <c r="A181" s="10">
        <v>45067</v>
      </c>
      <c r="B181" s="11"/>
      <c r="C181" s="11" t="s">
        <v>4100</v>
      </c>
      <c r="D181" s="11"/>
      <c r="E181" s="11" t="s">
        <v>1048</v>
      </c>
      <c r="F181" s="11" t="str">
        <f>IFERROR(VLOOKUP(VENTAS[[#This Row],[Código del producto Vendido]],STOCK[],5,FALSE),"-")</f>
        <v>Jeans Ajustados Claro</v>
      </c>
      <c r="G181" s="11">
        <v>1</v>
      </c>
      <c r="H181" s="14">
        <v>35</v>
      </c>
      <c r="I181" s="14">
        <f>VENTAS[[#This Row],[Cantidad]]*VENTAS[[#This Row],[Precio Venta]]</f>
        <v>35</v>
      </c>
      <c r="J181" s="14">
        <f>IF(VENTAS[[#This Row],[Nombre del Gestor]]&gt;1,VENTAS[[#This Row],[Total]]*10%,0)</f>
        <v>0</v>
      </c>
      <c r="K181" s="14">
        <f>IFERROR(VLOOKUP(VENTAS[[#This Row],[Código del producto Vendido]],STOCK[],16,FALSE)*VENTAS[[#This Row],[Cantidad]]+VLOOKUP(VENTAS[[#This Row],[Código del producto Vendido]],STOCK[],19,FALSE)*VENTAS[[#This Row],[Cantidad]],VENTAS[[#This Row],[Total]])</f>
        <v>25.8181818181818</v>
      </c>
      <c r="L181" s="14">
        <f>VENTAS[[#This Row],[Total]]-VENTAS[[#This Row],[Comisión 10%]]-VENTAS[[#This Row],[Costo SIN Comision]]</f>
        <v>9.1818181818182</v>
      </c>
      <c r="M181" s="14"/>
    </row>
    <row r="182" ht="20" hidden="1" customHeight="1" spans="1:13">
      <c r="A182" s="10">
        <v>45067</v>
      </c>
      <c r="B182" s="11"/>
      <c r="C182" s="11" t="s">
        <v>4100</v>
      </c>
      <c r="D182" s="11"/>
      <c r="E182" s="11" t="s">
        <v>773</v>
      </c>
      <c r="F182" s="11" t="str">
        <f>IFERROR(VLOOKUP(VENTAS[[#This Row],[Código del producto Vendido]],STOCK[],5,FALSE),"-")</f>
        <v>Sandalias prácticas</v>
      </c>
      <c r="G182" s="11">
        <v>1</v>
      </c>
      <c r="H182" s="14">
        <v>30</v>
      </c>
      <c r="I182" s="14">
        <f>VENTAS[[#This Row],[Cantidad]]*VENTAS[[#This Row],[Precio Venta]]</f>
        <v>30</v>
      </c>
      <c r="J182" s="14">
        <f>IF(VENTAS[[#This Row],[Nombre del Gestor]]&gt;1,VENTAS[[#This Row],[Total]]*10%,0)</f>
        <v>0</v>
      </c>
      <c r="K182" s="14">
        <f>IFERROR(VLOOKUP(VENTAS[[#This Row],[Código del producto Vendido]],STOCK[],16,FALSE)*VENTAS[[#This Row],[Cantidad]]+VLOOKUP(VENTAS[[#This Row],[Código del producto Vendido]],STOCK[],19,FALSE)*VENTAS[[#This Row],[Cantidad]],VENTAS[[#This Row],[Total]])</f>
        <v>23.2777777777778</v>
      </c>
      <c r="L182" s="14">
        <f>VENTAS[[#This Row],[Total]]-VENTAS[[#This Row],[Comisión 10%]]-VENTAS[[#This Row],[Costo SIN Comision]]</f>
        <v>6.7222222222222</v>
      </c>
      <c r="M182" s="14"/>
    </row>
    <row r="183" ht="20" hidden="1" customHeight="1" spans="1:13">
      <c r="A183" s="10">
        <v>45067</v>
      </c>
      <c r="B183" s="11"/>
      <c r="C183" s="11" t="s">
        <v>4101</v>
      </c>
      <c r="D183" s="11"/>
      <c r="E183" s="11" t="s">
        <v>191</v>
      </c>
      <c r="F183" s="11" t="str">
        <f>IFERROR(VLOOKUP(VENTAS[[#This Row],[Código del producto Vendido]],STOCK[],5,FALSE),"-")</f>
        <v>Pantalones de pierna ancha de talle alto con abertura</v>
      </c>
      <c r="G183" s="11">
        <v>1</v>
      </c>
      <c r="H183" s="14">
        <v>25</v>
      </c>
      <c r="I183" s="14">
        <f>VENTAS[[#This Row],[Cantidad]]*VENTAS[[#This Row],[Precio Venta]]</f>
        <v>25</v>
      </c>
      <c r="J183" s="14">
        <f>IF(VENTAS[[#This Row],[Nombre del Gestor]]&gt;1,VENTAS[[#This Row],[Total]]*10%,0)</f>
        <v>0</v>
      </c>
      <c r="K183" s="14">
        <f>IFERROR(VLOOKUP(VENTAS[[#This Row],[Código del producto Vendido]],STOCK[],16,FALSE)*VENTAS[[#This Row],[Cantidad]]+VLOOKUP(VENTAS[[#This Row],[Código del producto Vendido]],STOCK[],19,FALSE)*VENTAS[[#This Row],[Cantidad]],VENTAS[[#This Row],[Total]])</f>
        <v>13.0711111111111</v>
      </c>
      <c r="L183" s="14">
        <f>VENTAS[[#This Row],[Total]]-VENTAS[[#This Row],[Comisión 10%]]-VENTAS[[#This Row],[Costo SIN Comision]]</f>
        <v>11.9288888888889</v>
      </c>
      <c r="M183" s="14"/>
    </row>
    <row r="184" ht="20" hidden="1" customHeight="1" spans="1:13">
      <c r="A184" s="10">
        <v>45067</v>
      </c>
      <c r="B184" s="11"/>
      <c r="C184" s="11" t="s">
        <v>4101</v>
      </c>
      <c r="D184" s="11"/>
      <c r="E184" s="11" t="s">
        <v>1029</v>
      </c>
      <c r="F184" s="11" t="str">
        <f>IFERROR(VLOOKUP(VENTAS[[#This Row],[Código del producto Vendido]],STOCK[],5,FALSE),"-")</f>
        <v>Top Dreamer Blanco</v>
      </c>
      <c r="G184" s="11">
        <v>1</v>
      </c>
      <c r="H184" s="14">
        <v>12</v>
      </c>
      <c r="I184" s="14">
        <f>VENTAS[[#This Row],[Cantidad]]*VENTAS[[#This Row],[Precio Venta]]</f>
        <v>12</v>
      </c>
      <c r="J184" s="14">
        <f>IF(VENTAS[[#This Row],[Nombre del Gestor]]&gt;1,VENTAS[[#This Row],[Total]]*10%,0)</f>
        <v>0</v>
      </c>
      <c r="K184" s="14">
        <f>IFERROR(VLOOKUP(VENTAS[[#This Row],[Código del producto Vendido]],STOCK[],16,FALSE)*VENTAS[[#This Row],[Cantidad]]+VLOOKUP(VENTAS[[#This Row],[Código del producto Vendido]],STOCK[],19,FALSE)*VENTAS[[#This Row],[Cantidad]],VENTAS[[#This Row],[Total]])</f>
        <v>6.75909090909091</v>
      </c>
      <c r="L184" s="14">
        <f>VENTAS[[#This Row],[Total]]-VENTAS[[#This Row],[Comisión 10%]]-VENTAS[[#This Row],[Costo SIN Comision]]</f>
        <v>5.24090909090909</v>
      </c>
      <c r="M184" s="14"/>
    </row>
    <row r="185" ht="20" hidden="1" customHeight="1" spans="1:13">
      <c r="A185" s="10">
        <v>45067</v>
      </c>
      <c r="B185" s="11"/>
      <c r="C185" s="11" t="s">
        <v>4101</v>
      </c>
      <c r="D185" s="11"/>
      <c r="E185" s="11" t="s">
        <v>233</v>
      </c>
      <c r="F185" s="11" t="str">
        <f>IFERROR(VLOOKUP(VENTAS[[#This Row],[Código del producto Vendido]],STOCK[],5,FALSE),"-")</f>
        <v>Top estampado de cuello con cordón</v>
      </c>
      <c r="G185" s="11">
        <v>1</v>
      </c>
      <c r="H185" s="14">
        <v>12</v>
      </c>
      <c r="I185" s="14">
        <f>VENTAS[[#This Row],[Cantidad]]*VENTAS[[#This Row],[Precio Venta]]</f>
        <v>12</v>
      </c>
      <c r="J185" s="14">
        <f>IF(VENTAS[[#This Row],[Nombre del Gestor]]&gt;1,VENTAS[[#This Row],[Total]]*10%,0)</f>
        <v>0</v>
      </c>
      <c r="K185" s="14">
        <f>IFERROR(VLOOKUP(VENTAS[[#This Row],[Código del producto Vendido]],STOCK[],16,FALSE)*VENTAS[[#This Row],[Cantidad]]+VLOOKUP(VENTAS[[#This Row],[Código del producto Vendido]],STOCK[],19,FALSE)*VENTAS[[#This Row],[Cantidad]],VENTAS[[#This Row],[Total]])</f>
        <v>8.22222222222222</v>
      </c>
      <c r="L185" s="14">
        <f>VENTAS[[#This Row],[Total]]-VENTAS[[#This Row],[Comisión 10%]]-VENTAS[[#This Row],[Costo SIN Comision]]</f>
        <v>3.77777777777778</v>
      </c>
      <c r="M185" s="14"/>
    </row>
    <row r="186" ht="20" hidden="1" customHeight="1" spans="1:13">
      <c r="A186" s="10">
        <v>45067</v>
      </c>
      <c r="B186" s="11"/>
      <c r="C186" s="11" t="s">
        <v>4102</v>
      </c>
      <c r="D186" s="11"/>
      <c r="E186" s="11" t="s">
        <v>944</v>
      </c>
      <c r="F186" s="11" t="str">
        <f>IFERROR(VLOOKUP(VENTAS[[#This Row],[Código del producto Vendido]],STOCK[],5,FALSE),"-")</f>
        <v>Vestido Tropical</v>
      </c>
      <c r="G186" s="11">
        <v>1</v>
      </c>
      <c r="H186" s="14">
        <v>30</v>
      </c>
      <c r="I186" s="14">
        <f>VENTAS[[#This Row],[Cantidad]]*VENTAS[[#This Row],[Precio Venta]]</f>
        <v>30</v>
      </c>
      <c r="J186" s="14">
        <f>IF(VENTAS[[#This Row],[Nombre del Gestor]]&gt;1,VENTAS[[#This Row],[Total]]*10%,0)</f>
        <v>0</v>
      </c>
      <c r="K186" s="14">
        <f>IFERROR(VLOOKUP(VENTAS[[#This Row],[Código del producto Vendido]],STOCK[],16,FALSE)*VENTAS[[#This Row],[Cantidad]]+VLOOKUP(VENTAS[[#This Row],[Código del producto Vendido]],STOCK[],19,FALSE)*VENTAS[[#This Row],[Cantidad]],VENTAS[[#This Row],[Total]])</f>
        <v>19.0186363636364</v>
      </c>
      <c r="L186" s="14">
        <f>VENTAS[[#This Row],[Total]]-VENTAS[[#This Row],[Comisión 10%]]-VENTAS[[#This Row],[Costo SIN Comision]]</f>
        <v>10.9813636363636</v>
      </c>
      <c r="M186" s="14"/>
    </row>
    <row r="187" ht="20" hidden="1" customHeight="1" spans="1:13">
      <c r="A187" s="10">
        <v>45067</v>
      </c>
      <c r="B187" s="11"/>
      <c r="C187" s="11" t="s">
        <v>4102</v>
      </c>
      <c r="D187" s="11"/>
      <c r="E187" s="11" t="s">
        <v>81</v>
      </c>
      <c r="F187" s="11" t="str">
        <f>IFERROR(VLOOKUP(VENTAS[[#This Row],[Código del producto Vendido]],STOCK[],5,FALSE),"-")</f>
        <v>Pareo pantalón de malla</v>
      </c>
      <c r="G187" s="11">
        <v>1</v>
      </c>
      <c r="H187" s="14">
        <v>15</v>
      </c>
      <c r="I187" s="14">
        <f>VENTAS[[#This Row],[Cantidad]]*VENTAS[[#This Row],[Precio Venta]]</f>
        <v>15</v>
      </c>
      <c r="J187" s="14">
        <f>IF(VENTAS[[#This Row],[Nombre del Gestor]]&gt;1,VENTAS[[#This Row],[Total]]*10%,0)</f>
        <v>0</v>
      </c>
      <c r="K187" s="14">
        <f>IFERROR(VLOOKUP(VENTAS[[#This Row],[Código del producto Vendido]],STOCK[],16,FALSE)*VENTAS[[#This Row],[Cantidad]]+VLOOKUP(VENTAS[[#This Row],[Código del producto Vendido]],STOCK[],19,FALSE)*VENTAS[[#This Row],[Cantidad]],VENTAS[[#This Row],[Total]])</f>
        <v>9.95555555555556</v>
      </c>
      <c r="L187" s="14">
        <f>VENTAS[[#This Row],[Total]]-VENTAS[[#This Row],[Comisión 10%]]-VENTAS[[#This Row],[Costo SIN Comision]]</f>
        <v>5.04444444444444</v>
      </c>
      <c r="M187" s="14"/>
    </row>
    <row r="188" ht="20" hidden="1" customHeight="1" spans="1:13">
      <c r="A188" s="10">
        <v>45068</v>
      </c>
      <c r="B188" s="11"/>
      <c r="C188" s="11" t="s">
        <v>4103</v>
      </c>
      <c r="D188" s="11"/>
      <c r="E188" s="11" t="s">
        <v>166</v>
      </c>
      <c r="F188" s="11" t="str">
        <f>IFERROR(VLOOKUP(VENTAS[[#This Row],[Código del producto Vendido]],STOCK[],5,FALSE),"-")</f>
        <v>Vestido de manga farol con cordón delantero</v>
      </c>
      <c r="G188" s="11">
        <v>1</v>
      </c>
      <c r="H188" s="14">
        <v>25</v>
      </c>
      <c r="I188" s="14">
        <f>VENTAS[[#This Row],[Cantidad]]*VENTAS[[#This Row],[Precio Venta]]</f>
        <v>25</v>
      </c>
      <c r="J188" s="14">
        <f>IF(VENTAS[[#This Row],[Nombre del Gestor]]&gt;1,VENTAS[[#This Row],[Total]]*10%,0)</f>
        <v>0</v>
      </c>
      <c r="K188" s="14">
        <f>IFERROR(VLOOKUP(VENTAS[[#This Row],[Código del producto Vendido]],STOCK[],16,FALSE)*VENTAS[[#This Row],[Cantidad]]+VLOOKUP(VENTAS[[#This Row],[Código del producto Vendido]],STOCK[],19,FALSE)*VENTAS[[#This Row],[Cantidad]],VENTAS[[#This Row],[Total]])</f>
        <v>17.3222222222222</v>
      </c>
      <c r="L188" s="14">
        <f>VENTAS[[#This Row],[Total]]-VENTAS[[#This Row],[Comisión 10%]]-VENTAS[[#This Row],[Costo SIN Comision]]</f>
        <v>7.6777777777778</v>
      </c>
      <c r="M188" s="14"/>
    </row>
    <row r="189" ht="20" hidden="1" customHeight="1" spans="1:13">
      <c r="A189" s="10">
        <v>45068</v>
      </c>
      <c r="B189" s="11"/>
      <c r="C189" s="11" t="s">
        <v>4103</v>
      </c>
      <c r="D189" s="11"/>
      <c r="E189" s="11" t="s">
        <v>243</v>
      </c>
      <c r="F189" s="11" t="str">
        <f>IFERROR(VLOOKUP(VENTAS[[#This Row],[Código del producto Vendido]],STOCK[],5,FALSE),"-")</f>
        <v>Vestido de cuello cuadrado de espalda abierta</v>
      </c>
      <c r="G189" s="11">
        <v>1</v>
      </c>
      <c r="H189" s="14">
        <v>20</v>
      </c>
      <c r="I189" s="14">
        <f>VENTAS[[#This Row],[Cantidad]]*VENTAS[[#This Row],[Precio Venta]]</f>
        <v>20</v>
      </c>
      <c r="J189" s="14">
        <f>IF(VENTAS[[#This Row],[Nombre del Gestor]]&gt;1,VENTAS[[#This Row],[Total]]*10%,0)</f>
        <v>0</v>
      </c>
      <c r="K189" s="14">
        <f>IFERROR(VLOOKUP(VENTAS[[#This Row],[Código del producto Vendido]],STOCK[],16,FALSE)*VENTAS[[#This Row],[Cantidad]]+VLOOKUP(VENTAS[[#This Row],[Código del producto Vendido]],STOCK[],19,FALSE)*VENTAS[[#This Row],[Cantidad]],VENTAS[[#This Row],[Total]])</f>
        <v>11.7955555555556</v>
      </c>
      <c r="L189" s="14">
        <f>VENTAS[[#This Row],[Total]]-VENTAS[[#This Row],[Comisión 10%]]-VENTAS[[#This Row],[Costo SIN Comision]]</f>
        <v>8.2044444444444</v>
      </c>
      <c r="M189" s="14"/>
    </row>
    <row r="190" ht="20" hidden="1" customHeight="1" spans="1:13">
      <c r="A190" s="10">
        <v>45068</v>
      </c>
      <c r="B190" s="11"/>
      <c r="C190" s="11" t="s">
        <v>4084</v>
      </c>
      <c r="D190" s="11"/>
      <c r="E190" s="11" t="s">
        <v>200</v>
      </c>
      <c r="F190" s="11" t="str">
        <f>IFERROR(VLOOKUP(VENTAS[[#This Row],[Código del producto Vendido]],STOCK[],5,FALSE),"-")</f>
        <v>Vestido ajustado de tirantes</v>
      </c>
      <c r="G190" s="11">
        <v>1</v>
      </c>
      <c r="H190" s="14">
        <v>18</v>
      </c>
      <c r="I190" s="14">
        <f>VENTAS[[#This Row],[Cantidad]]*VENTAS[[#This Row],[Precio Venta]]</f>
        <v>18</v>
      </c>
      <c r="J190" s="14">
        <f>IF(VENTAS[[#This Row],[Nombre del Gestor]]&gt;1,VENTAS[[#This Row],[Total]]*10%,0)</f>
        <v>0</v>
      </c>
      <c r="K190" s="14">
        <f>IFERROR(VLOOKUP(VENTAS[[#This Row],[Código del producto Vendido]],STOCK[],16,FALSE)*VENTAS[[#This Row],[Cantidad]]+VLOOKUP(VENTAS[[#This Row],[Código del producto Vendido]],STOCK[],19,FALSE)*VENTAS[[#This Row],[Cantidad]],VENTAS[[#This Row],[Total]])</f>
        <v>7.70666666666667</v>
      </c>
      <c r="L190" s="14">
        <f>VENTAS[[#This Row],[Total]]-VENTAS[[#This Row],[Comisión 10%]]-VENTAS[[#This Row],[Costo SIN Comision]]</f>
        <v>10.2933333333333</v>
      </c>
      <c r="M190" s="14"/>
    </row>
    <row r="191" ht="20" hidden="1" customHeight="1" spans="1:13">
      <c r="A191" s="10">
        <v>45059</v>
      </c>
      <c r="B191" s="11"/>
      <c r="C191" s="11" t="s">
        <v>4104</v>
      </c>
      <c r="D191" s="11"/>
      <c r="E191" s="11" t="s">
        <v>642</v>
      </c>
      <c r="F191" s="11" t="str">
        <f>IFERROR(VLOOKUP(VENTAS[[#This Row],[Código del producto Vendido]],STOCK[],5,FALSE),"-")</f>
        <v>Vestido con estampado floral</v>
      </c>
      <c r="G191" s="11">
        <v>1</v>
      </c>
      <c r="H191" s="14">
        <v>15</v>
      </c>
      <c r="I191" s="14">
        <f>VENTAS[[#This Row],[Cantidad]]*VENTAS[[#This Row],[Precio Venta]]</f>
        <v>15</v>
      </c>
      <c r="J191" s="14">
        <f>IF(VENTAS[[#This Row],[Nombre del Gestor]]&gt;1,VENTAS[[#This Row],[Total]]*10%,0)</f>
        <v>0</v>
      </c>
      <c r="K191" s="14">
        <f>IFERROR(VLOOKUP(VENTAS[[#This Row],[Código del producto Vendido]],STOCK[],16,FALSE)*VENTAS[[#This Row],[Cantidad]]+VLOOKUP(VENTAS[[#This Row],[Código del producto Vendido]],STOCK[],19,FALSE)*VENTAS[[#This Row],[Cantidad]],VENTAS[[#This Row],[Total]])</f>
        <v>10.7222222222222</v>
      </c>
      <c r="L191" s="14">
        <f>VENTAS[[#This Row],[Total]]-VENTAS[[#This Row],[Comisión 10%]]-VENTAS[[#This Row],[Costo SIN Comision]]</f>
        <v>4.27777777777778</v>
      </c>
      <c r="M191" s="14"/>
    </row>
    <row r="192" ht="20" hidden="1" customHeight="1" spans="1:13">
      <c r="A192" s="10">
        <v>45059</v>
      </c>
      <c r="B192" s="11"/>
      <c r="C192" s="11" t="s">
        <v>4104</v>
      </c>
      <c r="D192" s="11"/>
      <c r="E192" s="11" t="s">
        <v>635</v>
      </c>
      <c r="F192" s="11" t="str">
        <f>IFERROR(VLOOKUP(VENTAS[[#This Row],[Código del producto Vendido]],STOCK[],5,FALSE),"-")</f>
        <v>Vestido floral escote corazón</v>
      </c>
      <c r="G192" s="11">
        <v>1</v>
      </c>
      <c r="H192" s="14">
        <v>15</v>
      </c>
      <c r="I192" s="14">
        <f>VENTAS[[#This Row],[Cantidad]]*VENTAS[[#This Row],[Precio Venta]]</f>
        <v>15</v>
      </c>
      <c r="J192" s="14">
        <f>IF(VENTAS[[#This Row],[Nombre del Gestor]]&gt;1,VENTAS[[#This Row],[Total]]*10%,0)</f>
        <v>0</v>
      </c>
      <c r="K192" s="14">
        <f>IFERROR(VLOOKUP(VENTAS[[#This Row],[Código del producto Vendido]],STOCK[],16,FALSE)*VENTAS[[#This Row],[Cantidad]]+VLOOKUP(VENTAS[[#This Row],[Código del producto Vendido]],STOCK[],19,FALSE)*VENTAS[[#This Row],[Cantidad]],VENTAS[[#This Row],[Total]])</f>
        <v>10.7222222222222</v>
      </c>
      <c r="L192" s="14">
        <f>VENTAS[[#This Row],[Total]]-VENTAS[[#This Row],[Comisión 10%]]-VENTAS[[#This Row],[Costo SIN Comision]]</f>
        <v>4.27777777777778</v>
      </c>
      <c r="M192" s="14"/>
    </row>
    <row r="193" ht="20" hidden="1" customHeight="1" spans="1:13">
      <c r="A193" s="10"/>
      <c r="B193" s="11"/>
      <c r="C193" s="11" t="s">
        <v>4105</v>
      </c>
      <c r="D193" s="11"/>
      <c r="E193" s="11" t="s">
        <v>910</v>
      </c>
      <c r="F193" s="11" t="str">
        <f>IFERROR(VLOOKUP(VENTAS[[#This Row],[Código del producto Vendido]],STOCK[],5,FALSE),"-")</f>
        <v>Bañador Surf</v>
      </c>
      <c r="G193" s="11">
        <v>1</v>
      </c>
      <c r="H193" s="14">
        <v>25</v>
      </c>
      <c r="I193" s="14">
        <f>VENTAS[[#This Row],[Cantidad]]*VENTAS[[#This Row],[Precio Venta]]</f>
        <v>25</v>
      </c>
      <c r="J193" s="14">
        <f>IF(VENTAS[[#This Row],[Nombre del Gestor]]&gt;1,VENTAS[[#This Row],[Total]]*10%,0)</f>
        <v>0</v>
      </c>
      <c r="K193" s="14">
        <f>IFERROR(VLOOKUP(VENTAS[[#This Row],[Código del producto Vendido]],STOCK[],16,FALSE)*VENTAS[[#This Row],[Cantidad]]+VLOOKUP(VENTAS[[#This Row],[Código del producto Vendido]],STOCK[],19,FALSE)*VENTAS[[#This Row],[Cantidad]],VENTAS[[#This Row],[Total]])</f>
        <v>15.0454545454545</v>
      </c>
      <c r="L193" s="14">
        <f>VENTAS[[#This Row],[Total]]-VENTAS[[#This Row],[Comisión 10%]]-VENTAS[[#This Row],[Costo SIN Comision]]</f>
        <v>9.9545454545455</v>
      </c>
      <c r="M193" s="14"/>
    </row>
    <row r="194" ht="20" hidden="1" customHeight="1" spans="1:13">
      <c r="A194" s="10"/>
      <c r="B194" s="11" t="s">
        <v>4106</v>
      </c>
      <c r="C194" s="24" t="s">
        <v>4107</v>
      </c>
      <c r="D194" s="24"/>
      <c r="E194" s="11" t="s">
        <v>925</v>
      </c>
      <c r="F194" s="11" t="str">
        <f>IFERROR(VLOOKUP(VENTAS[[#This Row],[Código del producto Vendido]],STOCK[],5,FALSE),"-")</f>
        <v>Pantaloneta Roja</v>
      </c>
      <c r="G194" s="11">
        <v>1</v>
      </c>
      <c r="H194" s="14">
        <v>15</v>
      </c>
      <c r="I194" s="14">
        <f>VENTAS[[#This Row],[Cantidad]]*VENTAS[[#This Row],[Precio Venta]]</f>
        <v>15</v>
      </c>
      <c r="J194" s="14">
        <f>IF(VENTAS[[#This Row],[Nombre del Gestor]]&gt;1,VENTAS[[#This Row],[Total]]*10%,0)</f>
        <v>0</v>
      </c>
      <c r="K194" s="14">
        <f>IFERROR(VLOOKUP(VENTAS[[#This Row],[Código del producto Vendido]],STOCK[],16,FALSE)*VENTAS[[#This Row],[Cantidad]]+VLOOKUP(VENTAS[[#This Row],[Código del producto Vendido]],STOCK[],19,FALSE)*VENTAS[[#This Row],[Cantidad]],VENTAS[[#This Row],[Total]])</f>
        <v>11.6095454545454</v>
      </c>
      <c r="L194" s="14">
        <f>VENTAS[[#This Row],[Total]]-VENTAS[[#This Row],[Comisión 10%]]-VENTAS[[#This Row],[Costo SIN Comision]]</f>
        <v>3.39045454545455</v>
      </c>
      <c r="M194" s="14"/>
    </row>
    <row r="195" ht="20" hidden="1" customHeight="1" spans="1:13">
      <c r="A195" s="10">
        <v>45059</v>
      </c>
      <c r="B195" s="11"/>
      <c r="C195" s="11"/>
      <c r="D195" s="11"/>
      <c r="E195" s="11" t="s">
        <v>1043</v>
      </c>
      <c r="F195" s="11" t="str">
        <f>IFERROR(VLOOKUP(VENTAS[[#This Row],[Código del producto Vendido]],STOCK[],5,FALSE),"-")</f>
        <v>Jeans Elastizados Pierna Ancha</v>
      </c>
      <c r="G195" s="11">
        <v>1</v>
      </c>
      <c r="H195" s="14">
        <v>35</v>
      </c>
      <c r="I195" s="14">
        <f>VENTAS[[#This Row],[Cantidad]]*VENTAS[[#This Row],[Precio Venta]]</f>
        <v>35</v>
      </c>
      <c r="J195" s="14">
        <f>IF(VENTAS[[#This Row],[Nombre del Gestor]]&gt;1,VENTAS[[#This Row],[Total]]*10%,0)</f>
        <v>0</v>
      </c>
      <c r="K195" s="14">
        <f>IFERROR(VLOOKUP(VENTAS[[#This Row],[Código del producto Vendido]],STOCK[],16,FALSE)*VENTAS[[#This Row],[Cantidad]]+VLOOKUP(VENTAS[[#This Row],[Código del producto Vendido]],STOCK[],19,FALSE)*VENTAS[[#This Row],[Cantidad]],VENTAS[[#This Row],[Total]])</f>
        <v>27.5227272727273</v>
      </c>
      <c r="L195" s="14">
        <f>VENTAS[[#This Row],[Total]]-VENTAS[[#This Row],[Comisión 10%]]-VENTAS[[#This Row],[Costo SIN Comision]]</f>
        <v>7.4772727272727</v>
      </c>
      <c r="M195" s="14"/>
    </row>
    <row r="196" ht="20" hidden="1" customHeight="1" spans="1:13">
      <c r="A196" s="10">
        <v>45070</v>
      </c>
      <c r="B196" s="11"/>
      <c r="C196" s="11"/>
      <c r="D196" s="11"/>
      <c r="E196" s="11" t="s">
        <v>437</v>
      </c>
      <c r="F196" s="11" t="str">
        <f>IFERROR(VLOOKUP(VENTAS[[#This Row],[Código del producto Vendido]],STOCK[],5,FALSE),"-")</f>
        <v>Bañador bikini floral</v>
      </c>
      <c r="G196" s="11">
        <v>1</v>
      </c>
      <c r="H196" s="14">
        <v>25</v>
      </c>
      <c r="I196" s="14">
        <f>VENTAS[[#This Row],[Cantidad]]*VENTAS[[#This Row],[Precio Venta]]</f>
        <v>25</v>
      </c>
      <c r="J196" s="14">
        <f>IF(VENTAS[[#This Row],[Nombre del Gestor]]&gt;1,VENTAS[[#This Row],[Total]]*10%,0)</f>
        <v>0</v>
      </c>
      <c r="K196" s="14">
        <f>IFERROR(VLOOKUP(VENTAS[[#This Row],[Código del producto Vendido]],STOCK[],16,FALSE)*VENTAS[[#This Row],[Cantidad]]+VLOOKUP(VENTAS[[#This Row],[Código del producto Vendido]],STOCK[],19,FALSE)*VENTAS[[#This Row],[Cantidad]],VENTAS[[#This Row],[Total]])</f>
        <v>16.6044444444444</v>
      </c>
      <c r="L196" s="14">
        <f>VENTAS[[#This Row],[Total]]-VENTAS[[#This Row],[Comisión 10%]]-VENTAS[[#This Row],[Costo SIN Comision]]</f>
        <v>8.3955555555556</v>
      </c>
      <c r="M196" s="14"/>
    </row>
    <row r="197" ht="20" hidden="1" customHeight="1" spans="1:13">
      <c r="A197" s="10">
        <v>45070</v>
      </c>
      <c r="B197" s="11"/>
      <c r="C197" s="11"/>
      <c r="D197" s="11"/>
      <c r="E197" s="11" t="s">
        <v>430</v>
      </c>
      <c r="F197" s="11" t="str">
        <f>IFERROR(VLOOKUP(VENTAS[[#This Row],[Código del producto Vendido]],STOCK[],5,FALSE),"-")</f>
        <v>Vestido con cordón de espalda cruzada</v>
      </c>
      <c r="G197" s="11">
        <v>1</v>
      </c>
      <c r="H197" s="14">
        <v>28</v>
      </c>
      <c r="I197" s="14">
        <f>VENTAS[[#This Row],[Cantidad]]*VENTAS[[#This Row],[Precio Venta]]</f>
        <v>28</v>
      </c>
      <c r="J197" s="14">
        <f>IF(VENTAS[[#This Row],[Nombre del Gestor]]&gt;1,VENTAS[[#This Row],[Total]]*10%,0)</f>
        <v>0</v>
      </c>
      <c r="K197" s="14">
        <f>IFERROR(VLOOKUP(VENTAS[[#This Row],[Código del producto Vendido]],STOCK[],16,FALSE)*VENTAS[[#This Row],[Cantidad]]+VLOOKUP(VENTAS[[#This Row],[Código del producto Vendido]],STOCK[],19,FALSE)*VENTAS[[#This Row],[Cantidad]],VENTAS[[#This Row],[Total]])</f>
        <v>15.9077777777778</v>
      </c>
      <c r="L197" s="14">
        <f>VENTAS[[#This Row],[Total]]-VENTAS[[#This Row],[Comisión 10%]]-VENTAS[[#This Row],[Costo SIN Comision]]</f>
        <v>12.0922222222222</v>
      </c>
      <c r="M197" s="14"/>
    </row>
    <row r="198" ht="20" hidden="1" customHeight="1" spans="1:13">
      <c r="A198" s="10">
        <v>45071</v>
      </c>
      <c r="B198" s="11"/>
      <c r="C198" s="11" t="s">
        <v>4108</v>
      </c>
      <c r="D198" s="11"/>
      <c r="E198" s="11" t="s">
        <v>1066</v>
      </c>
      <c r="F198" s="11" t="str">
        <f>IFERROR(VLOOKUP(VENTAS[[#This Row],[Código del producto Vendido]],STOCK[],5,FALSE),"-")</f>
        <v>Pantalones ajustados con cadena</v>
      </c>
      <c r="G198" s="11">
        <v>2</v>
      </c>
      <c r="H198" s="14">
        <v>18</v>
      </c>
      <c r="I198" s="14">
        <f>VENTAS[[#This Row],[Cantidad]]*VENTAS[[#This Row],[Precio Venta]]</f>
        <v>36</v>
      </c>
      <c r="J198" s="14">
        <f>IF(VENTAS[[#This Row],[Nombre del Gestor]]&gt;1,VENTAS[[#This Row],[Total]]*10%,0)</f>
        <v>0</v>
      </c>
      <c r="K198" s="14">
        <f>IFERROR(VLOOKUP(VENTAS[[#This Row],[Código del producto Vendido]],STOCK[],16,FALSE)*VENTAS[[#This Row],[Cantidad]]+VLOOKUP(VENTAS[[#This Row],[Código del producto Vendido]],STOCK[],19,FALSE)*VENTAS[[#This Row],[Cantidad]],VENTAS[[#This Row],[Total]])</f>
        <v>27.2867647058824</v>
      </c>
      <c r="L198" s="14">
        <f>VENTAS[[#This Row],[Total]]-VENTAS[[#This Row],[Comisión 10%]]-VENTAS[[#This Row],[Costo SIN Comision]]</f>
        <v>8.71323529411764</v>
      </c>
      <c r="M198" s="14"/>
    </row>
    <row r="199" ht="20" hidden="1" customHeight="1" spans="1:13">
      <c r="A199" s="10">
        <v>45071</v>
      </c>
      <c r="B199" s="11"/>
      <c r="C199" s="11" t="s">
        <v>4108</v>
      </c>
      <c r="D199" s="11"/>
      <c r="E199" s="11" t="s">
        <v>1068</v>
      </c>
      <c r="F199" s="11" t="str">
        <f>IFERROR(VLOOKUP(VENTAS[[#This Row],[Código del producto Vendido]],STOCK[],5,FALSE),"-")</f>
        <v>Pantalones ajustados con cadena</v>
      </c>
      <c r="G199" s="11">
        <v>2</v>
      </c>
      <c r="H199" s="14">
        <v>18</v>
      </c>
      <c r="I199" s="14">
        <f>VENTAS[[#This Row],[Cantidad]]*VENTAS[[#This Row],[Precio Venta]]</f>
        <v>36</v>
      </c>
      <c r="J199" s="14">
        <f>IF(VENTAS[[#This Row],[Nombre del Gestor]]&gt;1,VENTAS[[#This Row],[Total]]*10%,0)</f>
        <v>0</v>
      </c>
      <c r="K199" s="14">
        <f>IFERROR(VLOOKUP(VENTAS[[#This Row],[Código del producto Vendido]],STOCK[],16,FALSE)*VENTAS[[#This Row],[Cantidad]]+VLOOKUP(VENTAS[[#This Row],[Código del producto Vendido]],STOCK[],19,FALSE)*VENTAS[[#This Row],[Cantidad]],VENTAS[[#This Row],[Total]])</f>
        <v>27.2867647058824</v>
      </c>
      <c r="L199" s="14">
        <f>VENTAS[[#This Row],[Total]]-VENTAS[[#This Row],[Comisión 10%]]-VENTAS[[#This Row],[Costo SIN Comision]]</f>
        <v>8.71323529411764</v>
      </c>
      <c r="M199" s="14"/>
    </row>
    <row r="200" ht="20" hidden="1" customHeight="1" spans="1:13">
      <c r="A200" s="10">
        <v>45071</v>
      </c>
      <c r="B200" s="11"/>
      <c r="C200" s="11" t="s">
        <v>4108</v>
      </c>
      <c r="D200" s="11"/>
      <c r="E200" s="11" t="s">
        <v>1069</v>
      </c>
      <c r="F200" s="11" t="str">
        <f>IFERROR(VLOOKUP(VENTAS[[#This Row],[Código del producto Vendido]],STOCK[],5,FALSE),"-")</f>
        <v>Blusa camisa colores</v>
      </c>
      <c r="G200" s="11">
        <v>2</v>
      </c>
      <c r="H200" s="14">
        <v>16</v>
      </c>
      <c r="I200" s="14">
        <f>VENTAS[[#This Row],[Cantidad]]*VENTAS[[#This Row],[Precio Venta]]</f>
        <v>32</v>
      </c>
      <c r="J200" s="14">
        <f>IF(VENTAS[[#This Row],[Nombre del Gestor]]&gt;1,VENTAS[[#This Row],[Total]]*10%,0)</f>
        <v>0</v>
      </c>
      <c r="K200" s="14">
        <f>IFERROR(VLOOKUP(VENTAS[[#This Row],[Código del producto Vendido]],STOCK[],16,FALSE)*VENTAS[[#This Row],[Cantidad]]+VLOOKUP(VENTAS[[#This Row],[Código del producto Vendido]],STOCK[],19,FALSE)*VENTAS[[#This Row],[Cantidad]],VENTAS[[#This Row],[Total]])</f>
        <v>25.0176470588236</v>
      </c>
      <c r="L200" s="14">
        <f>VENTAS[[#This Row],[Total]]-VENTAS[[#This Row],[Comisión 10%]]-VENTAS[[#This Row],[Costo SIN Comision]]</f>
        <v>6.9823529411764</v>
      </c>
      <c r="M200" s="14"/>
    </row>
    <row r="201" ht="20" hidden="1" customHeight="1" spans="1:13">
      <c r="A201" s="10">
        <v>45071</v>
      </c>
      <c r="B201" s="11"/>
      <c r="C201" s="11" t="s">
        <v>4108</v>
      </c>
      <c r="D201" s="11"/>
      <c r="E201" s="11" t="s">
        <v>1071</v>
      </c>
      <c r="F201" s="11" t="str">
        <f>IFERROR(VLOOKUP(VENTAS[[#This Row],[Código del producto Vendido]],STOCK[],5,FALSE),"-")</f>
        <v>Blusa camisa colores</v>
      </c>
      <c r="G201" s="11">
        <v>2</v>
      </c>
      <c r="H201" s="14">
        <v>16</v>
      </c>
      <c r="I201" s="14">
        <f>VENTAS[[#This Row],[Cantidad]]*VENTAS[[#This Row],[Precio Venta]]</f>
        <v>32</v>
      </c>
      <c r="J201" s="14">
        <f>IF(VENTAS[[#This Row],[Nombre del Gestor]]&gt;1,VENTAS[[#This Row],[Total]]*10%,0)</f>
        <v>0</v>
      </c>
      <c r="K201" s="14">
        <f>IFERROR(VLOOKUP(VENTAS[[#This Row],[Código del producto Vendido]],STOCK[],16,FALSE)*VENTAS[[#This Row],[Cantidad]]+VLOOKUP(VENTAS[[#This Row],[Código del producto Vendido]],STOCK[],19,FALSE)*VENTAS[[#This Row],[Cantidad]],VENTAS[[#This Row],[Total]])</f>
        <v>25.0176470588236</v>
      </c>
      <c r="L201" s="14">
        <f>VENTAS[[#This Row],[Total]]-VENTAS[[#This Row],[Comisión 10%]]-VENTAS[[#This Row],[Costo SIN Comision]]</f>
        <v>6.9823529411764</v>
      </c>
      <c r="M201" s="14"/>
    </row>
    <row r="202" ht="20" hidden="1" customHeight="1" spans="1:13">
      <c r="A202" s="10">
        <v>45071</v>
      </c>
      <c r="B202" s="11"/>
      <c r="C202" s="11" t="s">
        <v>4105</v>
      </c>
      <c r="D202" s="11"/>
      <c r="E202" s="11" t="s">
        <v>1072</v>
      </c>
      <c r="F202" s="11" t="str">
        <f>IFERROR(VLOOKUP(VENTAS[[#This Row],[Código del producto Vendido]],STOCK[],5,FALSE),"-")</f>
        <v>Trusa Leopardo</v>
      </c>
      <c r="G202" s="11">
        <v>1</v>
      </c>
      <c r="H202" s="14">
        <v>25</v>
      </c>
      <c r="I202" s="14">
        <f>VENTAS[[#This Row],[Cantidad]]*VENTAS[[#This Row],[Precio Venta]]</f>
        <v>25</v>
      </c>
      <c r="J202" s="14">
        <f>IF(VENTAS[[#This Row],[Nombre del Gestor]]&gt;1,VENTAS[[#This Row],[Total]]*10%,0)</f>
        <v>0</v>
      </c>
      <c r="K202" s="14">
        <f>IFERROR(VLOOKUP(VENTAS[[#This Row],[Código del producto Vendido]],STOCK[],16,FALSE)*VENTAS[[#This Row],[Cantidad]]+VLOOKUP(VENTAS[[#This Row],[Código del producto Vendido]],STOCK[],19,FALSE)*VENTAS[[#This Row],[Cantidad]],VENTAS[[#This Row],[Total]])</f>
        <v>20.1382352941176</v>
      </c>
      <c r="L202" s="14">
        <f>VENTAS[[#This Row],[Total]]-VENTAS[[#This Row],[Comisión 10%]]-VENTAS[[#This Row],[Costo SIN Comision]]</f>
        <v>4.8617647058824</v>
      </c>
      <c r="M202" s="14"/>
    </row>
    <row r="203" ht="20" hidden="1" customHeight="1" spans="1:13">
      <c r="A203" s="10">
        <v>45071</v>
      </c>
      <c r="B203" s="11"/>
      <c r="C203" s="11" t="s">
        <v>4109</v>
      </c>
      <c r="D203" s="11"/>
      <c r="E203" s="11" t="s">
        <v>1080</v>
      </c>
      <c r="F203" s="11" t="str">
        <f>IFERROR(VLOOKUP(VENTAS[[#This Row],[Código del producto Vendido]],STOCK[],5,FALSE),"-")</f>
        <v>Vestido floreado a un hombro</v>
      </c>
      <c r="G203" s="11">
        <v>1</v>
      </c>
      <c r="H203" s="14">
        <v>35</v>
      </c>
      <c r="I203" s="14">
        <f>VENTAS[[#This Row],[Cantidad]]*VENTAS[[#This Row],[Precio Venta]]</f>
        <v>35</v>
      </c>
      <c r="J203" s="14">
        <f>IF(VENTAS[[#This Row],[Nombre del Gestor]]&gt;1,VENTAS[[#This Row],[Total]]*10%,0)</f>
        <v>0</v>
      </c>
      <c r="K203" s="14">
        <f>IFERROR(VLOOKUP(VENTAS[[#This Row],[Código del producto Vendido]],STOCK[],16,FALSE)*VENTAS[[#This Row],[Cantidad]]+VLOOKUP(VENTAS[[#This Row],[Código del producto Vendido]],STOCK[],19,FALSE)*VENTAS[[#This Row],[Cantidad]],VENTAS[[#This Row],[Total]])</f>
        <v>22.3889705882353</v>
      </c>
      <c r="L203" s="14">
        <f>VENTAS[[#This Row],[Total]]-VENTAS[[#This Row],[Comisión 10%]]-VENTAS[[#This Row],[Costo SIN Comision]]</f>
        <v>12.6110294117647</v>
      </c>
      <c r="M203" s="14"/>
    </row>
    <row r="204" ht="20" hidden="1" customHeight="1" spans="1:13">
      <c r="A204" s="10">
        <v>45071</v>
      </c>
      <c r="B204" s="11"/>
      <c r="C204" s="11" t="s">
        <v>4110</v>
      </c>
      <c r="D204" s="11"/>
      <c r="E204" s="11" t="s">
        <v>1074</v>
      </c>
      <c r="F204" s="11" t="str">
        <f>IFERROR(VLOOKUP(VENTAS[[#This Row],[Código del producto Vendido]],STOCK[],5,FALSE),"-")</f>
        <v>Malla paredo set 2 piezas</v>
      </c>
      <c r="G204" s="11">
        <v>1</v>
      </c>
      <c r="H204" s="14">
        <v>22</v>
      </c>
      <c r="I204" s="14">
        <f>VENTAS[[#This Row],[Cantidad]]*VENTAS[[#This Row],[Precio Venta]]</f>
        <v>22</v>
      </c>
      <c r="J204" s="14">
        <f>IF(VENTAS[[#This Row],[Nombre del Gestor]]&gt;1,VENTAS[[#This Row],[Total]]*10%,0)</f>
        <v>0</v>
      </c>
      <c r="K204" s="14">
        <f>IFERROR(VLOOKUP(VENTAS[[#This Row],[Código del producto Vendido]],STOCK[],16,FALSE)*VENTAS[[#This Row],[Cantidad]]+VLOOKUP(VENTAS[[#This Row],[Código del producto Vendido]],STOCK[],19,FALSE)*VENTAS[[#This Row],[Cantidad]],VENTAS[[#This Row],[Total]])</f>
        <v>13.6823529411765</v>
      </c>
      <c r="L204" s="14">
        <f>VENTAS[[#This Row],[Total]]-VENTAS[[#This Row],[Comisión 10%]]-VENTAS[[#This Row],[Costo SIN Comision]]</f>
        <v>8.3176470588235</v>
      </c>
      <c r="M204" s="14"/>
    </row>
    <row r="205" ht="20" hidden="1" customHeight="1" spans="1:13">
      <c r="A205" s="10">
        <v>45071</v>
      </c>
      <c r="B205" s="11"/>
      <c r="C205" s="11" t="s">
        <v>4111</v>
      </c>
      <c r="D205" s="11"/>
      <c r="E205" s="11" t="s">
        <v>1077</v>
      </c>
      <c r="F205" s="11" t="str">
        <f>IFERROR(VLOOKUP(VENTAS[[#This Row],[Código del producto Vendido]],STOCK[],5,FALSE),"-")</f>
        <v>Traje de baño niña</v>
      </c>
      <c r="G205" s="11">
        <v>1</v>
      </c>
      <c r="H205" s="14">
        <v>25</v>
      </c>
      <c r="I205" s="14">
        <f>VENTAS[[#This Row],[Cantidad]]*VENTAS[[#This Row],[Precio Venta]]</f>
        <v>25</v>
      </c>
      <c r="J205" s="14">
        <f>IF(VENTAS[[#This Row],[Nombre del Gestor]]&gt;1,VENTAS[[#This Row],[Total]]*10%,0)</f>
        <v>0</v>
      </c>
      <c r="K205" s="14">
        <f>IFERROR(VLOOKUP(VENTAS[[#This Row],[Código del producto Vendido]],STOCK[],16,FALSE)*VENTAS[[#This Row],[Cantidad]]+VLOOKUP(VENTAS[[#This Row],[Código del producto Vendido]],STOCK[],19,FALSE)*VENTAS[[#This Row],[Cantidad]],VENTAS[[#This Row],[Total]])</f>
        <v>22.0507352941176</v>
      </c>
      <c r="L205" s="14">
        <f>VENTAS[[#This Row],[Total]]-VENTAS[[#This Row],[Comisión 10%]]-VENTAS[[#This Row],[Costo SIN Comision]]</f>
        <v>2.9492647058824</v>
      </c>
      <c r="M205" s="14"/>
    </row>
    <row r="206" ht="20" hidden="1" customHeight="1" spans="1:13">
      <c r="A206" s="10">
        <v>45071</v>
      </c>
      <c r="B206" s="11"/>
      <c r="C206" s="11" t="s">
        <v>4110</v>
      </c>
      <c r="D206" s="11"/>
      <c r="E206" s="11" t="s">
        <v>287</v>
      </c>
      <c r="F206" s="11" t="str">
        <f>IFERROR(VLOOKUP(VENTAS[[#This Row],[Código del producto Vendido]],STOCK[],5,FALSE),"-")</f>
        <v>Conjunto de cuello profundo con girante delantero con falda</v>
      </c>
      <c r="G206" s="11">
        <v>1</v>
      </c>
      <c r="H206" s="14">
        <v>25</v>
      </c>
      <c r="I206" s="14">
        <f>VENTAS[[#This Row],[Cantidad]]*VENTAS[[#This Row],[Precio Venta]]</f>
        <v>25</v>
      </c>
      <c r="J206" s="14">
        <f>IF(VENTAS[[#This Row],[Nombre del Gestor]]&gt;1,VENTAS[[#This Row],[Total]]*10%,0)</f>
        <v>0</v>
      </c>
      <c r="K206" s="14">
        <f>IFERROR(VLOOKUP(VENTAS[[#This Row],[Código del producto Vendido]],STOCK[],16,FALSE)*VENTAS[[#This Row],[Cantidad]]+VLOOKUP(VENTAS[[#This Row],[Código del producto Vendido]],STOCK[],19,FALSE)*VENTAS[[#This Row],[Cantidad]],VENTAS[[#This Row],[Total]])</f>
        <v>13.0733333333333</v>
      </c>
      <c r="L206" s="14">
        <f>VENTAS[[#This Row],[Total]]-VENTAS[[#This Row],[Comisión 10%]]-VENTAS[[#This Row],[Costo SIN Comision]]</f>
        <v>11.9266666666667</v>
      </c>
      <c r="M206" s="14"/>
    </row>
    <row r="207" ht="20" hidden="1" customHeight="1" spans="1:13">
      <c r="A207" s="10">
        <v>45071</v>
      </c>
      <c r="B207" s="11"/>
      <c r="C207" s="11" t="s">
        <v>4110</v>
      </c>
      <c r="D207" s="11"/>
      <c r="E207" s="11" t="s">
        <v>70</v>
      </c>
      <c r="F207" s="11" t="str">
        <f>IFERROR(VLOOKUP(VENTAS[[#This Row],[Código del producto Vendido]],STOCK[],5,FALSE),"-")</f>
        <v>Bikini Elegante con Herrajes</v>
      </c>
      <c r="G207" s="11">
        <v>1</v>
      </c>
      <c r="H207" s="14">
        <v>18</v>
      </c>
      <c r="I207" s="14">
        <f>VENTAS[[#This Row],[Cantidad]]*VENTAS[[#This Row],[Precio Venta]]</f>
        <v>18</v>
      </c>
      <c r="J207" s="14">
        <f>IF(VENTAS[[#This Row],[Nombre del Gestor]]&gt;1,VENTAS[[#This Row],[Total]]*10%,0)</f>
        <v>0</v>
      </c>
      <c r="K207" s="14">
        <f>IFERROR(VLOOKUP(VENTAS[[#This Row],[Código del producto Vendido]],STOCK[],16,FALSE)*VENTAS[[#This Row],[Cantidad]]+VLOOKUP(VENTAS[[#This Row],[Código del producto Vendido]],STOCK[],19,FALSE)*VENTAS[[#This Row],[Cantidad]],VENTAS[[#This Row],[Total]])</f>
        <v>12.3083333333333</v>
      </c>
      <c r="L207" s="14">
        <f>VENTAS[[#This Row],[Total]]-VENTAS[[#This Row],[Comisión 10%]]-VENTAS[[#This Row],[Costo SIN Comision]]</f>
        <v>5.69166666666667</v>
      </c>
      <c r="M207" s="14"/>
    </row>
    <row r="208" ht="20" hidden="1" customHeight="1" spans="1:13">
      <c r="A208" s="10">
        <v>45073</v>
      </c>
      <c r="B208" s="11"/>
      <c r="C208" s="11" t="s">
        <v>4109</v>
      </c>
      <c r="D208" s="11"/>
      <c r="E208" s="11" t="s">
        <v>171</v>
      </c>
      <c r="F208" s="11" t="str">
        <f>IFERROR(VLOOKUP(VENTAS[[#This Row],[Código del producto Vendido]],STOCK[],5,FALSE),"-")</f>
        <v>Vestido floral de cuello cuadrado</v>
      </c>
      <c r="G208" s="11">
        <v>1</v>
      </c>
      <c r="H208" s="14">
        <v>28</v>
      </c>
      <c r="I208" s="14">
        <f>VENTAS[[#This Row],[Cantidad]]*VENTAS[[#This Row],[Precio Venta]]</f>
        <v>28</v>
      </c>
      <c r="J208" s="14">
        <f>IF(VENTAS[[#This Row],[Nombre del Gestor]]&gt;1,VENTAS[[#This Row],[Total]]*10%,0)</f>
        <v>0</v>
      </c>
      <c r="K208" s="14">
        <f>IFERROR(VLOOKUP(VENTAS[[#This Row],[Código del producto Vendido]],STOCK[],16,FALSE)*VENTAS[[#This Row],[Cantidad]]+VLOOKUP(VENTAS[[#This Row],[Código del producto Vendido]],STOCK[],19,FALSE)*VENTAS[[#This Row],[Cantidad]],VENTAS[[#This Row],[Total]])</f>
        <v>17.6</v>
      </c>
      <c r="L208" s="14">
        <f>VENTAS[[#This Row],[Total]]-VENTAS[[#This Row],[Comisión 10%]]-VENTAS[[#This Row],[Costo SIN Comision]]</f>
        <v>10.4</v>
      </c>
      <c r="M208" s="14"/>
    </row>
    <row r="209" ht="20" hidden="1" customHeight="1" spans="1:13">
      <c r="A209" s="10">
        <v>45075</v>
      </c>
      <c r="B209" s="11"/>
      <c r="C209" s="11" t="s">
        <v>4112</v>
      </c>
      <c r="D209" s="11"/>
      <c r="E209" s="11" t="s">
        <v>995</v>
      </c>
      <c r="F209" s="11" t="str">
        <f>IFERROR(VLOOKUP(VENTAS[[#This Row],[Código del producto Vendido]],STOCK[],5,FALSE),"-")</f>
        <v>Vestido Girasol</v>
      </c>
      <c r="G209" s="11">
        <v>1</v>
      </c>
      <c r="H209" s="14">
        <v>25</v>
      </c>
      <c r="I209" s="14">
        <f>VENTAS[[#This Row],[Cantidad]]*VENTAS[[#This Row],[Precio Venta]]</f>
        <v>25</v>
      </c>
      <c r="J209" s="14">
        <f>IF(VENTAS[[#This Row],[Nombre del Gestor]]&gt;1,VENTAS[[#This Row],[Total]]*10%,0)</f>
        <v>0</v>
      </c>
      <c r="K209" s="14">
        <f>IFERROR(VLOOKUP(VENTAS[[#This Row],[Código del producto Vendido]],STOCK[],16,FALSE)*VENTAS[[#This Row],[Cantidad]]+VLOOKUP(VENTAS[[#This Row],[Código del producto Vendido]],STOCK[],19,FALSE)*VENTAS[[#This Row],[Cantidad]],VENTAS[[#This Row],[Total]])</f>
        <v>14.3045454545454</v>
      </c>
      <c r="L209" s="14">
        <f>VENTAS[[#This Row],[Total]]-VENTAS[[#This Row],[Comisión 10%]]-VENTAS[[#This Row],[Costo SIN Comision]]</f>
        <v>10.6954545454546</v>
      </c>
      <c r="M209" s="14"/>
    </row>
    <row r="210" ht="20" hidden="1" customHeight="1" spans="1:13">
      <c r="A210" s="10">
        <v>45075</v>
      </c>
      <c r="B210" s="11"/>
      <c r="C210" s="11" t="s">
        <v>4113</v>
      </c>
      <c r="D210" s="11"/>
      <c r="E210" s="11" t="s">
        <v>99</v>
      </c>
      <c r="F210" s="11" t="str">
        <f>IFERROR(VLOOKUP(VENTAS[[#This Row],[Código del producto Vendido]],STOCK[],5,FALSE),"-")</f>
        <v>Bañador estampado de planta</v>
      </c>
      <c r="G210" s="11">
        <v>1</v>
      </c>
      <c r="H210" s="14">
        <v>25</v>
      </c>
      <c r="I210" s="14">
        <f>VENTAS[[#This Row],[Cantidad]]*VENTAS[[#This Row],[Precio Venta]]</f>
        <v>25</v>
      </c>
      <c r="J210" s="14">
        <f>IF(VENTAS[[#This Row],[Nombre del Gestor]]&gt;1,VENTAS[[#This Row],[Total]]*10%,0)</f>
        <v>0</v>
      </c>
      <c r="K210" s="14">
        <f>IFERROR(VLOOKUP(VENTAS[[#This Row],[Código del producto Vendido]],STOCK[],16,FALSE)*VENTAS[[#This Row],[Cantidad]]+VLOOKUP(VENTAS[[#This Row],[Código del producto Vendido]],STOCK[],19,FALSE)*VENTAS[[#This Row],[Cantidad]],VENTAS[[#This Row],[Total]])</f>
        <v>15.9788888888889</v>
      </c>
      <c r="L210" s="14">
        <f>VENTAS[[#This Row],[Total]]-VENTAS[[#This Row],[Comisión 10%]]-VENTAS[[#This Row],[Costo SIN Comision]]</f>
        <v>9.0211111111111</v>
      </c>
      <c r="M210" s="14"/>
    </row>
    <row r="211" ht="20" hidden="1" customHeight="1" spans="1:13">
      <c r="A211" s="10">
        <v>45075</v>
      </c>
      <c r="B211" s="11"/>
      <c r="C211" s="11" t="s">
        <v>4114</v>
      </c>
      <c r="D211" s="11"/>
      <c r="E211" s="11" t="s">
        <v>231</v>
      </c>
      <c r="F211" s="11" t="str">
        <f>IFERROR(VLOOKUP(VENTAS[[#This Row],[Código del producto Vendido]],STOCK[],5,FALSE),"-")</f>
        <v>Vestido Esmeralda Fruncido</v>
      </c>
      <c r="G211" s="11">
        <v>1</v>
      </c>
      <c r="H211" s="14">
        <v>30</v>
      </c>
      <c r="I211" s="14">
        <f>VENTAS[[#This Row],[Cantidad]]*VENTAS[[#This Row],[Precio Venta]]</f>
        <v>30</v>
      </c>
      <c r="J211" s="14">
        <f>IF(VENTAS[[#This Row],[Nombre del Gestor]]&gt;1,VENTAS[[#This Row],[Total]]*10%,0)</f>
        <v>0</v>
      </c>
      <c r="K211" s="14">
        <f>IFERROR(VLOOKUP(VENTAS[[#This Row],[Código del producto Vendido]],STOCK[],16,FALSE)*VENTAS[[#This Row],[Cantidad]]+VLOOKUP(VENTAS[[#This Row],[Código del producto Vendido]],STOCK[],19,FALSE)*VENTAS[[#This Row],[Cantidad]],VENTAS[[#This Row],[Total]])</f>
        <v>18.48</v>
      </c>
      <c r="L211" s="14">
        <f>VENTAS[[#This Row],[Total]]-VENTAS[[#This Row],[Comisión 10%]]-VENTAS[[#This Row],[Costo SIN Comision]]</f>
        <v>11.52</v>
      </c>
      <c r="M211" s="14"/>
    </row>
    <row r="212" ht="20" hidden="1" customHeight="1" spans="1:13">
      <c r="A212" s="10">
        <v>45073</v>
      </c>
      <c r="B212" s="11"/>
      <c r="C212" s="11" t="s">
        <v>4107</v>
      </c>
      <c r="D212" s="11"/>
      <c r="E212" s="11" t="s">
        <v>275</v>
      </c>
      <c r="F212" s="11" t="str">
        <f>IFERROR(VLOOKUP(VENTAS[[#This Row],[Código del producto Vendido]],STOCK[],5,FALSE),"-")</f>
        <v>Vestido camiseta bajo con abertura</v>
      </c>
      <c r="G212" s="11">
        <v>1</v>
      </c>
      <c r="H212" s="14">
        <v>22</v>
      </c>
      <c r="I212" s="14">
        <f>VENTAS[[#This Row],[Cantidad]]*VENTAS[[#This Row],[Precio Venta]]</f>
        <v>22</v>
      </c>
      <c r="J212" s="14">
        <f>IF(VENTAS[[#This Row],[Nombre del Gestor]]&gt;1,VENTAS[[#This Row],[Total]]*10%,0)</f>
        <v>0</v>
      </c>
      <c r="K212" s="14">
        <f>IFERROR(VLOOKUP(VENTAS[[#This Row],[Código del producto Vendido]],STOCK[],16,FALSE)*VENTAS[[#This Row],[Cantidad]]+VLOOKUP(VENTAS[[#This Row],[Código del producto Vendido]],STOCK[],19,FALSE)*VENTAS[[#This Row],[Cantidad]],VENTAS[[#This Row],[Total]])</f>
        <v>13.7888888888889</v>
      </c>
      <c r="L212" s="14">
        <f>VENTAS[[#This Row],[Total]]-VENTAS[[#This Row],[Comisión 10%]]-VENTAS[[#This Row],[Costo SIN Comision]]</f>
        <v>8.2111111111111</v>
      </c>
      <c r="M212" s="14"/>
    </row>
    <row r="213" ht="20" hidden="1" customHeight="1" spans="1:13">
      <c r="A213" s="10">
        <v>45077</v>
      </c>
      <c r="B213" s="11"/>
      <c r="C213" s="11" t="s">
        <v>4115</v>
      </c>
      <c r="D213" s="11"/>
      <c r="E213" s="11" t="s">
        <v>944</v>
      </c>
      <c r="F213" s="11" t="str">
        <f>IFERROR(VLOOKUP(VENTAS[[#This Row],[Código del producto Vendido]],STOCK[],5,FALSE),"-")</f>
        <v>Vestido Tropical</v>
      </c>
      <c r="G213" s="11">
        <v>1</v>
      </c>
      <c r="H213" s="14">
        <v>30</v>
      </c>
      <c r="I213" s="14">
        <f>VENTAS[[#This Row],[Cantidad]]*VENTAS[[#This Row],[Precio Venta]]</f>
        <v>30</v>
      </c>
      <c r="J213" s="14">
        <f>IF(VENTAS[[#This Row],[Nombre del Gestor]]&gt;1,VENTAS[[#This Row],[Total]]*10%,0)</f>
        <v>0</v>
      </c>
      <c r="K213" s="14">
        <f>IFERROR(VLOOKUP(VENTAS[[#This Row],[Código del producto Vendido]],STOCK[],16,FALSE)*VENTAS[[#This Row],[Cantidad]]+VLOOKUP(VENTAS[[#This Row],[Código del producto Vendido]],STOCK[],19,FALSE)*VENTAS[[#This Row],[Cantidad]],VENTAS[[#This Row],[Total]])</f>
        <v>19.0186363636364</v>
      </c>
      <c r="L213" s="14">
        <f>VENTAS[[#This Row],[Total]]-VENTAS[[#This Row],[Comisión 10%]]-VENTAS[[#This Row],[Costo SIN Comision]]</f>
        <v>10.9813636363636</v>
      </c>
      <c r="M213" s="14"/>
    </row>
    <row r="214" ht="20" hidden="1" customHeight="1" spans="1:13">
      <c r="A214" s="10">
        <v>45077</v>
      </c>
      <c r="B214" s="11"/>
      <c r="C214" s="11" t="s">
        <v>4116</v>
      </c>
      <c r="D214" s="11"/>
      <c r="E214" s="11" t="s">
        <v>929</v>
      </c>
      <c r="F214" s="11" t="str">
        <f>IFERROR(VLOOKUP(VENTAS[[#This Row],[Código del producto Vendido]],STOCK[],5,FALSE),"-")</f>
        <v>Pantaloneta Roja</v>
      </c>
      <c r="G214" s="11">
        <v>1</v>
      </c>
      <c r="H214" s="14">
        <v>20</v>
      </c>
      <c r="I214" s="14">
        <f>VENTAS[[#This Row],[Cantidad]]*VENTAS[[#This Row],[Precio Venta]]</f>
        <v>20</v>
      </c>
      <c r="J214" s="14">
        <f>IF(VENTAS[[#This Row],[Nombre del Gestor]]&gt;1,VENTAS[[#This Row],[Total]]*10%,0)</f>
        <v>0</v>
      </c>
      <c r="K214" s="14">
        <f>IFERROR(VLOOKUP(VENTAS[[#This Row],[Código del producto Vendido]],STOCK[],16,FALSE)*VENTAS[[#This Row],[Cantidad]]+VLOOKUP(VENTAS[[#This Row],[Código del producto Vendido]],STOCK[],19,FALSE)*VENTAS[[#This Row],[Cantidad]],VENTAS[[#This Row],[Total]])</f>
        <v>11.6095454545454</v>
      </c>
      <c r="L214" s="14">
        <f>VENTAS[[#This Row],[Total]]-VENTAS[[#This Row],[Comisión 10%]]-VENTAS[[#This Row],[Costo SIN Comision]]</f>
        <v>8.39045454545455</v>
      </c>
      <c r="M214" s="14"/>
    </row>
    <row r="215" ht="20" hidden="1" customHeight="1" spans="1:13">
      <c r="A215" s="10">
        <v>45077</v>
      </c>
      <c r="B215" s="11"/>
      <c r="C215" s="11" t="s">
        <v>4116</v>
      </c>
      <c r="D215" s="11"/>
      <c r="E215" s="11" t="s">
        <v>183</v>
      </c>
      <c r="F215" s="11" t="str">
        <f>IFERROR(VLOOKUP(VENTAS[[#This Row],[Código del producto Vendido]],STOCK[],5,FALSE),"-")</f>
        <v>Top de manga farol con abertura en espald</v>
      </c>
      <c r="G215" s="11">
        <v>1</v>
      </c>
      <c r="H215" s="14">
        <v>14</v>
      </c>
      <c r="I215" s="14">
        <f>VENTAS[[#This Row],[Cantidad]]*VENTAS[[#This Row],[Precio Venta]]</f>
        <v>14</v>
      </c>
      <c r="J215" s="14">
        <f>IF(VENTAS[[#This Row],[Nombre del Gestor]]&gt;1,VENTAS[[#This Row],[Total]]*10%,0)</f>
        <v>0</v>
      </c>
      <c r="K215" s="14">
        <f>IFERROR(VLOOKUP(VENTAS[[#This Row],[Código del producto Vendido]],STOCK[],16,FALSE)*VENTAS[[#This Row],[Cantidad]]+VLOOKUP(VENTAS[[#This Row],[Código del producto Vendido]],STOCK[],19,FALSE)*VENTAS[[#This Row],[Cantidad]],VENTAS[[#This Row],[Total]])</f>
        <v>8.85777777777778</v>
      </c>
      <c r="L215" s="14">
        <f>VENTAS[[#This Row],[Total]]-VENTAS[[#This Row],[Comisión 10%]]-VENTAS[[#This Row],[Costo SIN Comision]]</f>
        <v>5.14222222222222</v>
      </c>
      <c r="M215" s="14"/>
    </row>
    <row r="216" ht="20" hidden="1" customHeight="1" spans="1:13">
      <c r="A216" s="10">
        <v>45077</v>
      </c>
      <c r="B216" s="11"/>
      <c r="C216" s="11" t="s">
        <v>4117</v>
      </c>
      <c r="D216" s="11"/>
      <c r="E216" s="11" t="s">
        <v>173</v>
      </c>
      <c r="F216" s="11" t="str">
        <f>IFERROR(VLOOKUP(VENTAS[[#This Row],[Código del producto Vendido]],STOCK[],5,FALSE),"-")</f>
        <v>Camiseta unicolor de malla</v>
      </c>
      <c r="G216" s="11">
        <v>1</v>
      </c>
      <c r="H216" s="14">
        <v>14</v>
      </c>
      <c r="I216" s="14">
        <f>VENTAS[[#This Row],[Cantidad]]*VENTAS[[#This Row],[Precio Venta]]</f>
        <v>14</v>
      </c>
      <c r="J216" s="14">
        <f>IF(VENTAS[[#This Row],[Nombre del Gestor]]&gt;1,VENTAS[[#This Row],[Total]]*10%,0)</f>
        <v>0</v>
      </c>
      <c r="K216" s="14">
        <f>IFERROR(VLOOKUP(VENTAS[[#This Row],[Código del producto Vendido]],STOCK[],16,FALSE)*VENTAS[[#This Row],[Cantidad]]+VLOOKUP(VENTAS[[#This Row],[Código del producto Vendido]],STOCK[],19,FALSE)*VENTAS[[#This Row],[Cantidad]],VENTAS[[#This Row],[Total]])</f>
        <v>6.88666666666667</v>
      </c>
      <c r="L216" s="14">
        <f>VENTAS[[#This Row],[Total]]-VENTAS[[#This Row],[Comisión 10%]]-VENTAS[[#This Row],[Costo SIN Comision]]</f>
        <v>7.11333333333333</v>
      </c>
      <c r="M216" s="14"/>
    </row>
    <row r="217" ht="20" hidden="1" customHeight="1" spans="1:13">
      <c r="A217" s="10">
        <v>45077</v>
      </c>
      <c r="B217" s="11"/>
      <c r="C217" s="11" t="s">
        <v>4118</v>
      </c>
      <c r="D217" s="11"/>
      <c r="E217" s="11" t="s">
        <v>237</v>
      </c>
      <c r="F217" s="11" t="str">
        <f>IFERROR(VLOOKUP(VENTAS[[#This Row],[Código del producto Vendido]],STOCK[],5,FALSE),"-")</f>
        <v>Top de cuello con cordón de lunares</v>
      </c>
      <c r="G217" s="11">
        <v>1</v>
      </c>
      <c r="H217" s="14">
        <v>12</v>
      </c>
      <c r="I217" s="14">
        <f>VENTAS[[#This Row],[Cantidad]]*VENTAS[[#This Row],[Precio Venta]]</f>
        <v>12</v>
      </c>
      <c r="J217" s="14">
        <f>IF(VENTAS[[#This Row],[Nombre del Gestor]]&gt;1,VENTAS[[#This Row],[Total]]*10%,0)</f>
        <v>0</v>
      </c>
      <c r="K217" s="14">
        <f>IFERROR(VLOOKUP(VENTAS[[#This Row],[Código del producto Vendido]],STOCK[],16,FALSE)*VENTAS[[#This Row],[Cantidad]]+VLOOKUP(VENTAS[[#This Row],[Código del producto Vendido]],STOCK[],19,FALSE)*VENTAS[[#This Row],[Cantidad]],VENTAS[[#This Row],[Total]])</f>
        <v>7.90444444444444</v>
      </c>
      <c r="L217" s="14">
        <f>VENTAS[[#This Row],[Total]]-VENTAS[[#This Row],[Comisión 10%]]-VENTAS[[#This Row],[Costo SIN Comision]]</f>
        <v>4.09555555555556</v>
      </c>
      <c r="M217" s="14"/>
    </row>
    <row r="218" ht="20" hidden="1" customHeight="1" spans="1:13">
      <c r="A218" s="10">
        <v>45079</v>
      </c>
      <c r="B218" s="11"/>
      <c r="C218" s="11" t="s">
        <v>4119</v>
      </c>
      <c r="D218" s="11"/>
      <c r="E218" s="11" t="s">
        <v>1104</v>
      </c>
      <c r="F218" s="11" t="str">
        <f>IFERROR(VLOOKUP(VENTAS[[#This Row],[Código del producto Vendido]],STOCK[],5,FALSE),"-")</f>
        <v>Mono Oblicuo con bolsillo</v>
      </c>
      <c r="G218" s="11">
        <v>1</v>
      </c>
      <c r="H218" s="14">
        <v>22</v>
      </c>
      <c r="I218" s="14">
        <f>VENTAS[[#This Row],[Cantidad]]*VENTAS[[#This Row],[Precio Venta]]</f>
        <v>22</v>
      </c>
      <c r="J218" s="14">
        <f>IF(VENTAS[[#This Row],[Nombre del Gestor]]&gt;1,VENTAS[[#This Row],[Total]]*10%,0)</f>
        <v>0</v>
      </c>
      <c r="K218" s="14">
        <f>IFERROR(VLOOKUP(VENTAS[[#This Row],[Código del producto Vendido]],STOCK[],16,FALSE)*VENTAS[[#This Row],[Cantidad]]+VLOOKUP(VENTAS[[#This Row],[Código del producto Vendido]],STOCK[],19,FALSE)*VENTAS[[#This Row],[Cantidad]],VENTAS[[#This Row],[Total]])</f>
        <v>14.5485294117647</v>
      </c>
      <c r="L218" s="14">
        <f>VENTAS[[#This Row],[Total]]-VENTAS[[#This Row],[Comisión 10%]]-VENTAS[[#This Row],[Costo SIN Comision]]</f>
        <v>7.45147058823529</v>
      </c>
      <c r="M218" s="14"/>
    </row>
    <row r="219" ht="20" hidden="1" customHeight="1" spans="1:13">
      <c r="A219" s="10">
        <v>45079</v>
      </c>
      <c r="B219" s="11"/>
      <c r="C219" s="11" t="s">
        <v>4120</v>
      </c>
      <c r="D219" s="11"/>
      <c r="E219" s="11" t="s">
        <v>503</v>
      </c>
      <c r="F219" s="11" t="str">
        <f>IFERROR(VLOOKUP(VENTAS[[#This Row],[Código del producto Vendido]],STOCK[],5,FALSE),"-")</f>
        <v>Bikini push up tropical </v>
      </c>
      <c r="G219" s="11">
        <v>1</v>
      </c>
      <c r="H219" s="14">
        <v>25</v>
      </c>
      <c r="I219" s="14">
        <f>VENTAS[[#This Row],[Cantidad]]*VENTAS[[#This Row],[Precio Venta]]</f>
        <v>25</v>
      </c>
      <c r="J219" s="14">
        <f>IF(VENTAS[[#This Row],[Nombre del Gestor]]&gt;1,VENTAS[[#This Row],[Total]]*10%,0)</f>
        <v>0</v>
      </c>
      <c r="K219" s="14">
        <f>IFERROR(VLOOKUP(VENTAS[[#This Row],[Código del producto Vendido]],STOCK[],16,FALSE)*VENTAS[[#This Row],[Cantidad]]+VLOOKUP(VENTAS[[#This Row],[Código del producto Vendido]],STOCK[],19,FALSE)*VENTAS[[#This Row],[Cantidad]],VENTAS[[#This Row],[Total]])</f>
        <v>16.5555555555556</v>
      </c>
      <c r="L219" s="14">
        <f>VENTAS[[#This Row],[Total]]-VENTAS[[#This Row],[Comisión 10%]]-VENTAS[[#This Row],[Costo SIN Comision]]</f>
        <v>8.4444444444444</v>
      </c>
      <c r="M219" s="14"/>
    </row>
    <row r="220" ht="20" hidden="1" customHeight="1" spans="1:13">
      <c r="A220" s="10">
        <v>45079</v>
      </c>
      <c r="B220" s="11"/>
      <c r="C220" s="11" t="s">
        <v>4116</v>
      </c>
      <c r="D220" s="11"/>
      <c r="E220" s="11" t="s">
        <v>952</v>
      </c>
      <c r="F220" s="11" t="str">
        <f>IFERROR(VLOOKUP(VENTAS[[#This Row],[Código del producto Vendido]],STOCK[],5,FALSE),"-")</f>
        <v> Pantaloneta Verde</v>
      </c>
      <c r="G220" s="11">
        <v>1</v>
      </c>
      <c r="H220" s="14">
        <v>25</v>
      </c>
      <c r="I220" s="14">
        <f>VENTAS[[#This Row],[Cantidad]]*VENTAS[[#This Row],[Precio Venta]]</f>
        <v>25</v>
      </c>
      <c r="J220" s="14">
        <f>IF(VENTAS[[#This Row],[Nombre del Gestor]]&gt;1,VENTAS[[#This Row],[Total]]*10%,0)</f>
        <v>0</v>
      </c>
      <c r="K220" s="14">
        <f>IFERROR(VLOOKUP(VENTAS[[#This Row],[Código del producto Vendido]],STOCK[],16,FALSE)*VENTAS[[#This Row],[Cantidad]]+VLOOKUP(VENTAS[[#This Row],[Código del producto Vendido]],STOCK[],19,FALSE)*VENTAS[[#This Row],[Cantidad]],VENTAS[[#This Row],[Total]])</f>
        <v>14.8713636363636</v>
      </c>
      <c r="L220" s="14">
        <f>VENTAS[[#This Row],[Total]]-VENTAS[[#This Row],[Comisión 10%]]-VENTAS[[#This Row],[Costo SIN Comision]]</f>
        <v>10.1286363636364</v>
      </c>
      <c r="M220" s="14"/>
    </row>
    <row r="221" ht="20" hidden="1" customHeight="1" spans="1:13">
      <c r="A221" s="10">
        <v>45079</v>
      </c>
      <c r="B221" s="11"/>
      <c r="C221" s="11" t="s">
        <v>4121</v>
      </c>
      <c r="D221" s="11"/>
      <c r="E221" s="11" t="s">
        <v>1083</v>
      </c>
      <c r="F221" s="11" t="str">
        <f>IFERROR(VLOOKUP(VENTAS[[#This Row],[Código del producto Vendido]],STOCK[],5,FALSE),"-")</f>
        <v>Vestido elegante ajustado corte sirena</v>
      </c>
      <c r="G221" s="11">
        <v>1</v>
      </c>
      <c r="H221" s="14">
        <v>30</v>
      </c>
      <c r="I221" s="14">
        <f>VENTAS[[#This Row],[Cantidad]]*VENTAS[[#This Row],[Precio Venta]]</f>
        <v>30</v>
      </c>
      <c r="J221" s="14">
        <f>IF(VENTAS[[#This Row],[Nombre del Gestor]]&gt;1,VENTAS[[#This Row],[Total]]*10%,0)</f>
        <v>0</v>
      </c>
      <c r="K221" s="14">
        <f>IFERROR(VLOOKUP(VENTAS[[#This Row],[Código del producto Vendido]],STOCK[],16,FALSE)*VENTAS[[#This Row],[Cantidad]]+VLOOKUP(VENTAS[[#This Row],[Código del producto Vendido]],STOCK[],19,FALSE)*VENTAS[[#This Row],[Cantidad]],VENTAS[[#This Row],[Total]])</f>
        <v>15.8066176470588</v>
      </c>
      <c r="L221" s="14">
        <f>VENTAS[[#This Row],[Total]]-VENTAS[[#This Row],[Comisión 10%]]-VENTAS[[#This Row],[Costo SIN Comision]]</f>
        <v>14.1933823529412</v>
      </c>
      <c r="M221" s="14"/>
    </row>
    <row r="222" ht="20" hidden="1" customHeight="1" spans="1:13">
      <c r="A222" s="10">
        <v>45079</v>
      </c>
      <c r="B222" s="11"/>
      <c r="C222" s="11" t="s">
        <v>4121</v>
      </c>
      <c r="D222" s="11"/>
      <c r="E222" s="11" t="s">
        <v>901</v>
      </c>
      <c r="F222" s="11" t="str">
        <f>IFERROR(VLOOKUP(VENTAS[[#This Row],[Código del producto Vendido]],STOCK[],5,FALSE),"-")</f>
        <v>Bañador con adorno de malla</v>
      </c>
      <c r="G222" s="11">
        <v>1</v>
      </c>
      <c r="H222" s="14">
        <v>25</v>
      </c>
      <c r="I222" s="14">
        <f>VENTAS[[#This Row],[Cantidad]]*VENTAS[[#This Row],[Precio Venta]]</f>
        <v>25</v>
      </c>
      <c r="J222" s="14">
        <f>IF(VENTAS[[#This Row],[Nombre del Gestor]]&gt;1,VENTAS[[#This Row],[Total]]*10%,0)</f>
        <v>0</v>
      </c>
      <c r="K222" s="14">
        <f>IFERROR(VLOOKUP(VENTAS[[#This Row],[Código del producto Vendido]],STOCK[],16,FALSE)*VENTAS[[#This Row],[Cantidad]]+VLOOKUP(VENTAS[[#This Row],[Código del producto Vendido]],STOCK[],19,FALSE)*VENTAS[[#This Row],[Cantidad]],VENTAS[[#This Row],[Total]])</f>
        <v>15.3295454545455</v>
      </c>
      <c r="L222" s="14">
        <f>VENTAS[[#This Row],[Total]]-VENTAS[[#This Row],[Comisión 10%]]-VENTAS[[#This Row],[Costo SIN Comision]]</f>
        <v>9.6704545454545</v>
      </c>
      <c r="M222" s="14"/>
    </row>
    <row r="223" ht="20" hidden="1" customHeight="1" spans="1:13">
      <c r="A223" s="10">
        <v>45079</v>
      </c>
      <c r="B223" s="11"/>
      <c r="C223" s="11" t="s">
        <v>4121</v>
      </c>
      <c r="D223" s="11"/>
      <c r="E223" s="11" t="s">
        <v>450</v>
      </c>
      <c r="F223" s="11" t="str">
        <f>IFERROR(VLOOKUP(VENTAS[[#This Row],[Código del producto Vendido]],STOCK[],5,FALSE),"-")</f>
        <v>Bañador estampado de planta</v>
      </c>
      <c r="G223" s="11">
        <v>1</v>
      </c>
      <c r="H223" s="14">
        <v>25</v>
      </c>
      <c r="I223" s="14">
        <f>VENTAS[[#This Row],[Cantidad]]*VENTAS[[#This Row],[Precio Venta]]</f>
        <v>25</v>
      </c>
      <c r="J223" s="14">
        <f>IF(VENTAS[[#This Row],[Nombre del Gestor]]&gt;1,VENTAS[[#This Row],[Total]]*10%,0)</f>
        <v>0</v>
      </c>
      <c r="K223" s="14">
        <f>IFERROR(VLOOKUP(VENTAS[[#This Row],[Código del producto Vendido]],STOCK[],16,FALSE)*VENTAS[[#This Row],[Cantidad]]+VLOOKUP(VENTAS[[#This Row],[Código del producto Vendido]],STOCK[],19,FALSE)*VENTAS[[#This Row],[Cantidad]],VENTAS[[#This Row],[Total]])</f>
        <v>13.4166666666667</v>
      </c>
      <c r="L223" s="14">
        <f>VENTAS[[#This Row],[Total]]-VENTAS[[#This Row],[Comisión 10%]]-VENTAS[[#This Row],[Costo SIN Comision]]</f>
        <v>11.5833333333333</v>
      </c>
      <c r="M223" s="14"/>
    </row>
    <row r="224" ht="20" hidden="1" customHeight="1" spans="1:13">
      <c r="A224" s="10">
        <v>45079</v>
      </c>
      <c r="B224" s="11"/>
      <c r="C224" s="11" t="s">
        <v>4122</v>
      </c>
      <c r="D224" s="11"/>
      <c r="E224" s="11" t="s">
        <v>908</v>
      </c>
      <c r="F224" s="11" t="str">
        <f>IFERROR(VLOOKUP(VENTAS[[#This Row],[Código del producto Vendido]],STOCK[],5,FALSE),"-")</f>
        <v> Top Cuello V Verde</v>
      </c>
      <c r="G224" s="11">
        <v>1</v>
      </c>
      <c r="H224" s="14">
        <v>12</v>
      </c>
      <c r="I224" s="14">
        <f>VENTAS[[#This Row],[Cantidad]]*VENTAS[[#This Row],[Precio Venta]]</f>
        <v>12</v>
      </c>
      <c r="J224" s="14">
        <f>IF(VENTAS[[#This Row],[Nombre del Gestor]]&gt;1,VENTAS[[#This Row],[Total]]*10%,0)</f>
        <v>0</v>
      </c>
      <c r="K224" s="14">
        <f>IFERROR(VLOOKUP(VENTAS[[#This Row],[Código del producto Vendido]],STOCK[],16,FALSE)*VENTAS[[#This Row],[Cantidad]]+VLOOKUP(VENTAS[[#This Row],[Código del producto Vendido]],STOCK[],19,FALSE)*VENTAS[[#This Row],[Cantidad]],VENTAS[[#This Row],[Total]])</f>
        <v>8.00545454545454</v>
      </c>
      <c r="L224" s="14">
        <f>VENTAS[[#This Row],[Total]]-VENTAS[[#This Row],[Comisión 10%]]-VENTAS[[#This Row],[Costo SIN Comision]]</f>
        <v>3.99454545454546</v>
      </c>
      <c r="M224" s="14"/>
    </row>
    <row r="225" ht="20" hidden="1" customHeight="1" spans="1:13">
      <c r="A225" s="10">
        <v>45079</v>
      </c>
      <c r="B225" s="11"/>
      <c r="C225" s="11" t="s">
        <v>4122</v>
      </c>
      <c r="D225" s="11"/>
      <c r="E225" s="11" t="s">
        <v>1030</v>
      </c>
      <c r="F225" s="11" t="str">
        <f>IFERROR(VLOOKUP(VENTAS[[#This Row],[Código del producto Vendido]],STOCK[],5,FALSE),"-")</f>
        <v>Top cuello V Blanco</v>
      </c>
      <c r="G225" s="11">
        <v>1</v>
      </c>
      <c r="H225" s="14">
        <v>12</v>
      </c>
      <c r="I225" s="14">
        <f>VENTAS[[#This Row],[Cantidad]]*VENTAS[[#This Row],[Precio Venta]]</f>
        <v>12</v>
      </c>
      <c r="J225" s="14">
        <f>IF(VENTAS[[#This Row],[Nombre del Gestor]]&gt;1,VENTAS[[#This Row],[Total]]*10%,0)</f>
        <v>0</v>
      </c>
      <c r="K225" s="14">
        <f>IFERROR(VLOOKUP(VENTAS[[#This Row],[Código del producto Vendido]],STOCK[],16,FALSE)*VENTAS[[#This Row],[Cantidad]]+VLOOKUP(VENTAS[[#This Row],[Código del producto Vendido]],STOCK[],19,FALSE)*VENTAS[[#This Row],[Cantidad]],VENTAS[[#This Row],[Total]])</f>
        <v>7.75568181818182</v>
      </c>
      <c r="L225" s="14">
        <f>VENTAS[[#This Row],[Total]]-VENTAS[[#This Row],[Comisión 10%]]-VENTAS[[#This Row],[Costo SIN Comision]]</f>
        <v>4.24431818181818</v>
      </c>
      <c r="M225" s="14"/>
    </row>
    <row r="226" ht="20" hidden="1" customHeight="1" spans="1:13">
      <c r="A226" s="10">
        <v>45079</v>
      </c>
      <c r="B226" s="11"/>
      <c r="C226" s="11" t="s">
        <v>4122</v>
      </c>
      <c r="D226" s="11"/>
      <c r="E226" s="11" t="s">
        <v>157</v>
      </c>
      <c r="F226" s="11" t="str">
        <f>IFERROR(VLOOKUP(VENTAS[[#This Row],[Código del producto Vendido]],STOCK[],5,FALSE),"-")</f>
        <v>Jeans de pierna recta desgarro</v>
      </c>
      <c r="G226" s="11">
        <v>1</v>
      </c>
      <c r="H226" s="14">
        <v>30</v>
      </c>
      <c r="I226" s="14">
        <f>VENTAS[[#This Row],[Cantidad]]*VENTAS[[#This Row],[Precio Venta]]</f>
        <v>30</v>
      </c>
      <c r="J226" s="14">
        <f>IF(VENTAS[[#This Row],[Nombre del Gestor]]&gt;1,VENTAS[[#This Row],[Total]]*10%,0)</f>
        <v>0</v>
      </c>
      <c r="K226" s="14">
        <f>IFERROR(VLOOKUP(VENTAS[[#This Row],[Código del producto Vendido]],STOCK[],16,FALSE)*VENTAS[[#This Row],[Cantidad]]+VLOOKUP(VENTAS[[#This Row],[Código del producto Vendido]],STOCK[],19,FALSE)*VENTAS[[#This Row],[Cantidad]],VENTAS[[#This Row],[Total]])</f>
        <v>18.6866666666667</v>
      </c>
      <c r="L226" s="14">
        <f>VENTAS[[#This Row],[Total]]-VENTAS[[#This Row],[Comisión 10%]]-VENTAS[[#This Row],[Costo SIN Comision]]</f>
        <v>11.3133333333333</v>
      </c>
      <c r="M226" s="14"/>
    </row>
    <row r="227" ht="20" hidden="1" customHeight="1" spans="1:13">
      <c r="A227" s="10">
        <v>45079</v>
      </c>
      <c r="B227" s="11"/>
      <c r="C227" s="11" t="s">
        <v>4122</v>
      </c>
      <c r="D227" s="11"/>
      <c r="E227" s="11" t="s">
        <v>891</v>
      </c>
      <c r="F227" s="11" t="str">
        <f>IFERROR(VLOOKUP(VENTAS[[#This Row],[Código del producto Vendido]],STOCK[],5,FALSE),"-")</f>
        <v>Top Cuello encaje y mangas abombadas</v>
      </c>
      <c r="G227" s="11">
        <v>1</v>
      </c>
      <c r="H227" s="14">
        <v>11</v>
      </c>
      <c r="I227" s="14">
        <f>VENTAS[[#This Row],[Cantidad]]*VENTAS[[#This Row],[Precio Venta]]</f>
        <v>11</v>
      </c>
      <c r="J227" s="14">
        <f>IF(VENTAS[[#This Row],[Nombre del Gestor]]&gt;1,VENTAS[[#This Row],[Total]]*10%,0)</f>
        <v>0</v>
      </c>
      <c r="K227" s="14">
        <f>IFERROR(VLOOKUP(VENTAS[[#This Row],[Código del producto Vendido]],STOCK[],16,FALSE)*VENTAS[[#This Row],[Cantidad]]+VLOOKUP(VENTAS[[#This Row],[Código del producto Vendido]],STOCK[],19,FALSE)*VENTAS[[#This Row],[Cantidad]],VENTAS[[#This Row],[Total]])</f>
        <v>6.35818181818182</v>
      </c>
      <c r="L227" s="14">
        <f>VENTAS[[#This Row],[Total]]-VENTAS[[#This Row],[Comisión 10%]]-VENTAS[[#This Row],[Costo SIN Comision]]</f>
        <v>4.64181818181818</v>
      </c>
      <c r="M227" s="14"/>
    </row>
    <row r="228" ht="20" hidden="1" customHeight="1" spans="1:13">
      <c r="A228" s="10"/>
      <c r="B228" s="11"/>
      <c r="C228" s="11"/>
      <c r="D228" s="11"/>
      <c r="E228" s="11" t="s">
        <v>936</v>
      </c>
      <c r="F228" s="11" t="str">
        <f>IFERROR(VLOOKUP(VENTAS[[#This Row],[Código del producto Vendido]],STOCK[],5,FALSE),"-")</f>
        <v>Bañador de pierna alta</v>
      </c>
      <c r="G228" s="11">
        <v>1</v>
      </c>
      <c r="H228" s="14">
        <v>25</v>
      </c>
      <c r="I228" s="14">
        <f>VENTAS[[#This Row],[Cantidad]]*VENTAS[[#This Row],[Precio Venta]]</f>
        <v>25</v>
      </c>
      <c r="J228" s="14">
        <f>IF(VENTAS[[#This Row],[Nombre del Gestor]]&gt;1,VENTAS[[#This Row],[Total]]*10%,0)</f>
        <v>0</v>
      </c>
      <c r="K228" s="14">
        <f>IFERROR(VLOOKUP(VENTAS[[#This Row],[Código del producto Vendido]],STOCK[],16,FALSE)*VENTAS[[#This Row],[Cantidad]]+VLOOKUP(VENTAS[[#This Row],[Código del producto Vendido]],STOCK[],19,FALSE)*VENTAS[[#This Row],[Cantidad]],VENTAS[[#This Row],[Total]])</f>
        <v>14.0231818181818</v>
      </c>
      <c r="L228" s="14">
        <f>VENTAS[[#This Row],[Total]]-VENTAS[[#This Row],[Comisión 10%]]-VENTAS[[#This Row],[Costo SIN Comision]]</f>
        <v>10.9768181818182</v>
      </c>
      <c r="M228" s="14"/>
    </row>
    <row r="229" ht="20" hidden="1" customHeight="1" spans="1:13">
      <c r="A229" s="10"/>
      <c r="B229" s="11"/>
      <c r="C229" s="11"/>
      <c r="D229" s="11"/>
      <c r="E229" s="25" t="s">
        <v>728</v>
      </c>
      <c r="F229" s="11" t="str">
        <f>IFERROR(VLOOKUP(VENTAS[[#This Row],[Código del producto Vendido]],STOCK[],5,FALSE),"-")</f>
        <v>Top acanalado sin mangas</v>
      </c>
      <c r="G229" s="11">
        <v>1</v>
      </c>
      <c r="H229" s="14">
        <v>16</v>
      </c>
      <c r="I229" s="14">
        <f>VENTAS[[#This Row],[Cantidad]]*VENTAS[[#This Row],[Precio Venta]]</f>
        <v>16</v>
      </c>
      <c r="J229" s="14">
        <f>IF(VENTAS[[#This Row],[Nombre del Gestor]]&gt;1,VENTAS[[#This Row],[Total]]*10%,0)</f>
        <v>0</v>
      </c>
      <c r="K229" s="14">
        <f>IFERROR(VLOOKUP(VENTAS[[#This Row],[Código del producto Vendido]],STOCK[],16,FALSE)*VENTAS[[#This Row],[Cantidad]]+VLOOKUP(VENTAS[[#This Row],[Código del producto Vendido]],STOCK[],19,FALSE)*VENTAS[[#This Row],[Cantidad]],VENTAS[[#This Row],[Total]])</f>
        <v>5.02222222222222</v>
      </c>
      <c r="L229" s="14">
        <f>VENTAS[[#This Row],[Total]]-VENTAS[[#This Row],[Comisión 10%]]-VENTAS[[#This Row],[Costo SIN Comision]]</f>
        <v>10.9777777777778</v>
      </c>
      <c r="M229" s="14"/>
    </row>
    <row r="230" ht="20" hidden="1" customHeight="1" spans="1:13">
      <c r="A230" s="10"/>
      <c r="B230" s="11"/>
      <c r="C230" s="11"/>
      <c r="D230" s="11"/>
      <c r="E230" s="11" t="s">
        <v>900</v>
      </c>
      <c r="F230" s="11" t="str">
        <f>IFERROR(VLOOKUP(VENTAS[[#This Row],[Código del producto Vendido]],STOCK[],5,FALSE),"-")</f>
        <v>Bañador con adorno de malla</v>
      </c>
      <c r="G230" s="11">
        <v>1</v>
      </c>
      <c r="H230" s="14">
        <v>25</v>
      </c>
      <c r="I230" s="14">
        <f>VENTAS[[#This Row],[Cantidad]]*VENTAS[[#This Row],[Precio Venta]]</f>
        <v>25</v>
      </c>
      <c r="J230" s="14">
        <f>IF(VENTAS[[#This Row],[Nombre del Gestor]]&gt;1,VENTAS[[#This Row],[Total]]*10%,0)</f>
        <v>0</v>
      </c>
      <c r="K230" s="14">
        <f>IFERROR(VLOOKUP(VENTAS[[#This Row],[Código del producto Vendido]],STOCK[],16,FALSE)*VENTAS[[#This Row],[Cantidad]]+VLOOKUP(VENTAS[[#This Row],[Código del producto Vendido]],STOCK[],19,FALSE)*VENTAS[[#This Row],[Cantidad]],VENTAS[[#This Row],[Total]])</f>
        <v>15.3295454545455</v>
      </c>
      <c r="L230" s="14">
        <f>VENTAS[[#This Row],[Total]]-VENTAS[[#This Row],[Comisión 10%]]-VENTAS[[#This Row],[Costo SIN Comision]]</f>
        <v>9.6704545454545</v>
      </c>
      <c r="M230" s="14"/>
    </row>
    <row r="231" ht="20" hidden="1" customHeight="1" spans="1:13">
      <c r="A231" s="10"/>
      <c r="B231" s="11"/>
      <c r="C231" s="11"/>
      <c r="D231" s="11"/>
      <c r="E231" s="11" t="s">
        <v>450</v>
      </c>
      <c r="F231" s="11" t="str">
        <f>IFERROR(VLOOKUP(VENTAS[[#This Row],[Código del producto Vendido]],STOCK[],5,FALSE),"-")</f>
        <v>Bañador estampado de planta</v>
      </c>
      <c r="G231" s="11">
        <v>2</v>
      </c>
      <c r="H231" s="14">
        <v>25</v>
      </c>
      <c r="I231" s="14">
        <f>VENTAS[[#This Row],[Cantidad]]*VENTAS[[#This Row],[Precio Venta]]</f>
        <v>50</v>
      </c>
      <c r="J231" s="14">
        <f>IF(VENTAS[[#This Row],[Nombre del Gestor]]&gt;1,VENTAS[[#This Row],[Total]]*10%,0)</f>
        <v>0</v>
      </c>
      <c r="K231" s="14">
        <f>IFERROR(VLOOKUP(VENTAS[[#This Row],[Código del producto Vendido]],STOCK[],16,FALSE)*VENTAS[[#This Row],[Cantidad]]+VLOOKUP(VENTAS[[#This Row],[Código del producto Vendido]],STOCK[],19,FALSE)*VENTAS[[#This Row],[Cantidad]],VENTAS[[#This Row],[Total]])</f>
        <v>26.8333333333334</v>
      </c>
      <c r="L231" s="14">
        <f>VENTAS[[#This Row],[Total]]-VENTAS[[#This Row],[Comisión 10%]]-VENTAS[[#This Row],[Costo SIN Comision]]</f>
        <v>23.1666666666666</v>
      </c>
      <c r="M231" s="14"/>
    </row>
    <row r="232" ht="20" hidden="1" customHeight="1" spans="1:13">
      <c r="A232" s="10"/>
      <c r="B232" s="11"/>
      <c r="C232" s="11"/>
      <c r="D232" s="11"/>
      <c r="E232" s="11" t="s">
        <v>1043</v>
      </c>
      <c r="F232" s="11" t="str">
        <f>IFERROR(VLOOKUP(VENTAS[[#This Row],[Código del producto Vendido]],STOCK[],5,FALSE),"-")</f>
        <v>Jeans Elastizados Pierna Ancha</v>
      </c>
      <c r="G232" s="11">
        <v>1</v>
      </c>
      <c r="H232" s="14">
        <v>35</v>
      </c>
      <c r="I232" s="14">
        <f>VENTAS[[#This Row],[Cantidad]]*VENTAS[[#This Row],[Precio Venta]]</f>
        <v>35</v>
      </c>
      <c r="J232" s="14">
        <f>IF(VENTAS[[#This Row],[Nombre del Gestor]]&gt;1,VENTAS[[#This Row],[Total]]*10%,0)</f>
        <v>0</v>
      </c>
      <c r="K232" s="14">
        <f>IFERROR(VLOOKUP(VENTAS[[#This Row],[Código del producto Vendido]],STOCK[],16,FALSE)*VENTAS[[#This Row],[Cantidad]]+VLOOKUP(VENTAS[[#This Row],[Código del producto Vendido]],STOCK[],19,FALSE)*VENTAS[[#This Row],[Cantidad]],VENTAS[[#This Row],[Total]])</f>
        <v>27.5227272727273</v>
      </c>
      <c r="L232" s="14">
        <f>VENTAS[[#This Row],[Total]]-VENTAS[[#This Row],[Comisión 10%]]-VENTAS[[#This Row],[Costo SIN Comision]]</f>
        <v>7.4772727272727</v>
      </c>
      <c r="M232" s="14"/>
    </row>
    <row r="233" ht="20" hidden="1" customHeight="1" spans="1:13">
      <c r="A233" s="10"/>
      <c r="B233" s="11"/>
      <c r="C233" s="11"/>
      <c r="D233" s="11"/>
      <c r="E233" s="11" t="s">
        <v>953</v>
      </c>
      <c r="F233" s="11" t="str">
        <f>IFERROR(VLOOKUP(VENTAS[[#This Row],[Código del producto Vendido]],STOCK[],5,FALSE),"-")</f>
        <v> Pantaloneta Verde</v>
      </c>
      <c r="G233" s="11">
        <v>1</v>
      </c>
      <c r="H233" s="14">
        <v>25</v>
      </c>
      <c r="I233" s="14">
        <f>VENTAS[[#This Row],[Cantidad]]*VENTAS[[#This Row],[Precio Venta]]</f>
        <v>25</v>
      </c>
      <c r="J233" s="14">
        <f>IF(VENTAS[[#This Row],[Nombre del Gestor]]&gt;1,VENTAS[[#This Row],[Total]]*10%,0)</f>
        <v>0</v>
      </c>
      <c r="K233" s="14">
        <f>IFERROR(VLOOKUP(VENTAS[[#This Row],[Código del producto Vendido]],STOCK[],16,FALSE)*VENTAS[[#This Row],[Cantidad]]+VLOOKUP(VENTAS[[#This Row],[Código del producto Vendido]],STOCK[],19,FALSE)*VENTAS[[#This Row],[Cantidad]],VENTAS[[#This Row],[Total]])</f>
        <v>14.8713636363636</v>
      </c>
      <c r="L233" s="14">
        <f>VENTAS[[#This Row],[Total]]-VENTAS[[#This Row],[Comisión 10%]]-VENTAS[[#This Row],[Costo SIN Comision]]</f>
        <v>10.1286363636364</v>
      </c>
      <c r="M233" s="14"/>
    </row>
    <row r="234" ht="20" hidden="1" customHeight="1" spans="1:13">
      <c r="A234" s="10">
        <v>45081</v>
      </c>
      <c r="B234" s="11"/>
      <c r="C234" s="11"/>
      <c r="D234" s="11"/>
      <c r="E234" s="11" t="s">
        <v>68</v>
      </c>
      <c r="F234" s="11" t="str">
        <f>IFERROR(VLOOKUP(VENTAS[[#This Row],[Código del producto Vendido]],STOCK[],5,FALSE),"-")</f>
        <v>Bikini Elegante con Herrajes</v>
      </c>
      <c r="G234" s="11">
        <v>1</v>
      </c>
      <c r="H234" s="14">
        <v>18</v>
      </c>
      <c r="I234" s="14">
        <f>VENTAS[[#This Row],[Cantidad]]*VENTAS[[#This Row],[Precio Venta]]</f>
        <v>18</v>
      </c>
      <c r="J234" s="14">
        <f>IF(VENTAS[[#This Row],[Nombre del Gestor]]&gt;1,VENTAS[[#This Row],[Total]]*10%,0)</f>
        <v>0</v>
      </c>
      <c r="K234" s="14">
        <f>IFERROR(VLOOKUP(VENTAS[[#This Row],[Código del producto Vendido]],STOCK[],16,FALSE)*VENTAS[[#This Row],[Cantidad]]+VLOOKUP(VENTAS[[#This Row],[Código del producto Vendido]],STOCK[],19,FALSE)*VENTAS[[#This Row],[Cantidad]],VENTAS[[#This Row],[Total]])</f>
        <v>12.3083333333333</v>
      </c>
      <c r="L234" s="14">
        <f>VENTAS[[#This Row],[Total]]-VENTAS[[#This Row],[Comisión 10%]]-VENTAS[[#This Row],[Costo SIN Comision]]</f>
        <v>5.69166666666667</v>
      </c>
      <c r="M234" s="14"/>
    </row>
    <row r="235" ht="20" hidden="1" customHeight="1" spans="1:13">
      <c r="A235" s="10">
        <v>45081</v>
      </c>
      <c r="B235" s="11"/>
      <c r="C235" s="11"/>
      <c r="D235" s="11"/>
      <c r="E235" s="11" t="s">
        <v>447</v>
      </c>
      <c r="F235" s="11" t="str">
        <f>IFERROR(VLOOKUP(VENTAS[[#This Row],[Código del producto Vendido]],STOCK[],5,FALSE),"-")</f>
        <v>Skort asimétrico floral </v>
      </c>
      <c r="G235" s="11">
        <v>1</v>
      </c>
      <c r="H235" s="14">
        <v>15</v>
      </c>
      <c r="I235" s="14">
        <f>VENTAS[[#This Row],[Cantidad]]*VENTAS[[#This Row],[Precio Venta]]</f>
        <v>15</v>
      </c>
      <c r="J235" s="14">
        <f>IF(VENTAS[[#This Row],[Nombre del Gestor]]&gt;1,VENTAS[[#This Row],[Total]]*10%,0)</f>
        <v>0</v>
      </c>
      <c r="K235" s="14">
        <f>IFERROR(VLOOKUP(VENTAS[[#This Row],[Código del producto Vendido]],STOCK[],16,FALSE)*VENTAS[[#This Row],[Cantidad]]+VLOOKUP(VENTAS[[#This Row],[Código del producto Vendido]],STOCK[],19,FALSE)*VENTAS[[#This Row],[Cantidad]],VENTAS[[#This Row],[Total]])</f>
        <v>8.92777777777778</v>
      </c>
      <c r="L235" s="14">
        <f>VENTAS[[#This Row],[Total]]-VENTAS[[#This Row],[Comisión 10%]]-VENTAS[[#This Row],[Costo SIN Comision]]</f>
        <v>6.07222222222222</v>
      </c>
      <c r="M235" s="14"/>
    </row>
    <row r="236" ht="20" hidden="1" customHeight="1" spans="1:13">
      <c r="A236" s="10">
        <v>45081</v>
      </c>
      <c r="B236" s="11"/>
      <c r="C236" s="11"/>
      <c r="D236" s="11"/>
      <c r="E236" s="11" t="s">
        <v>1062</v>
      </c>
      <c r="F236" s="11" t="str">
        <f>IFERROR(VLOOKUP(VENTAS[[#This Row],[Código del producto Vendido]],STOCK[],5,FALSE),"-")</f>
        <v>Top corto blanco</v>
      </c>
      <c r="G236" s="11">
        <v>1</v>
      </c>
      <c r="H236" s="14">
        <v>5</v>
      </c>
      <c r="I236" s="14">
        <f>VENTAS[[#This Row],[Cantidad]]*VENTAS[[#This Row],[Precio Venta]]</f>
        <v>5</v>
      </c>
      <c r="J236" s="14">
        <f>IF(VENTAS[[#This Row],[Nombre del Gestor]]&gt;1,VENTAS[[#This Row],[Total]]*10%,0)</f>
        <v>0</v>
      </c>
      <c r="K236" s="14">
        <f>IFERROR(VLOOKUP(VENTAS[[#This Row],[Código del producto Vendido]],STOCK[],16,FALSE)*VENTAS[[#This Row],[Cantidad]]+VLOOKUP(VENTAS[[#This Row],[Código del producto Vendido]],STOCK[],19,FALSE)*VENTAS[[#This Row],[Cantidad]],VENTAS[[#This Row],[Total]])</f>
        <v>4.40441176470588</v>
      </c>
      <c r="L236" s="14">
        <f>VENTAS[[#This Row],[Total]]-VENTAS[[#This Row],[Comisión 10%]]-VENTAS[[#This Row],[Costo SIN Comision]]</f>
        <v>0.59558823529412</v>
      </c>
      <c r="M236" s="14"/>
    </row>
    <row r="237" ht="20" hidden="1" customHeight="1" spans="1:13">
      <c r="A237" s="10">
        <v>45081</v>
      </c>
      <c r="B237" s="11"/>
      <c r="C237" s="11"/>
      <c r="D237" s="11"/>
      <c r="E237" s="11" t="s">
        <v>307</v>
      </c>
      <c r="F237" s="11" t="str">
        <f>IFERROR(VLOOKUP(VENTAS[[#This Row],[Código del producto Vendido]],STOCK[],5,FALSE),"-")</f>
        <v>Conjunto short, camisa y top</v>
      </c>
      <c r="G237" s="11">
        <v>1</v>
      </c>
      <c r="H237" s="14">
        <v>30</v>
      </c>
      <c r="I237" s="14">
        <f>VENTAS[[#This Row],[Cantidad]]*VENTAS[[#This Row],[Precio Venta]]</f>
        <v>30</v>
      </c>
      <c r="J237" s="14">
        <f>IF(VENTAS[[#This Row],[Nombre del Gestor]]&gt;1,VENTAS[[#This Row],[Total]]*10%,0)</f>
        <v>0</v>
      </c>
      <c r="K237" s="14">
        <f>IFERROR(VLOOKUP(VENTAS[[#This Row],[Código del producto Vendido]],STOCK[],16,FALSE)*VENTAS[[#This Row],[Cantidad]]+VLOOKUP(VENTAS[[#This Row],[Código del producto Vendido]],STOCK[],19,FALSE)*VENTAS[[#This Row],[Cantidad]],VENTAS[[#This Row],[Total]])</f>
        <v>16.8333333333333</v>
      </c>
      <c r="L237" s="14">
        <f>VENTAS[[#This Row],[Total]]-VENTAS[[#This Row],[Comisión 10%]]-VENTAS[[#This Row],[Costo SIN Comision]]</f>
        <v>13.1666666666667</v>
      </c>
      <c r="M237" s="14"/>
    </row>
    <row r="238" ht="20" hidden="1" customHeight="1" spans="1:13">
      <c r="A238" s="10">
        <v>45081</v>
      </c>
      <c r="B238" s="11"/>
      <c r="C238" s="11"/>
      <c r="D238" s="11"/>
      <c r="E238" s="11" t="s">
        <v>263</v>
      </c>
      <c r="F238" s="11" t="str">
        <f>IFERROR(VLOOKUP(VENTAS[[#This Row],[Código del producto Vendido]],STOCK[],5,FALSE),"-")</f>
        <v>Blusas Botón Floral Casual</v>
      </c>
      <c r="G238" s="11">
        <v>1</v>
      </c>
      <c r="H238" s="14">
        <v>14</v>
      </c>
      <c r="I238" s="14">
        <f>VENTAS[[#This Row],[Cantidad]]*VENTAS[[#This Row],[Precio Venta]]</f>
        <v>14</v>
      </c>
      <c r="J238" s="14">
        <f>IF(VENTAS[[#This Row],[Nombre del Gestor]]&gt;1,VENTAS[[#This Row],[Total]]*10%,0)</f>
        <v>0</v>
      </c>
      <c r="K238" s="14">
        <f>IFERROR(VLOOKUP(VENTAS[[#This Row],[Código del producto Vendido]],STOCK[],16,FALSE)*VENTAS[[#This Row],[Cantidad]]+VLOOKUP(VENTAS[[#This Row],[Código del producto Vendido]],STOCK[],19,FALSE)*VENTAS[[#This Row],[Cantidad]],VENTAS[[#This Row],[Total]])</f>
        <v>8.02222222222222</v>
      </c>
      <c r="L238" s="14">
        <f>VENTAS[[#This Row],[Total]]-VENTAS[[#This Row],[Comisión 10%]]-VENTAS[[#This Row],[Costo SIN Comision]]</f>
        <v>5.97777777777778</v>
      </c>
      <c r="M238" s="14"/>
    </row>
    <row r="239" ht="20" hidden="1" customHeight="1" spans="1:13">
      <c r="A239" s="10">
        <v>45081</v>
      </c>
      <c r="B239" s="11"/>
      <c r="C239" s="11"/>
      <c r="D239" s="11"/>
      <c r="E239" s="11" t="s">
        <v>728</v>
      </c>
      <c r="F239" s="11" t="str">
        <f>IFERROR(VLOOKUP(VENTAS[[#This Row],[Código del producto Vendido]],STOCK[],5,FALSE),"-")</f>
        <v>Top acanalado sin mangas</v>
      </c>
      <c r="G239" s="11">
        <v>1</v>
      </c>
      <c r="H239" s="14">
        <v>10</v>
      </c>
      <c r="I239" s="14">
        <f>VENTAS[[#This Row],[Cantidad]]*VENTAS[[#This Row],[Precio Venta]]</f>
        <v>10</v>
      </c>
      <c r="J239" s="14">
        <f>IF(VENTAS[[#This Row],[Nombre del Gestor]]&gt;1,VENTAS[[#This Row],[Total]]*10%,0)</f>
        <v>0</v>
      </c>
      <c r="K239" s="14">
        <f>IFERROR(VLOOKUP(VENTAS[[#This Row],[Código del producto Vendido]],STOCK[],16,FALSE)*VENTAS[[#This Row],[Cantidad]]+VLOOKUP(VENTAS[[#This Row],[Código del producto Vendido]],STOCK[],19,FALSE)*VENTAS[[#This Row],[Cantidad]],VENTAS[[#This Row],[Total]])</f>
        <v>5.02222222222222</v>
      </c>
      <c r="L239" s="14">
        <f>VENTAS[[#This Row],[Total]]-VENTAS[[#This Row],[Comisión 10%]]-VENTAS[[#This Row],[Costo SIN Comision]]</f>
        <v>4.97777777777778</v>
      </c>
      <c r="M239" s="14"/>
    </row>
    <row r="240" ht="20" hidden="1" customHeight="1" spans="1:13">
      <c r="A240" s="10">
        <v>45082</v>
      </c>
      <c r="B240" s="11"/>
      <c r="C240" s="11" t="s">
        <v>4123</v>
      </c>
      <c r="D240" s="11"/>
      <c r="E240" s="11" t="s">
        <v>1036</v>
      </c>
      <c r="F240" s="11" t="str">
        <f>IFERROR(VLOOKUP(VENTAS[[#This Row],[Código del producto Vendido]],STOCK[],5,FALSE),"-")</f>
        <v>Jenas Ajustados Oscuro</v>
      </c>
      <c r="G240" s="11">
        <v>1</v>
      </c>
      <c r="H240" s="14">
        <v>35</v>
      </c>
      <c r="I240" s="14">
        <f>VENTAS[[#This Row],[Cantidad]]*VENTAS[[#This Row],[Precio Venta]]</f>
        <v>35</v>
      </c>
      <c r="J240" s="14">
        <f>IF(VENTAS[[#This Row],[Nombre del Gestor]]&gt;1,VENTAS[[#This Row],[Total]]*10%,0)</f>
        <v>0</v>
      </c>
      <c r="K240" s="14">
        <f>IFERROR(VLOOKUP(VENTAS[[#This Row],[Código del producto Vendido]],STOCK[],16,FALSE)*VENTAS[[#This Row],[Cantidad]]+VLOOKUP(VENTAS[[#This Row],[Código del producto Vendido]],STOCK[],19,FALSE)*VENTAS[[#This Row],[Cantidad]],VENTAS[[#This Row],[Total]])</f>
        <v>24.6818181818182</v>
      </c>
      <c r="L240" s="14">
        <f>VENTAS[[#This Row],[Total]]-VENTAS[[#This Row],[Comisión 10%]]-VENTAS[[#This Row],[Costo SIN Comision]]</f>
        <v>10.3181818181818</v>
      </c>
      <c r="M240" s="14"/>
    </row>
    <row r="241" ht="20" hidden="1" customHeight="1" spans="1:13">
      <c r="A241" s="10">
        <v>45082</v>
      </c>
      <c r="B241" s="11"/>
      <c r="C241" s="11" t="s">
        <v>4123</v>
      </c>
      <c r="D241" s="11"/>
      <c r="E241" s="11" t="s">
        <v>1041</v>
      </c>
      <c r="F241" s="11" t="str">
        <f>IFERROR(VLOOKUP(VENTAS[[#This Row],[Código del producto Vendido]],STOCK[],5,FALSE),"-")</f>
        <v>Jeans Elastizados Pierna Ancha</v>
      </c>
      <c r="G241" s="11">
        <v>1</v>
      </c>
      <c r="H241" s="14">
        <v>35</v>
      </c>
      <c r="I241" s="14">
        <f>VENTAS[[#This Row],[Cantidad]]*VENTAS[[#This Row],[Precio Venta]]</f>
        <v>35</v>
      </c>
      <c r="J241" s="14">
        <f>IF(VENTAS[[#This Row],[Nombre del Gestor]]&gt;1,VENTAS[[#This Row],[Total]]*10%,0)</f>
        <v>0</v>
      </c>
      <c r="K241" s="14">
        <f>IFERROR(VLOOKUP(VENTAS[[#This Row],[Código del producto Vendido]],STOCK[],16,FALSE)*VENTAS[[#This Row],[Cantidad]]+VLOOKUP(VENTAS[[#This Row],[Código del producto Vendido]],STOCK[],19,FALSE)*VENTAS[[#This Row],[Cantidad]],VENTAS[[#This Row],[Total]])</f>
        <v>27.5227272727273</v>
      </c>
      <c r="L241" s="14">
        <f>VENTAS[[#This Row],[Total]]-VENTAS[[#This Row],[Comisión 10%]]-VENTAS[[#This Row],[Costo SIN Comision]]</f>
        <v>7.4772727272727</v>
      </c>
      <c r="M241" s="14"/>
    </row>
    <row r="242" ht="20" hidden="1" customHeight="1" spans="1:13">
      <c r="A242" s="10">
        <v>45082</v>
      </c>
      <c r="B242" s="11"/>
      <c r="C242" s="11" t="s">
        <v>4113</v>
      </c>
      <c r="D242" s="11"/>
      <c r="E242" s="11" t="s">
        <v>162</v>
      </c>
      <c r="F242" s="11" t="str">
        <f>IFERROR(VLOOKUP(VENTAS[[#This Row],[Código del producto Vendido]],STOCK[],5,FALSE),"-")</f>
        <v>Bañador una pieza con adorno de mariposas</v>
      </c>
      <c r="G242" s="11">
        <v>1</v>
      </c>
      <c r="H242" s="14">
        <v>20</v>
      </c>
      <c r="I242" s="14">
        <f>VENTAS[[#This Row],[Cantidad]]*VENTAS[[#This Row],[Precio Venta]]</f>
        <v>20</v>
      </c>
      <c r="J242" s="14">
        <f>IF(VENTAS[[#This Row],[Nombre del Gestor]]&gt;1,VENTAS[[#This Row],[Total]]*10%,0)</f>
        <v>0</v>
      </c>
      <c r="K242" s="14">
        <f>IFERROR(VLOOKUP(VENTAS[[#This Row],[Código del producto Vendido]],STOCK[],16,FALSE)*VENTAS[[#This Row],[Cantidad]]+VLOOKUP(VENTAS[[#This Row],[Código del producto Vendido]],STOCK[],19,FALSE)*VENTAS[[#This Row],[Cantidad]],VENTAS[[#This Row],[Total]])</f>
        <v>12.7427777777778</v>
      </c>
      <c r="L242" s="14">
        <f>VENTAS[[#This Row],[Total]]-VENTAS[[#This Row],[Comisión 10%]]-VENTAS[[#This Row],[Costo SIN Comision]]</f>
        <v>7.2572222222222</v>
      </c>
      <c r="M242" s="14"/>
    </row>
    <row r="243" ht="20" hidden="1" customHeight="1" spans="1:13">
      <c r="A243" s="10">
        <v>45082</v>
      </c>
      <c r="B243" s="11"/>
      <c r="C243" s="11" t="s">
        <v>4124</v>
      </c>
      <c r="D243" s="11"/>
      <c r="E243" s="11" t="s">
        <v>318</v>
      </c>
      <c r="F243" s="11" t="str">
        <f>IFERROR(VLOOKUP(VENTAS[[#This Row],[Código del producto Vendido]],STOCK[],5,FALSE),"-")</f>
        <v>Conjuntot Top corto &amp; Pantalones</v>
      </c>
      <c r="G243" s="11">
        <v>1</v>
      </c>
      <c r="H243" s="14">
        <v>30</v>
      </c>
      <c r="I243" s="14">
        <f>VENTAS[[#This Row],[Cantidad]]*VENTAS[[#This Row],[Precio Venta]]</f>
        <v>30</v>
      </c>
      <c r="J243" s="14">
        <f>IF(VENTAS[[#This Row],[Nombre del Gestor]]&gt;1,VENTAS[[#This Row],[Total]]*10%,0)</f>
        <v>0</v>
      </c>
      <c r="K243" s="14">
        <f>IFERROR(VLOOKUP(VENTAS[[#This Row],[Código del producto Vendido]],STOCK[],16,FALSE)*VENTAS[[#This Row],[Cantidad]]+VLOOKUP(VENTAS[[#This Row],[Código del producto Vendido]],STOCK[],19,FALSE)*VENTAS[[#This Row],[Cantidad]],VENTAS[[#This Row],[Total]])</f>
        <v>18.3688888888889</v>
      </c>
      <c r="L243" s="14">
        <f>VENTAS[[#This Row],[Total]]-VENTAS[[#This Row],[Comisión 10%]]-VENTAS[[#This Row],[Costo SIN Comision]]</f>
        <v>11.6311111111111</v>
      </c>
      <c r="M243" s="14"/>
    </row>
    <row r="244" ht="20" hidden="1" customHeight="1" spans="1:13">
      <c r="A244" s="10">
        <v>45085</v>
      </c>
      <c r="B244" s="11"/>
      <c r="C244" s="11" t="s">
        <v>4125</v>
      </c>
      <c r="D244" s="11"/>
      <c r="E244" s="11" t="s">
        <v>31</v>
      </c>
      <c r="F244" s="11" t="str">
        <f>IFERROR(VLOOKUP(VENTAS[[#This Row],[Código del producto Vendido]],STOCK[],5,FALSE),"-")</f>
        <v>Pareo falda </v>
      </c>
      <c r="G244" s="11">
        <v>1</v>
      </c>
      <c r="H244" s="14">
        <v>8</v>
      </c>
      <c r="I244" s="14">
        <f>VENTAS[[#This Row],[Cantidad]]*VENTAS[[#This Row],[Precio Venta]]</f>
        <v>8</v>
      </c>
      <c r="J244" s="14">
        <f>IF(VENTAS[[#This Row],[Nombre del Gestor]]&gt;1,VENTAS[[#This Row],[Total]]*10%,0)</f>
        <v>0</v>
      </c>
      <c r="K244" s="14">
        <f>IFERROR(VLOOKUP(VENTAS[[#This Row],[Código del producto Vendido]],STOCK[],16,FALSE)*VENTAS[[#This Row],[Cantidad]]+VLOOKUP(VENTAS[[#This Row],[Código del producto Vendido]],STOCK[],19,FALSE)*VENTAS[[#This Row],[Cantidad]],VENTAS[[#This Row],[Total]])</f>
        <v>4.33722222222222</v>
      </c>
      <c r="L244" s="14">
        <f>VENTAS[[#This Row],[Total]]-VENTAS[[#This Row],[Comisión 10%]]-VENTAS[[#This Row],[Costo SIN Comision]]</f>
        <v>3.66277777777778</v>
      </c>
      <c r="M244" s="14"/>
    </row>
    <row r="245" ht="20" hidden="1" customHeight="1" spans="1:13">
      <c r="A245" s="10">
        <v>45085</v>
      </c>
      <c r="B245" s="11"/>
      <c r="C245" s="11" t="s">
        <v>4125</v>
      </c>
      <c r="D245" s="11"/>
      <c r="E245" s="11" t="s">
        <v>90</v>
      </c>
      <c r="F245" s="11" t="str">
        <f>IFERROR(VLOOKUP(VENTAS[[#This Row],[Código del producto Vendido]],STOCK[],5,FALSE),"-")</f>
        <v>Bañador con Cremallera</v>
      </c>
      <c r="G245" s="11">
        <v>1</v>
      </c>
      <c r="H245" s="14">
        <v>28</v>
      </c>
      <c r="I245" s="14">
        <f>VENTAS[[#This Row],[Cantidad]]*VENTAS[[#This Row],[Precio Venta]]</f>
        <v>28</v>
      </c>
      <c r="J245" s="14">
        <f>IF(VENTAS[[#This Row],[Nombre del Gestor]]&gt;1,VENTAS[[#This Row],[Total]]*10%,0)</f>
        <v>0</v>
      </c>
      <c r="K245" s="14">
        <f>IFERROR(VLOOKUP(VENTAS[[#This Row],[Código del producto Vendido]],STOCK[],16,FALSE)*VENTAS[[#This Row],[Cantidad]]+VLOOKUP(VENTAS[[#This Row],[Código del producto Vendido]],STOCK[],19,FALSE)*VENTAS[[#This Row],[Cantidad]],VENTAS[[#This Row],[Total]])</f>
        <v>21.0805555555556</v>
      </c>
      <c r="L245" s="14">
        <f>VENTAS[[#This Row],[Total]]-VENTAS[[#This Row],[Comisión 10%]]-VENTAS[[#This Row],[Costo SIN Comision]]</f>
        <v>6.9194444444444</v>
      </c>
      <c r="M245" s="14"/>
    </row>
    <row r="246" ht="20" hidden="1" customHeight="1" spans="1:13">
      <c r="A246" s="10">
        <v>45085</v>
      </c>
      <c r="B246" s="11"/>
      <c r="C246" s="11" t="s">
        <v>4125</v>
      </c>
      <c r="D246" s="11"/>
      <c r="E246" s="11" t="s">
        <v>954</v>
      </c>
      <c r="F246" s="11" t="str">
        <f>IFERROR(VLOOKUP(VENTAS[[#This Row],[Código del producto Vendido]],STOCK[],5,FALSE),"-")</f>
        <v>Niñas 3 piezas Bañador bikini de rayas combinadas con abertura con kimono</v>
      </c>
      <c r="G246" s="11">
        <v>1</v>
      </c>
      <c r="H246" s="14">
        <v>25</v>
      </c>
      <c r="I246" s="14">
        <f>VENTAS[[#This Row],[Cantidad]]*VENTAS[[#This Row],[Precio Venta]]</f>
        <v>25</v>
      </c>
      <c r="J246" s="14">
        <f>IF(VENTAS[[#This Row],[Nombre del Gestor]]&gt;1,VENTAS[[#This Row],[Total]]*10%,0)</f>
        <v>0</v>
      </c>
      <c r="K246" s="14">
        <f>IFERROR(VLOOKUP(VENTAS[[#This Row],[Código del producto Vendido]],STOCK[],16,FALSE)*VENTAS[[#This Row],[Cantidad]]+VLOOKUP(VENTAS[[#This Row],[Código del producto Vendido]],STOCK[],19,FALSE)*VENTAS[[#This Row],[Cantidad]],VENTAS[[#This Row],[Total]])</f>
        <v>12.3772727272727</v>
      </c>
      <c r="L246" s="14">
        <f>VENTAS[[#This Row],[Total]]-VENTAS[[#This Row],[Comisión 10%]]-VENTAS[[#This Row],[Costo SIN Comision]]</f>
        <v>12.6227272727273</v>
      </c>
      <c r="M246" s="14"/>
    </row>
    <row r="247" ht="20" hidden="1" customHeight="1" spans="1:13">
      <c r="A247" s="21">
        <v>45085</v>
      </c>
      <c r="B247" s="11"/>
      <c r="C247" s="11" t="s">
        <v>4125</v>
      </c>
      <c r="D247" s="11"/>
      <c r="E247" s="11" t="s">
        <v>978</v>
      </c>
      <c r="F247" s="11" t="str">
        <f>IFERROR(VLOOKUP(VENTAS[[#This Row],[Código del producto Vendido]],STOCK[],5,FALSE),"-")</f>
        <v>Bikini niña 3 piezas</v>
      </c>
      <c r="G247" s="11">
        <v>1</v>
      </c>
      <c r="H247" s="14">
        <v>25</v>
      </c>
      <c r="I247" s="14">
        <f>VENTAS[[#This Row],[Cantidad]]*VENTAS[[#This Row],[Precio Venta]]</f>
        <v>25</v>
      </c>
      <c r="J247" s="14">
        <f>IF(VENTAS[[#This Row],[Nombre del Gestor]]&gt;1,VENTAS[[#This Row],[Total]]*10%,0)</f>
        <v>0</v>
      </c>
      <c r="K247" s="14">
        <f>IFERROR(VLOOKUP(VENTAS[[#This Row],[Código del producto Vendido]],STOCK[],16,FALSE)*VENTAS[[#This Row],[Cantidad]]+VLOOKUP(VENTAS[[#This Row],[Código del producto Vendido]],STOCK[],19,FALSE)*VENTAS[[#This Row],[Cantidad]],VENTAS[[#This Row],[Total]])</f>
        <v>14.4772727272727</v>
      </c>
      <c r="L247" s="14">
        <f>VENTAS[[#This Row],[Total]]-VENTAS[[#This Row],[Comisión 10%]]-VENTAS[[#This Row],[Costo SIN Comision]]</f>
        <v>10.5227272727273</v>
      </c>
      <c r="M247" s="14"/>
    </row>
    <row r="248" ht="20" hidden="1" customHeight="1" spans="1:13">
      <c r="A248" s="10">
        <v>45083</v>
      </c>
      <c r="B248" s="11"/>
      <c r="C248" s="11" t="s">
        <v>4126</v>
      </c>
      <c r="D248" s="11"/>
      <c r="E248" s="11" t="s">
        <v>272</v>
      </c>
      <c r="F248" s="11" t="str">
        <f>IFERROR(VLOOKUP(VENTAS[[#This Row],[Código del producto Vendido]],STOCK[],5,FALSE),"-")</f>
        <v>Vestido camiseta bajo con abertura</v>
      </c>
      <c r="G248" s="11">
        <v>1</v>
      </c>
      <c r="H248" s="14">
        <v>22</v>
      </c>
      <c r="I248" s="14">
        <f>VENTAS[[#This Row],[Cantidad]]*VENTAS[[#This Row],[Precio Venta]]</f>
        <v>22</v>
      </c>
      <c r="J248" s="14">
        <f>IF(VENTAS[[#This Row],[Nombre del Gestor]]&gt;1,VENTAS[[#This Row],[Total]]*10%,0)</f>
        <v>0</v>
      </c>
      <c r="K248" s="14">
        <f>IFERROR(VLOOKUP(VENTAS[[#This Row],[Código del producto Vendido]],STOCK[],16,FALSE)*VENTAS[[#This Row],[Cantidad]]+VLOOKUP(VENTAS[[#This Row],[Código del producto Vendido]],STOCK[],19,FALSE)*VENTAS[[#This Row],[Cantidad]],VENTAS[[#This Row],[Total]])</f>
        <v>13.3888888888889</v>
      </c>
      <c r="L248" s="14">
        <f>VENTAS[[#This Row],[Total]]-VENTAS[[#This Row],[Comisión 10%]]-VENTAS[[#This Row],[Costo SIN Comision]]</f>
        <v>8.6111111111111</v>
      </c>
      <c r="M248" s="14"/>
    </row>
    <row r="249" ht="20" hidden="1" customHeight="1" spans="1:13">
      <c r="A249" s="10">
        <v>45085</v>
      </c>
      <c r="B249" s="11"/>
      <c r="C249" s="11" t="s">
        <v>4127</v>
      </c>
      <c r="D249" s="11"/>
      <c r="E249" s="11" t="s">
        <v>755</v>
      </c>
      <c r="F249" s="11" t="str">
        <f>IFERROR(VLOOKUP(VENTAS[[#This Row],[Código del producto Vendido]],STOCK[],5,FALSE),"-")</f>
        <v>Sandalias Rojas</v>
      </c>
      <c r="G249" s="11">
        <v>1</v>
      </c>
      <c r="H249" s="14">
        <v>35</v>
      </c>
      <c r="I249" s="14">
        <f>VENTAS[[#This Row],[Cantidad]]*VENTAS[[#This Row],[Precio Venta]]</f>
        <v>35</v>
      </c>
      <c r="J249" s="14">
        <f>IF(VENTAS[[#This Row],[Nombre del Gestor]]&gt;1,VENTAS[[#This Row],[Total]]*10%,0)</f>
        <v>0</v>
      </c>
      <c r="K249" s="14">
        <f>IFERROR(VLOOKUP(VENTAS[[#This Row],[Código del producto Vendido]],STOCK[],16,FALSE)*VENTAS[[#This Row],[Cantidad]]+VLOOKUP(VENTAS[[#This Row],[Código del producto Vendido]],STOCK[],19,FALSE)*VENTAS[[#This Row],[Cantidad]],VENTAS[[#This Row],[Total]])</f>
        <v>25.7222222222222</v>
      </c>
      <c r="L249" s="14">
        <f>VENTAS[[#This Row],[Total]]-VENTAS[[#This Row],[Comisión 10%]]-VENTAS[[#This Row],[Costo SIN Comision]]</f>
        <v>9.2777777777778</v>
      </c>
      <c r="M249" s="14"/>
    </row>
    <row r="250" ht="20" hidden="1" customHeight="1" spans="1:13">
      <c r="A250" s="10">
        <v>45085</v>
      </c>
      <c r="B250" s="11"/>
      <c r="C250" s="11" t="s">
        <v>4127</v>
      </c>
      <c r="D250" s="11"/>
      <c r="E250" s="11" t="s">
        <v>1152</v>
      </c>
      <c r="F250" s="11" t="str">
        <f>IFERROR(VLOOKUP(VENTAS[[#This Row],[Código del producto Vendido]],STOCK[],5,FALSE),"-")</f>
        <v>Sandalias de tiras de tacón cuadrado</v>
      </c>
      <c r="G250" s="11">
        <v>1</v>
      </c>
      <c r="H250" s="14">
        <v>45</v>
      </c>
      <c r="I250" s="14">
        <f>VENTAS[[#This Row],[Cantidad]]*VENTAS[[#This Row],[Precio Venta]]</f>
        <v>45</v>
      </c>
      <c r="J250" s="14">
        <f>IF(VENTAS[[#This Row],[Nombre del Gestor]]&gt;1,VENTAS[[#This Row],[Total]]*10%,0)</f>
        <v>0</v>
      </c>
      <c r="K250" s="14">
        <f>IFERROR(VLOOKUP(VENTAS[[#This Row],[Código del producto Vendido]],STOCK[],16,FALSE)*VENTAS[[#This Row],[Cantidad]]+VLOOKUP(VENTAS[[#This Row],[Código del producto Vendido]],STOCK[],19,FALSE)*VENTAS[[#This Row],[Cantidad]],VENTAS[[#This Row],[Total]])</f>
        <v>35.3617647058824</v>
      </c>
      <c r="L250" s="14">
        <f>VENTAS[[#This Row],[Total]]-VENTAS[[#This Row],[Comisión 10%]]-VENTAS[[#This Row],[Costo SIN Comision]]</f>
        <v>9.6382352941176</v>
      </c>
      <c r="M250" s="14"/>
    </row>
    <row r="251" ht="20" hidden="1" customHeight="1" spans="1:13">
      <c r="A251" s="10">
        <v>45086</v>
      </c>
      <c r="B251" s="11"/>
      <c r="C251" s="11" t="s">
        <v>4128</v>
      </c>
      <c r="D251" s="11"/>
      <c r="E251" s="11" t="s">
        <v>560</v>
      </c>
      <c r="F251" s="11" t="str">
        <f>IFERROR(VLOOKUP(VENTAS[[#This Row],[Código del producto Vendido]],STOCK[],5,FALSE),"-")</f>
        <v>Shorts de cintura con cordón</v>
      </c>
      <c r="G251" s="11">
        <v>1</v>
      </c>
      <c r="H251" s="14">
        <v>19</v>
      </c>
      <c r="I251" s="14">
        <f>VENTAS[[#This Row],[Cantidad]]*VENTAS[[#This Row],[Precio Venta]]</f>
        <v>19</v>
      </c>
      <c r="J251" s="14">
        <f>IF(VENTAS[[#This Row],[Nombre del Gestor]]&gt;1,VENTAS[[#This Row],[Total]]*10%,0)</f>
        <v>0</v>
      </c>
      <c r="K251" s="14">
        <f>IFERROR(VLOOKUP(VENTAS[[#This Row],[Código del producto Vendido]],STOCK[],16,FALSE)*VENTAS[[#This Row],[Cantidad]]+VLOOKUP(VENTAS[[#This Row],[Código del producto Vendido]],STOCK[],19,FALSE)*VENTAS[[#This Row],[Cantidad]],VENTAS[[#This Row],[Total]])</f>
        <v>6.66555555555556</v>
      </c>
      <c r="L251" s="14">
        <f>VENTAS[[#This Row],[Total]]-VENTAS[[#This Row],[Comisión 10%]]-VENTAS[[#This Row],[Costo SIN Comision]]</f>
        <v>12.3344444444444</v>
      </c>
      <c r="M251" s="14"/>
    </row>
    <row r="252" ht="20" hidden="1" customHeight="1" spans="1:13">
      <c r="A252" s="10">
        <v>45086</v>
      </c>
      <c r="B252" s="11"/>
      <c r="C252" s="11" t="s">
        <v>4128</v>
      </c>
      <c r="D252" s="11"/>
      <c r="E252" s="11" t="s">
        <v>485</v>
      </c>
      <c r="F252" s="11" t="str">
        <f>IFERROR(VLOOKUP(VENTAS[[#This Row],[Código del producto Vendido]],STOCK[],5,FALSE),"-")</f>
        <v>Bolsa cartera con manija</v>
      </c>
      <c r="G252" s="11">
        <v>1</v>
      </c>
      <c r="H252" s="14">
        <v>15</v>
      </c>
      <c r="I252" s="14">
        <f>VENTAS[[#This Row],[Cantidad]]*VENTAS[[#This Row],[Precio Venta]]</f>
        <v>15</v>
      </c>
      <c r="J252" s="14">
        <f>IF(VENTAS[[#This Row],[Nombre del Gestor]]&gt;1,VENTAS[[#This Row],[Total]]*10%,0)</f>
        <v>0</v>
      </c>
      <c r="K252" s="14">
        <f>IFERROR(VLOOKUP(VENTAS[[#This Row],[Código del producto Vendido]],STOCK[],16,FALSE)*VENTAS[[#This Row],[Cantidad]]+VLOOKUP(VENTAS[[#This Row],[Código del producto Vendido]],STOCK[],19,FALSE)*VENTAS[[#This Row],[Cantidad]],VENTAS[[#This Row],[Total]])</f>
        <v>8.86444444444444</v>
      </c>
      <c r="L252" s="14">
        <f>VENTAS[[#This Row],[Total]]-VENTAS[[#This Row],[Comisión 10%]]-VENTAS[[#This Row],[Costo SIN Comision]]</f>
        <v>6.13555555555556</v>
      </c>
      <c r="M252" s="14"/>
    </row>
    <row r="253" ht="20" hidden="1" customHeight="1" spans="1:13">
      <c r="A253" s="10">
        <v>45086</v>
      </c>
      <c r="B253" s="11"/>
      <c r="C253" s="11" t="s">
        <v>4129</v>
      </c>
      <c r="D253" s="11"/>
      <c r="E253" s="11" t="s">
        <v>877</v>
      </c>
      <c r="F253" s="11" t="str">
        <f>IFERROR(VLOOKUP(VENTAS[[#This Row],[Código del producto Vendido]],STOCK[],5,FALSE),"-")</f>
        <v>Brasier de encaje_Negro Unitalla</v>
      </c>
      <c r="G253" s="11">
        <v>1</v>
      </c>
      <c r="H253" s="14">
        <v>7</v>
      </c>
      <c r="I253" s="14">
        <f>VENTAS[[#This Row],[Cantidad]]*VENTAS[[#This Row],[Precio Venta]]</f>
        <v>7</v>
      </c>
      <c r="J253" s="14">
        <f>IF(VENTAS[[#This Row],[Nombre del Gestor]]&gt;1,VENTAS[[#This Row],[Total]]*10%,0)</f>
        <v>0</v>
      </c>
      <c r="K253" s="14">
        <f>IFERROR(VLOOKUP(VENTAS[[#This Row],[Código del producto Vendido]],STOCK[],16,FALSE)*VENTAS[[#This Row],[Cantidad]]+VLOOKUP(VENTAS[[#This Row],[Código del producto Vendido]],STOCK[],19,FALSE)*VENTAS[[#This Row],[Cantidad]],VENTAS[[#This Row],[Total]])</f>
        <v>3.71111111111111</v>
      </c>
      <c r="L253" s="14">
        <f>VENTAS[[#This Row],[Total]]-VENTAS[[#This Row],[Comisión 10%]]-VENTAS[[#This Row],[Costo SIN Comision]]</f>
        <v>3.28888888888889</v>
      </c>
      <c r="M253" s="14"/>
    </row>
    <row r="254" ht="20" hidden="1" customHeight="1" spans="1:13">
      <c r="A254" s="10">
        <v>45086</v>
      </c>
      <c r="B254" s="11"/>
      <c r="C254" s="11" t="s">
        <v>4129</v>
      </c>
      <c r="D254" s="11"/>
      <c r="E254" s="11" t="s">
        <v>879</v>
      </c>
      <c r="F254" s="11" t="str">
        <f>IFERROR(VLOOKUP(VENTAS[[#This Row],[Código del producto Vendido]],STOCK[],5,FALSE),"-")</f>
        <v>Brasier de encaje blanco</v>
      </c>
      <c r="G254" s="11">
        <v>1</v>
      </c>
      <c r="H254" s="14">
        <v>7</v>
      </c>
      <c r="I254" s="14">
        <f>VENTAS[[#This Row],[Cantidad]]*VENTAS[[#This Row],[Precio Venta]]</f>
        <v>7</v>
      </c>
      <c r="J254" s="14">
        <f>IF(VENTAS[[#This Row],[Nombre del Gestor]]&gt;1,VENTAS[[#This Row],[Total]]*10%,0)</f>
        <v>0</v>
      </c>
      <c r="K254" s="14">
        <f>IFERROR(VLOOKUP(VENTAS[[#This Row],[Código del producto Vendido]],STOCK[],16,FALSE)*VENTAS[[#This Row],[Cantidad]]+VLOOKUP(VENTAS[[#This Row],[Código del producto Vendido]],STOCK[],19,FALSE)*VENTAS[[#This Row],[Cantidad]],VENTAS[[#This Row],[Total]])</f>
        <v>3.71111111111111</v>
      </c>
      <c r="L254" s="14">
        <f>VENTAS[[#This Row],[Total]]-VENTAS[[#This Row],[Comisión 10%]]-VENTAS[[#This Row],[Costo SIN Comision]]</f>
        <v>3.28888888888889</v>
      </c>
      <c r="M254" s="14"/>
    </row>
    <row r="255" ht="20" hidden="1" customHeight="1" spans="1:13">
      <c r="A255" s="10">
        <v>45086</v>
      </c>
      <c r="B255" s="11"/>
      <c r="C255" s="11" t="s">
        <v>4130</v>
      </c>
      <c r="D255" s="11"/>
      <c r="E255" s="11" t="s">
        <v>665</v>
      </c>
      <c r="F255" s="11" t="str">
        <f>IFERROR(VLOOKUP(VENTAS[[#This Row],[Código del producto Vendido]],STOCK[],5,FALSE),"-")</f>
        <v>Top Cruzado negro</v>
      </c>
      <c r="G255" s="11">
        <v>1</v>
      </c>
      <c r="H255" s="14">
        <v>9</v>
      </c>
      <c r="I255" s="14">
        <f>VENTAS[[#This Row],[Cantidad]]*VENTAS[[#This Row],[Precio Venta]]</f>
        <v>9</v>
      </c>
      <c r="J255" s="14">
        <f>IF(VENTAS[[#This Row],[Nombre del Gestor]]&gt;1,VENTAS[[#This Row],[Total]]*10%,0)</f>
        <v>0</v>
      </c>
      <c r="K255" s="14">
        <f>IFERROR(VLOOKUP(VENTAS[[#This Row],[Código del producto Vendido]],STOCK[],16,FALSE)*VENTAS[[#This Row],[Cantidad]]+VLOOKUP(VENTAS[[#This Row],[Código del producto Vendido]],STOCK[],19,FALSE)*VENTAS[[#This Row],[Cantidad]],VENTAS[[#This Row],[Total]])</f>
        <v>4.90166666666667</v>
      </c>
      <c r="L255" s="14">
        <f>VENTAS[[#This Row],[Total]]-VENTAS[[#This Row],[Comisión 10%]]-VENTAS[[#This Row],[Costo SIN Comision]]</f>
        <v>4.09833333333333</v>
      </c>
      <c r="M255" s="14"/>
    </row>
    <row r="256" ht="20" hidden="1" customHeight="1" spans="1:13">
      <c r="A256" s="10">
        <v>45086</v>
      </c>
      <c r="B256" s="11"/>
      <c r="C256" s="11" t="s">
        <v>4130</v>
      </c>
      <c r="D256" s="11"/>
      <c r="E256" s="11" t="s">
        <v>596</v>
      </c>
      <c r="F256" s="11" t="str">
        <f>IFERROR(VLOOKUP(VENTAS[[#This Row],[Código del producto Vendido]],STOCK[],5,FALSE),"-")</f>
        <v>Top cruzado naranja</v>
      </c>
      <c r="G256" s="11">
        <v>1</v>
      </c>
      <c r="H256" s="14">
        <v>9</v>
      </c>
      <c r="I256" s="14">
        <f>VENTAS[[#This Row],[Cantidad]]*VENTAS[[#This Row],[Precio Venta]]</f>
        <v>9</v>
      </c>
      <c r="J256" s="14">
        <f>IF(VENTAS[[#This Row],[Nombre del Gestor]]&gt;1,VENTAS[[#This Row],[Total]]*10%,0)</f>
        <v>0</v>
      </c>
      <c r="K256" s="14">
        <f>IFERROR(VLOOKUP(VENTAS[[#This Row],[Código del producto Vendido]],STOCK[],16,FALSE)*VENTAS[[#This Row],[Cantidad]]+VLOOKUP(VENTAS[[#This Row],[Código del producto Vendido]],STOCK[],19,FALSE)*VENTAS[[#This Row],[Cantidad]],VENTAS[[#This Row],[Total]])</f>
        <v>5.06833333333333</v>
      </c>
      <c r="L256" s="14">
        <f>VENTAS[[#This Row],[Total]]-VENTAS[[#This Row],[Comisión 10%]]-VENTAS[[#This Row],[Costo SIN Comision]]</f>
        <v>3.93166666666667</v>
      </c>
      <c r="M256" s="14"/>
    </row>
    <row r="257" ht="20" hidden="1" customHeight="1" spans="1:13">
      <c r="A257" s="10">
        <v>45086</v>
      </c>
      <c r="B257" s="11"/>
      <c r="C257" s="11" t="s">
        <v>4131</v>
      </c>
      <c r="D257" s="11"/>
      <c r="E257" s="11" t="s">
        <v>114</v>
      </c>
      <c r="F257" s="11" t="str">
        <f>IFERROR(VLOOKUP(VENTAS[[#This Row],[Código del producto Vendido]],STOCK[],5,FALSE),"-")</f>
        <v>Bikini Mangas Negro</v>
      </c>
      <c r="G257" s="11">
        <v>1</v>
      </c>
      <c r="H257" s="14">
        <v>25</v>
      </c>
      <c r="I257" s="14">
        <f>VENTAS[[#This Row],[Cantidad]]*VENTAS[[#This Row],[Precio Venta]]</f>
        <v>25</v>
      </c>
      <c r="J257" s="14">
        <f>IF(VENTAS[[#This Row],[Nombre del Gestor]]&gt;1,VENTAS[[#This Row],[Total]]*10%,0)</f>
        <v>0</v>
      </c>
      <c r="K257" s="14">
        <f>IFERROR(VLOOKUP(VENTAS[[#This Row],[Código del producto Vendido]],STOCK[],16,FALSE)*VENTAS[[#This Row],[Cantidad]]+VLOOKUP(VENTAS[[#This Row],[Código del producto Vendido]],STOCK[],19,FALSE)*VENTAS[[#This Row],[Cantidad]],VENTAS[[#This Row],[Total]])</f>
        <v>14.0405555555556</v>
      </c>
      <c r="L257" s="14">
        <f>VENTAS[[#This Row],[Total]]-VENTAS[[#This Row],[Comisión 10%]]-VENTAS[[#This Row],[Costo SIN Comision]]</f>
        <v>10.9594444444444</v>
      </c>
      <c r="M257" s="14"/>
    </row>
    <row r="258" ht="20" hidden="1" customHeight="1" spans="1:13">
      <c r="A258" s="10">
        <v>45086</v>
      </c>
      <c r="B258" s="11"/>
      <c r="C258" s="11" t="s">
        <v>4131</v>
      </c>
      <c r="D258" s="11"/>
      <c r="E258" s="11" t="s">
        <v>1140</v>
      </c>
      <c r="F258" s="11" t="str">
        <f>IFERROR(VLOOKUP(VENTAS[[#This Row],[Código del producto Vendido]],STOCK[],5,FALSE),"-")</f>
        <v>Babydoll</v>
      </c>
      <c r="G258" s="11">
        <v>1</v>
      </c>
      <c r="H258" s="14">
        <v>12</v>
      </c>
      <c r="I258" s="14">
        <f>VENTAS[[#This Row],[Cantidad]]*VENTAS[[#This Row],[Precio Venta]]</f>
        <v>12</v>
      </c>
      <c r="J258" s="14">
        <f>IF(VENTAS[[#This Row],[Nombre del Gestor]]&gt;1,VENTAS[[#This Row],[Total]]*10%,0)</f>
        <v>0</v>
      </c>
      <c r="K258" s="14">
        <f>IFERROR(VLOOKUP(VENTAS[[#This Row],[Código del producto Vendido]],STOCK[],16,FALSE)*VENTAS[[#This Row],[Cantidad]]+VLOOKUP(VENTAS[[#This Row],[Código del producto Vendido]],STOCK[],19,FALSE)*VENTAS[[#This Row],[Cantidad]],VENTAS[[#This Row],[Total]])</f>
        <v>9.57941176470588</v>
      </c>
      <c r="L258" s="14">
        <f>VENTAS[[#This Row],[Total]]-VENTAS[[#This Row],[Comisión 10%]]-VENTAS[[#This Row],[Costo SIN Comision]]</f>
        <v>2.42058823529412</v>
      </c>
      <c r="M258" s="14"/>
    </row>
    <row r="259" ht="20" hidden="1" customHeight="1" spans="1:13">
      <c r="A259" s="10"/>
      <c r="B259" s="11"/>
      <c r="C259" s="11"/>
      <c r="D259" s="11"/>
      <c r="E259" s="11"/>
      <c r="F259" s="11" t="str">
        <f>IFERROR(VLOOKUP(VENTAS[[#This Row],[Código del producto Vendido]],STOCK[],5,FALSE),"-")</f>
        <v>-</v>
      </c>
      <c r="G259" s="11"/>
      <c r="H259" s="14"/>
      <c r="I259" s="14">
        <f>VENTAS[[#This Row],[Cantidad]]*VENTAS[[#This Row],[Precio Venta]]</f>
        <v>0</v>
      </c>
      <c r="J259" s="14">
        <f>IF(VENTAS[[#This Row],[Nombre del Gestor]]&gt;1,VENTAS[[#This Row],[Total]]*10%,0)</f>
        <v>0</v>
      </c>
      <c r="K259" s="14">
        <f>IFERROR(VLOOKUP(VENTAS[[#This Row],[Código del producto Vendido]],STOCK[],16,FALSE)*VENTAS[[#This Row],[Cantidad]]+VLOOKUP(VENTAS[[#This Row],[Código del producto Vendido]],STOCK[],19,FALSE)*VENTAS[[#This Row],[Cantidad]],VENTAS[[#This Row],[Total]])</f>
        <v>0</v>
      </c>
      <c r="L259" s="14">
        <f>VENTAS[[#This Row],[Total]]-VENTAS[[#This Row],[Comisión 10%]]-VENTAS[[#This Row],[Costo SIN Comision]]</f>
        <v>0</v>
      </c>
      <c r="M259" s="14"/>
    </row>
    <row r="260" ht="20" hidden="1" customHeight="1" spans="1:13">
      <c r="A260" s="10">
        <v>45086</v>
      </c>
      <c r="B260" s="11"/>
      <c r="C260" s="11"/>
      <c r="D260" s="11"/>
      <c r="E260" s="11" t="s">
        <v>808</v>
      </c>
      <c r="F260" s="11" t="str">
        <f>IFERROR(VLOOKUP(VENTAS[[#This Row],[Código del producto Vendido]],STOCK[],5,FALSE),"-")</f>
        <v>Bañador a rayas con lazo</v>
      </c>
      <c r="G260" s="11">
        <v>1</v>
      </c>
      <c r="H260" s="14">
        <v>15</v>
      </c>
      <c r="I260" s="14">
        <f>VENTAS[[#This Row],[Cantidad]]*VENTAS[[#This Row],[Precio Venta]]</f>
        <v>15</v>
      </c>
      <c r="J260" s="14">
        <f>IF(VENTAS[[#This Row],[Nombre del Gestor]]&gt;1,VENTAS[[#This Row],[Total]]*10%,0)</f>
        <v>0</v>
      </c>
      <c r="K260" s="14">
        <f>IFERROR(VLOOKUP(VENTAS[[#This Row],[Código del producto Vendido]],STOCK[],16,FALSE)*VENTAS[[#This Row],[Cantidad]]+VLOOKUP(VENTAS[[#This Row],[Código del producto Vendido]],STOCK[],19,FALSE)*VENTAS[[#This Row],[Cantidad]],VENTAS[[#This Row],[Total]])</f>
        <v>9.5</v>
      </c>
      <c r="L260" s="14">
        <f>VENTAS[[#This Row],[Total]]-VENTAS[[#This Row],[Comisión 10%]]-VENTAS[[#This Row],[Costo SIN Comision]]</f>
        <v>5.5</v>
      </c>
      <c r="M260" s="14"/>
    </row>
    <row r="261" ht="20" hidden="1" customHeight="1" spans="1:13">
      <c r="A261" s="10">
        <v>45086</v>
      </c>
      <c r="B261" s="11"/>
      <c r="C261" s="11"/>
      <c r="D261" s="11"/>
      <c r="E261" s="11" t="s">
        <v>1036</v>
      </c>
      <c r="F261" s="11" t="str">
        <f>IFERROR(VLOOKUP(VENTAS[[#This Row],[Código del producto Vendido]],STOCK[],5,FALSE),"-")</f>
        <v>Jenas Ajustados Oscuro</v>
      </c>
      <c r="G261" s="11">
        <v>1</v>
      </c>
      <c r="H261" s="14">
        <v>35</v>
      </c>
      <c r="I261" s="14">
        <f>VENTAS[[#This Row],[Cantidad]]*VENTAS[[#This Row],[Precio Venta]]</f>
        <v>35</v>
      </c>
      <c r="J261" s="14">
        <f>IF(VENTAS[[#This Row],[Nombre del Gestor]]&gt;1,VENTAS[[#This Row],[Total]]*10%,0)</f>
        <v>0</v>
      </c>
      <c r="K261" s="14">
        <f>IFERROR(VLOOKUP(VENTAS[[#This Row],[Código del producto Vendido]],STOCK[],16,FALSE)*VENTAS[[#This Row],[Cantidad]]+VLOOKUP(VENTAS[[#This Row],[Código del producto Vendido]],STOCK[],19,FALSE)*VENTAS[[#This Row],[Cantidad]],VENTAS[[#This Row],[Total]])</f>
        <v>24.6818181818182</v>
      </c>
      <c r="L261" s="14">
        <f>VENTAS[[#This Row],[Total]]-VENTAS[[#This Row],[Comisión 10%]]-VENTAS[[#This Row],[Costo SIN Comision]]</f>
        <v>10.3181818181818</v>
      </c>
      <c r="M261" s="14"/>
    </row>
    <row r="262" ht="20" hidden="1" customHeight="1" spans="1:13">
      <c r="A262" s="10">
        <v>45088</v>
      </c>
      <c r="B262" s="11"/>
      <c r="C262" s="11"/>
      <c r="D262" s="11"/>
      <c r="E262" s="11" t="s">
        <v>37</v>
      </c>
      <c r="F262" s="11" t="str">
        <f>IFERROR(VLOOKUP(VENTAS[[#This Row],[Código del producto Vendido]],STOCK[],5,FALSE),"-")</f>
        <v>Bikini Floral</v>
      </c>
      <c r="G262" s="11">
        <v>1</v>
      </c>
      <c r="H262" s="14">
        <v>25</v>
      </c>
      <c r="I262" s="14">
        <f>VENTAS[[#This Row],[Cantidad]]*VENTAS[[#This Row],[Precio Venta]]</f>
        <v>25</v>
      </c>
      <c r="J262" s="14">
        <f>IF(VENTAS[[#This Row],[Nombre del Gestor]]&gt;1,VENTAS[[#This Row],[Total]]*10%,0)</f>
        <v>0</v>
      </c>
      <c r="K262" s="14">
        <f>IFERROR(VLOOKUP(VENTAS[[#This Row],[Código del producto Vendido]],STOCK[],16,FALSE)*VENTAS[[#This Row],[Cantidad]]+VLOOKUP(VENTAS[[#This Row],[Código del producto Vendido]],STOCK[],19,FALSE)*VENTAS[[#This Row],[Cantidad]],VENTAS[[#This Row],[Total]])</f>
        <v>18.3711111111111</v>
      </c>
      <c r="L262" s="14">
        <f>VENTAS[[#This Row],[Total]]-VENTAS[[#This Row],[Comisión 10%]]-VENTAS[[#This Row],[Costo SIN Comision]]</f>
        <v>6.6288888888889</v>
      </c>
      <c r="M262" s="14"/>
    </row>
    <row r="263" ht="20" hidden="1" customHeight="1" spans="1:13">
      <c r="A263" s="10">
        <v>45088</v>
      </c>
      <c r="B263" s="11"/>
      <c r="C263" s="11"/>
      <c r="D263" s="11"/>
      <c r="E263" s="11" t="s">
        <v>941</v>
      </c>
      <c r="F263" s="11" t="str">
        <f>IFERROR(VLOOKUP(VENTAS[[#This Row],[Código del producto Vendido]],STOCK[],5,FALSE),"-")</f>
        <v>Vestido Tropical</v>
      </c>
      <c r="G263" s="11">
        <v>1</v>
      </c>
      <c r="H263" s="14">
        <v>30</v>
      </c>
      <c r="I263" s="14">
        <f>VENTAS[[#This Row],[Cantidad]]*VENTAS[[#This Row],[Precio Venta]]</f>
        <v>30</v>
      </c>
      <c r="J263" s="14">
        <f>IF(VENTAS[[#This Row],[Nombre del Gestor]]&gt;1,VENTAS[[#This Row],[Total]]*10%,0)</f>
        <v>0</v>
      </c>
      <c r="K263" s="14">
        <f>IFERROR(VLOOKUP(VENTAS[[#This Row],[Código del producto Vendido]],STOCK[],16,FALSE)*VENTAS[[#This Row],[Cantidad]]+VLOOKUP(VENTAS[[#This Row],[Código del producto Vendido]],STOCK[],19,FALSE)*VENTAS[[#This Row],[Cantidad]],VENTAS[[#This Row],[Total]])</f>
        <v>19.0186363636364</v>
      </c>
      <c r="L263" s="14">
        <f>VENTAS[[#This Row],[Total]]-VENTAS[[#This Row],[Comisión 10%]]-VENTAS[[#This Row],[Costo SIN Comision]]</f>
        <v>10.9813636363636</v>
      </c>
      <c r="M263" s="14"/>
    </row>
    <row r="264" ht="20" hidden="1" customHeight="1" spans="1:13">
      <c r="A264" s="10">
        <v>45089</v>
      </c>
      <c r="B264" s="11"/>
      <c r="C264" s="11"/>
      <c r="D264" s="11"/>
      <c r="E264" s="11" t="s">
        <v>485</v>
      </c>
      <c r="F264" s="11" t="str">
        <f>IFERROR(VLOOKUP(VENTAS[[#This Row],[Código del producto Vendido]],STOCK[],5,FALSE),"-")</f>
        <v>Bolsa cartera con manija</v>
      </c>
      <c r="G264" s="11">
        <v>1</v>
      </c>
      <c r="H264" s="14">
        <v>15</v>
      </c>
      <c r="I264" s="14">
        <f>VENTAS[[#This Row],[Cantidad]]*VENTAS[[#This Row],[Precio Venta]]</f>
        <v>15</v>
      </c>
      <c r="J264" s="14">
        <f>IF(VENTAS[[#This Row],[Nombre del Gestor]]&gt;1,VENTAS[[#This Row],[Total]]*10%,0)</f>
        <v>0</v>
      </c>
      <c r="K264" s="14">
        <f>IFERROR(VLOOKUP(VENTAS[[#This Row],[Código del producto Vendido]],STOCK[],16,FALSE)*VENTAS[[#This Row],[Cantidad]]+VLOOKUP(VENTAS[[#This Row],[Código del producto Vendido]],STOCK[],19,FALSE)*VENTAS[[#This Row],[Cantidad]],VENTAS[[#This Row],[Total]])</f>
        <v>8.86444444444444</v>
      </c>
      <c r="L264" s="14">
        <f>VENTAS[[#This Row],[Total]]-VENTAS[[#This Row],[Comisión 10%]]-VENTAS[[#This Row],[Costo SIN Comision]]</f>
        <v>6.13555555555556</v>
      </c>
      <c r="M264" s="14"/>
    </row>
    <row r="265" ht="20" hidden="1" customHeight="1" spans="1:13">
      <c r="A265" s="10">
        <v>45089</v>
      </c>
      <c r="B265" s="11"/>
      <c r="C265" s="11"/>
      <c r="D265" s="11"/>
      <c r="E265" s="11" t="s">
        <v>1037</v>
      </c>
      <c r="F265" s="11" t="str">
        <f>IFERROR(VLOOKUP(VENTAS[[#This Row],[Código del producto Vendido]],STOCK[],5,FALSE),"-")</f>
        <v>Falda Fruncida </v>
      </c>
      <c r="G265" s="11">
        <v>1</v>
      </c>
      <c r="H265" s="14">
        <v>25</v>
      </c>
      <c r="I265" s="14">
        <f>VENTAS[[#This Row],[Cantidad]]*VENTAS[[#This Row],[Precio Venta]]</f>
        <v>25</v>
      </c>
      <c r="J265" s="14">
        <f>IF(VENTAS[[#This Row],[Nombre del Gestor]]&gt;1,VENTAS[[#This Row],[Total]]*10%,0)</f>
        <v>0</v>
      </c>
      <c r="K265" s="14">
        <f>IFERROR(VLOOKUP(VENTAS[[#This Row],[Código del producto Vendido]],STOCK[],16,FALSE)*VENTAS[[#This Row],[Cantidad]]+VLOOKUP(VENTAS[[#This Row],[Código del producto Vendido]],STOCK[],19,FALSE)*VENTAS[[#This Row],[Cantidad]],VENTAS[[#This Row],[Total]])</f>
        <v>14.625</v>
      </c>
      <c r="L265" s="14">
        <f>VENTAS[[#This Row],[Total]]-VENTAS[[#This Row],[Comisión 10%]]-VENTAS[[#This Row],[Costo SIN Comision]]</f>
        <v>10.375</v>
      </c>
      <c r="M265" s="14"/>
    </row>
    <row r="266" ht="20" hidden="1" customHeight="1" spans="1:13">
      <c r="A266" s="10">
        <v>45089</v>
      </c>
      <c r="B266" s="11"/>
      <c r="C266" s="11"/>
      <c r="D266" s="11"/>
      <c r="E266" s="11" t="s">
        <v>961</v>
      </c>
      <c r="F266" s="11" t="str">
        <f>IFERROR(VLOOKUP(VENTAS[[#This Row],[Código del producto Vendido]],STOCK[],5,FALSE),"-")</f>
        <v>Pantalón business básico</v>
      </c>
      <c r="G266" s="11">
        <v>1</v>
      </c>
      <c r="H266" s="14">
        <v>30</v>
      </c>
      <c r="I266" s="14">
        <f>VENTAS[[#This Row],[Cantidad]]*VENTAS[[#This Row],[Precio Venta]]</f>
        <v>30</v>
      </c>
      <c r="J266" s="14">
        <f>IF(VENTAS[[#This Row],[Nombre del Gestor]]&gt;1,VENTAS[[#This Row],[Total]]*10%,0)</f>
        <v>0</v>
      </c>
      <c r="K266" s="14">
        <f>IFERROR(VLOOKUP(VENTAS[[#This Row],[Código del producto Vendido]],STOCK[],16,FALSE)*VENTAS[[#This Row],[Cantidad]]+VLOOKUP(VENTAS[[#This Row],[Código del producto Vendido]],STOCK[],19,FALSE)*VENTAS[[#This Row],[Cantidad]],VENTAS[[#This Row],[Total]])</f>
        <v>21.3722727272727</v>
      </c>
      <c r="L266" s="14">
        <f>VENTAS[[#This Row],[Total]]-VENTAS[[#This Row],[Comisión 10%]]-VENTAS[[#This Row],[Costo SIN Comision]]</f>
        <v>8.6277272727273</v>
      </c>
      <c r="M266" s="14"/>
    </row>
    <row r="267" ht="20" hidden="1" customHeight="1" spans="1:13">
      <c r="A267" s="10">
        <v>45088</v>
      </c>
      <c r="B267" s="11"/>
      <c r="C267" s="11"/>
      <c r="D267" s="11"/>
      <c r="E267" s="11" t="s">
        <v>1090</v>
      </c>
      <c r="F267" s="11" t="str">
        <f>IFERROR(VLOOKUP(VENTAS[[#This Row],[Código del producto Vendido]],STOCK[],5,FALSE),"-")</f>
        <v>Malla fina Pareo</v>
      </c>
      <c r="G267" s="11">
        <v>1</v>
      </c>
      <c r="H267" s="14">
        <v>12</v>
      </c>
      <c r="I267" s="14">
        <f>VENTAS[[#This Row],[Cantidad]]*VENTAS[[#This Row],[Precio Venta]]</f>
        <v>12</v>
      </c>
      <c r="J267" s="14">
        <f>IF(VENTAS[[#This Row],[Nombre del Gestor]]&gt;1,VENTAS[[#This Row],[Total]]*10%,0)</f>
        <v>0</v>
      </c>
      <c r="K267" s="14">
        <f>IFERROR(VLOOKUP(VENTAS[[#This Row],[Código del producto Vendido]],STOCK[],16,FALSE)*VENTAS[[#This Row],[Cantidad]]+VLOOKUP(VENTAS[[#This Row],[Código del producto Vendido]],STOCK[],19,FALSE)*VENTAS[[#This Row],[Cantidad]],VENTAS[[#This Row],[Total]])</f>
        <v>6.92352941176471</v>
      </c>
      <c r="L267" s="14">
        <f>VENTAS[[#This Row],[Total]]-VENTAS[[#This Row],[Comisión 10%]]-VENTAS[[#This Row],[Costo SIN Comision]]</f>
        <v>5.07647058823529</v>
      </c>
      <c r="M267" s="14"/>
    </row>
    <row r="268" ht="20" hidden="1" customHeight="1" spans="1:13">
      <c r="A268" s="10">
        <v>45089</v>
      </c>
      <c r="B268" s="11"/>
      <c r="C268" s="11"/>
      <c r="D268" s="11"/>
      <c r="E268" s="11" t="s">
        <v>60</v>
      </c>
      <c r="F268" s="11" t="str">
        <f>IFERROR(VLOOKUP(VENTAS[[#This Row],[Código del producto Vendido]],STOCK[],5,FALSE),"-")</f>
        <v>Bikini Mangas Fuccia</v>
      </c>
      <c r="G268" s="11">
        <v>1</v>
      </c>
      <c r="H268" s="14">
        <v>22</v>
      </c>
      <c r="I268" s="14">
        <f>VENTAS[[#This Row],[Cantidad]]*VENTAS[[#This Row],[Precio Venta]]</f>
        <v>22</v>
      </c>
      <c r="J268" s="14">
        <f>IF(VENTAS[[#This Row],[Nombre del Gestor]]&gt;1,VENTAS[[#This Row],[Total]]*10%,0)</f>
        <v>0</v>
      </c>
      <c r="K268" s="14">
        <f>IFERROR(VLOOKUP(VENTAS[[#This Row],[Código del producto Vendido]],STOCK[],16,FALSE)*VENTAS[[#This Row],[Cantidad]]+VLOOKUP(VENTAS[[#This Row],[Código del producto Vendido]],STOCK[],19,FALSE)*VENTAS[[#This Row],[Cantidad]],VENTAS[[#This Row],[Total]])</f>
        <v>14.495</v>
      </c>
      <c r="L268" s="14">
        <f>VENTAS[[#This Row],[Total]]-VENTAS[[#This Row],[Comisión 10%]]-VENTAS[[#This Row],[Costo SIN Comision]]</f>
        <v>7.505</v>
      </c>
      <c r="M268" s="14"/>
    </row>
    <row r="269" ht="20" hidden="1" customHeight="1" spans="1:13">
      <c r="A269" s="10">
        <v>45089</v>
      </c>
      <c r="B269" s="11"/>
      <c r="C269" s="11"/>
      <c r="D269" s="11"/>
      <c r="E269" s="11" t="s">
        <v>418</v>
      </c>
      <c r="F269" s="11" t="str">
        <f>IFERROR(VLOOKUP(VENTAS[[#This Row],[Código del producto Vendido]],STOCK[],5,FALSE),"-")</f>
        <v>Bikini tropical con estampado de hoja</v>
      </c>
      <c r="G269" s="11">
        <v>1</v>
      </c>
      <c r="H269" s="14">
        <v>20</v>
      </c>
      <c r="I269" s="14">
        <f>VENTAS[[#This Row],[Cantidad]]*VENTAS[[#This Row],[Precio Venta]]</f>
        <v>20</v>
      </c>
      <c r="J269" s="14">
        <f>IF(VENTAS[[#This Row],[Nombre del Gestor]]&gt;1,VENTAS[[#This Row],[Total]]*10%,0)</f>
        <v>0</v>
      </c>
      <c r="K269" s="14">
        <f>IFERROR(VLOOKUP(VENTAS[[#This Row],[Código del producto Vendido]],STOCK[],16,FALSE)*VENTAS[[#This Row],[Cantidad]]+VLOOKUP(VENTAS[[#This Row],[Código del producto Vendido]],STOCK[],19,FALSE)*VENTAS[[#This Row],[Cantidad]],VENTAS[[#This Row],[Total]])</f>
        <v>13.3888888888889</v>
      </c>
      <c r="L269" s="14">
        <f>VENTAS[[#This Row],[Total]]-VENTAS[[#This Row],[Comisión 10%]]-VENTAS[[#This Row],[Costo SIN Comision]]</f>
        <v>6.6111111111111</v>
      </c>
      <c r="M269" s="14"/>
    </row>
    <row r="270" ht="20" hidden="1" customHeight="1" spans="1:13">
      <c r="A270" s="10">
        <v>45089</v>
      </c>
      <c r="B270" s="11"/>
      <c r="C270" s="11"/>
      <c r="D270" s="11"/>
      <c r="E270" s="11" t="s">
        <v>1138</v>
      </c>
      <c r="F270" s="11" t="str">
        <f>IFERROR(VLOOKUP(VENTAS[[#This Row],[Código del producto Vendido]],STOCK[],5,FALSE),"-")</f>
        <v>Vestido rojo con aberturas H&amp;M</v>
      </c>
      <c r="G270" s="11">
        <v>1</v>
      </c>
      <c r="H270" s="14">
        <v>25</v>
      </c>
      <c r="I270" s="14">
        <f>VENTAS[[#This Row],[Cantidad]]*VENTAS[[#This Row],[Precio Venta]]</f>
        <v>25</v>
      </c>
      <c r="J270" s="14">
        <f>IF(VENTAS[[#This Row],[Nombre del Gestor]]&gt;1,VENTAS[[#This Row],[Total]]*10%,0)</f>
        <v>0</v>
      </c>
      <c r="K270" s="14">
        <f>IFERROR(VLOOKUP(VENTAS[[#This Row],[Código del producto Vendido]],STOCK[],16,FALSE)*VENTAS[[#This Row],[Cantidad]]+VLOOKUP(VENTAS[[#This Row],[Código del producto Vendido]],STOCK[],19,FALSE)*VENTAS[[#This Row],[Cantidad]],VENTAS[[#This Row],[Total]])</f>
        <v>18.1176470588235</v>
      </c>
      <c r="L270" s="14">
        <f>VENTAS[[#This Row],[Total]]-VENTAS[[#This Row],[Comisión 10%]]-VENTAS[[#This Row],[Costo SIN Comision]]</f>
        <v>6.8823529411765</v>
      </c>
      <c r="M270" s="14"/>
    </row>
    <row r="271" ht="20" hidden="1" customHeight="1" spans="1:13">
      <c r="A271" s="10">
        <v>45090</v>
      </c>
      <c r="B271" s="11"/>
      <c r="C271" s="11"/>
      <c r="D271" s="11"/>
      <c r="E271" s="11" t="s">
        <v>1121</v>
      </c>
      <c r="F271" s="11" t="str">
        <f>IFERROR(VLOOKUP(VENTAS[[#This Row],[Código del producto Vendido]],STOCK[],5,FALSE),"-")</f>
        <v>Set de lencería de encaje</v>
      </c>
      <c r="G271" s="11">
        <v>1</v>
      </c>
      <c r="H271" s="14">
        <v>15</v>
      </c>
      <c r="I271" s="14">
        <f>VENTAS[[#This Row],[Cantidad]]*VENTAS[[#This Row],[Precio Venta]]</f>
        <v>15</v>
      </c>
      <c r="J271" s="14">
        <f>IF(VENTAS[[#This Row],[Nombre del Gestor]]&gt;1,VENTAS[[#This Row],[Total]]*10%,0)</f>
        <v>0</v>
      </c>
      <c r="K271" s="14">
        <f>IFERROR(VLOOKUP(VENTAS[[#This Row],[Código del producto Vendido]],STOCK[],16,FALSE)*VENTAS[[#This Row],[Cantidad]]+VLOOKUP(VENTAS[[#This Row],[Código del producto Vendido]],STOCK[],19,FALSE)*VENTAS[[#This Row],[Cantidad]],VENTAS[[#This Row],[Total]])</f>
        <v>7.10882352941176</v>
      </c>
      <c r="L271" s="14">
        <f>VENTAS[[#This Row],[Total]]-VENTAS[[#This Row],[Comisión 10%]]-VENTAS[[#This Row],[Costo SIN Comision]]</f>
        <v>7.89117647058824</v>
      </c>
      <c r="M271" s="14"/>
    </row>
    <row r="272" ht="20" hidden="1" customHeight="1" spans="1:13">
      <c r="A272" s="10">
        <v>45090</v>
      </c>
      <c r="B272" s="11"/>
      <c r="C272" s="11"/>
      <c r="D272" s="11"/>
      <c r="E272" s="11" t="s">
        <v>950</v>
      </c>
      <c r="F272" s="11" t="str">
        <f>IFERROR(VLOOKUP(VENTAS[[#This Row],[Código del producto Vendido]],STOCK[],5,FALSE),"-")</f>
        <v> Pantaloneta Verde</v>
      </c>
      <c r="G272" s="11">
        <v>1</v>
      </c>
      <c r="H272" s="14">
        <v>25</v>
      </c>
      <c r="I272" s="14">
        <f>VENTAS[[#This Row],[Cantidad]]*VENTAS[[#This Row],[Precio Venta]]</f>
        <v>25</v>
      </c>
      <c r="J272" s="14">
        <f>IF(VENTAS[[#This Row],[Nombre del Gestor]]&gt;1,VENTAS[[#This Row],[Total]]*10%,0)</f>
        <v>0</v>
      </c>
      <c r="K272" s="14">
        <f>IFERROR(VLOOKUP(VENTAS[[#This Row],[Código del producto Vendido]],STOCK[],16,FALSE)*VENTAS[[#This Row],[Cantidad]]+VLOOKUP(VENTAS[[#This Row],[Código del producto Vendido]],STOCK[],19,FALSE)*VENTAS[[#This Row],[Cantidad]],VENTAS[[#This Row],[Total]])</f>
        <v>14.8713636363636</v>
      </c>
      <c r="L272" s="14">
        <f>VENTAS[[#This Row],[Total]]-VENTAS[[#This Row],[Comisión 10%]]-VENTAS[[#This Row],[Costo SIN Comision]]</f>
        <v>10.1286363636364</v>
      </c>
      <c r="M272" s="14"/>
    </row>
    <row r="273" ht="20" hidden="1" customHeight="1" spans="1:13">
      <c r="A273" s="10">
        <v>45090</v>
      </c>
      <c r="B273" s="11"/>
      <c r="C273" s="11"/>
      <c r="D273" s="11"/>
      <c r="E273" s="11" t="s">
        <v>890</v>
      </c>
      <c r="F273" s="11" t="str">
        <f>IFERROR(VLOOKUP(VENTAS[[#This Row],[Código del producto Vendido]],STOCK[],5,FALSE),"-")</f>
        <v>Bragas sin costuras</v>
      </c>
      <c r="G273" s="11">
        <v>3</v>
      </c>
      <c r="H273" s="14">
        <v>3.5</v>
      </c>
      <c r="I273" s="14">
        <f>VENTAS[[#This Row],[Cantidad]]*VENTAS[[#This Row],[Precio Venta]]</f>
        <v>10.5</v>
      </c>
      <c r="J273" s="14">
        <f>IF(VENTAS[[#This Row],[Nombre del Gestor]]&gt;1,VENTAS[[#This Row],[Total]]*10%,0)</f>
        <v>0</v>
      </c>
      <c r="K273" s="14">
        <f>IFERROR(VLOOKUP(VENTAS[[#This Row],[Código del producto Vendido]],STOCK[],16,FALSE)*VENTAS[[#This Row],[Cantidad]]+VLOOKUP(VENTAS[[#This Row],[Código del producto Vendido]],STOCK[],19,FALSE)*VENTAS[[#This Row],[Cantidad]],VENTAS[[#This Row],[Total]])</f>
        <v>5.98333333333332</v>
      </c>
      <c r="L273" s="14">
        <f>VENTAS[[#This Row],[Total]]-VENTAS[[#This Row],[Comisión 10%]]-VENTAS[[#This Row],[Costo SIN Comision]]</f>
        <v>4.51666666666668</v>
      </c>
      <c r="M273" s="14"/>
    </row>
    <row r="274" ht="20" hidden="1" customHeight="1" spans="1:13">
      <c r="A274" s="10">
        <v>45090</v>
      </c>
      <c r="B274" s="11"/>
      <c r="C274" s="11"/>
      <c r="D274" s="11"/>
      <c r="E274" s="11" t="s">
        <v>877</v>
      </c>
      <c r="F274" s="11" t="str">
        <f>IFERROR(VLOOKUP(VENTAS[[#This Row],[Código del producto Vendido]],STOCK[],5,FALSE),"-")</f>
        <v>Brasier de encaje_Negro Unitalla</v>
      </c>
      <c r="G274" s="11">
        <v>1</v>
      </c>
      <c r="H274" s="14">
        <v>7</v>
      </c>
      <c r="I274" s="14">
        <f>VENTAS[[#This Row],[Cantidad]]*VENTAS[[#This Row],[Precio Venta]]</f>
        <v>7</v>
      </c>
      <c r="J274" s="14">
        <f>IF(VENTAS[[#This Row],[Nombre del Gestor]]&gt;1,VENTAS[[#This Row],[Total]]*10%,0)</f>
        <v>0</v>
      </c>
      <c r="K274" s="14">
        <f>IFERROR(VLOOKUP(VENTAS[[#This Row],[Código del producto Vendido]],STOCK[],16,FALSE)*VENTAS[[#This Row],[Cantidad]]+VLOOKUP(VENTAS[[#This Row],[Código del producto Vendido]],STOCK[],19,FALSE)*VENTAS[[#This Row],[Cantidad]],VENTAS[[#This Row],[Total]])</f>
        <v>3.71111111111111</v>
      </c>
      <c r="L274" s="14">
        <f>VENTAS[[#This Row],[Total]]-VENTAS[[#This Row],[Comisión 10%]]-VENTAS[[#This Row],[Costo SIN Comision]]</f>
        <v>3.28888888888889</v>
      </c>
      <c r="M274" s="14"/>
    </row>
    <row r="275" ht="20" hidden="1" customHeight="1" spans="1:13">
      <c r="A275" s="10">
        <v>45090</v>
      </c>
      <c r="B275" s="11"/>
      <c r="C275" s="11"/>
      <c r="D275" s="11"/>
      <c r="E275" s="11" t="s">
        <v>1026</v>
      </c>
      <c r="F275" s="11" t="str">
        <f>IFERROR(VLOOKUP(VENTAS[[#This Row],[Código del producto Vendido]],STOCK[],5,FALSE),"-")</f>
        <v>Top Dreamer Blanco</v>
      </c>
      <c r="G275" s="11">
        <v>1</v>
      </c>
      <c r="H275" s="14">
        <v>12</v>
      </c>
      <c r="I275" s="14">
        <f>VENTAS[[#This Row],[Cantidad]]*VENTAS[[#This Row],[Precio Venta]]</f>
        <v>12</v>
      </c>
      <c r="J275" s="14">
        <f>IF(VENTAS[[#This Row],[Nombre del Gestor]]&gt;1,VENTAS[[#This Row],[Total]]*10%,0)</f>
        <v>0</v>
      </c>
      <c r="K275" s="14">
        <f>IFERROR(VLOOKUP(VENTAS[[#This Row],[Código del producto Vendido]],STOCK[],16,FALSE)*VENTAS[[#This Row],[Cantidad]]+VLOOKUP(VENTAS[[#This Row],[Código del producto Vendido]],STOCK[],19,FALSE)*VENTAS[[#This Row],[Cantidad]],VENTAS[[#This Row],[Total]])</f>
        <v>6.75909090909091</v>
      </c>
      <c r="L275" s="14">
        <f>VENTAS[[#This Row],[Total]]-VENTAS[[#This Row],[Comisión 10%]]-VENTAS[[#This Row],[Costo SIN Comision]]</f>
        <v>5.24090909090909</v>
      </c>
      <c r="M275" s="14"/>
    </row>
    <row r="276" ht="20" hidden="1" customHeight="1" spans="1:13">
      <c r="A276" s="10">
        <v>45090</v>
      </c>
      <c r="B276" s="11"/>
      <c r="C276" s="11"/>
      <c r="D276" s="11"/>
      <c r="E276" s="11" t="s">
        <v>731</v>
      </c>
      <c r="F276" s="11" t="str">
        <f>IFERROR(VLOOKUP(VENTAS[[#This Row],[Código del producto Vendido]],STOCK[],5,FALSE),"-")</f>
        <v>Vestido de un hombro</v>
      </c>
      <c r="G276" s="11">
        <v>1</v>
      </c>
      <c r="H276" s="14">
        <v>19</v>
      </c>
      <c r="I276" s="14">
        <f>VENTAS[[#This Row],[Cantidad]]*VENTAS[[#This Row],[Precio Venta]]</f>
        <v>19</v>
      </c>
      <c r="J276" s="14">
        <f>IF(VENTAS[[#This Row],[Nombre del Gestor]]&gt;1,VENTAS[[#This Row],[Total]]*10%,0)</f>
        <v>0</v>
      </c>
      <c r="K276" s="14">
        <f>IFERROR(VLOOKUP(VENTAS[[#This Row],[Código del producto Vendido]],STOCK[],16,FALSE)*VENTAS[[#This Row],[Cantidad]]+VLOOKUP(VENTAS[[#This Row],[Código del producto Vendido]],STOCK[],19,FALSE)*VENTAS[[#This Row],[Cantidad]],VENTAS[[#This Row],[Total]])</f>
        <v>11.9444444444444</v>
      </c>
      <c r="L276" s="14">
        <f>VENTAS[[#This Row],[Total]]-VENTAS[[#This Row],[Comisión 10%]]-VENTAS[[#This Row],[Costo SIN Comision]]</f>
        <v>7.05555555555556</v>
      </c>
      <c r="M276" s="14"/>
    </row>
    <row r="277" ht="20" hidden="1" customHeight="1" spans="1:13">
      <c r="A277" s="26">
        <v>45090</v>
      </c>
      <c r="B277" s="27" t="s">
        <v>4132</v>
      </c>
      <c r="C277" s="27"/>
      <c r="D277" s="27"/>
      <c r="E277" s="27" t="s">
        <v>518</v>
      </c>
      <c r="F277" s="27" t="str">
        <f>IFERROR(VLOOKUP(VENTAS[[#This Row],[Código del producto Vendido]],STOCK[],5,FALSE),"-")</f>
        <v>Calcetines unicolor</v>
      </c>
      <c r="G277" s="27">
        <v>2</v>
      </c>
      <c r="H277" s="28">
        <v>1.5</v>
      </c>
      <c r="I277" s="14">
        <f>VENTAS[[#This Row],[Cantidad]]*VENTAS[[#This Row],[Precio Venta]]</f>
        <v>3</v>
      </c>
      <c r="J277" s="14">
        <f>IF(VENTAS[[#This Row],[Nombre del Gestor]]&gt;1,VENTAS[[#This Row],[Total]]*10%,0)</f>
        <v>0</v>
      </c>
      <c r="K277" s="14">
        <f>IFERROR(VLOOKUP(VENTAS[[#This Row],[Código del producto Vendido]],STOCK[],16,FALSE)*VENTAS[[#This Row],[Cantidad]]+VLOOKUP(VENTAS[[#This Row],[Código del producto Vendido]],STOCK[],19,FALSE)*VENTAS[[#This Row],[Cantidad]],VENTAS[[#This Row],[Total]])</f>
        <v>1.68888888888889</v>
      </c>
      <c r="L277" s="14">
        <f>VENTAS[[#This Row],[Total]]-VENTAS[[#This Row],[Comisión 10%]]-VENTAS[[#This Row],[Costo SIN Comision]]</f>
        <v>1.31111111111111</v>
      </c>
      <c r="M277" s="14"/>
    </row>
    <row r="278" ht="20" hidden="1" customHeight="1" spans="1:13">
      <c r="A278" s="10" t="s">
        <v>4107</v>
      </c>
      <c r="B278" s="11"/>
      <c r="C278" s="11"/>
      <c r="D278" s="11"/>
      <c r="E278" s="11" t="s">
        <v>891</v>
      </c>
      <c r="F278" s="11" t="str">
        <f>IFERROR(VLOOKUP(VENTAS[[#This Row],[Código del producto Vendido]],STOCK[],5,FALSE),"-")</f>
        <v>Top Cuello encaje y mangas abombadas</v>
      </c>
      <c r="G278" s="11">
        <v>1</v>
      </c>
      <c r="H278" s="14">
        <v>7</v>
      </c>
      <c r="I278" s="14">
        <f>VENTAS[[#This Row],[Cantidad]]*VENTAS[[#This Row],[Precio Venta]]</f>
        <v>7</v>
      </c>
      <c r="J278" s="14">
        <f>IF(VENTAS[[#This Row],[Nombre del Gestor]]&gt;1,VENTAS[[#This Row],[Total]]*10%,0)</f>
        <v>0</v>
      </c>
      <c r="K278" s="14">
        <f>IFERROR(VLOOKUP(VENTAS[[#This Row],[Código del producto Vendido]],STOCK[],16,FALSE)*VENTAS[[#This Row],[Cantidad]]+VLOOKUP(VENTAS[[#This Row],[Código del producto Vendido]],STOCK[],19,FALSE)*VENTAS[[#This Row],[Cantidad]],VENTAS[[#This Row],[Total]])</f>
        <v>6.35818181818182</v>
      </c>
      <c r="L278" s="14">
        <f>VENTAS[[#This Row],[Total]]-VENTAS[[#This Row],[Comisión 10%]]-VENTAS[[#This Row],[Costo SIN Comision]]</f>
        <v>0.64181818181818</v>
      </c>
      <c r="M278" s="14"/>
    </row>
    <row r="279" ht="20" hidden="1" customHeight="1" spans="1:13">
      <c r="A279" s="10" t="s">
        <v>4107</v>
      </c>
      <c r="B279" s="11"/>
      <c r="C279" s="11"/>
      <c r="D279" s="11"/>
      <c r="E279" s="11" t="s">
        <v>877</v>
      </c>
      <c r="F279" s="11" t="str">
        <f>IFERROR(VLOOKUP(VENTAS[[#This Row],[Código del producto Vendido]],STOCK[],5,FALSE),"-")</f>
        <v>Brasier de encaje_Negro Unitalla</v>
      </c>
      <c r="G279" s="11">
        <v>1</v>
      </c>
      <c r="H279" s="14">
        <v>4</v>
      </c>
      <c r="I279" s="14">
        <f>VENTAS[[#This Row],[Cantidad]]*VENTAS[[#This Row],[Precio Venta]]</f>
        <v>4</v>
      </c>
      <c r="J279" s="14">
        <f>IF(VENTAS[[#This Row],[Nombre del Gestor]]&gt;1,VENTAS[[#This Row],[Total]]*10%,0)</f>
        <v>0</v>
      </c>
      <c r="K279" s="14">
        <f>IFERROR(VLOOKUP(VENTAS[[#This Row],[Código del producto Vendido]],STOCK[],16,FALSE)*VENTAS[[#This Row],[Cantidad]]+VLOOKUP(VENTAS[[#This Row],[Código del producto Vendido]],STOCK[],19,FALSE)*VENTAS[[#This Row],[Cantidad]],VENTAS[[#This Row],[Total]])</f>
        <v>3.71111111111111</v>
      </c>
      <c r="L279" s="14">
        <f>VENTAS[[#This Row],[Total]]-VENTAS[[#This Row],[Comisión 10%]]-VENTAS[[#This Row],[Costo SIN Comision]]</f>
        <v>0.28888888888889</v>
      </c>
      <c r="M279" s="14"/>
    </row>
    <row r="280" ht="20" hidden="1" customHeight="1" spans="1:13">
      <c r="A280" s="10">
        <v>45093</v>
      </c>
      <c r="B280" s="11"/>
      <c r="C280" s="11"/>
      <c r="D280" s="11"/>
      <c r="E280" s="11" t="s">
        <v>178</v>
      </c>
      <c r="F280" s="11" t="str">
        <f>IFERROR(VLOOKUP(VENTAS[[#This Row],[Código del producto Vendido]],STOCK[],5,FALSE),"-")</f>
        <v>Vestido cruzado con abertura con nudo delantero</v>
      </c>
      <c r="G280" s="11">
        <v>1</v>
      </c>
      <c r="H280" s="14">
        <v>25</v>
      </c>
      <c r="I280" s="14">
        <f>VENTAS[[#This Row],[Cantidad]]*VENTAS[[#This Row],[Precio Venta]]</f>
        <v>25</v>
      </c>
      <c r="J280" s="14">
        <f>IF(VENTAS[[#This Row],[Nombre del Gestor]]&gt;1,VENTAS[[#This Row],[Total]]*10%,0)</f>
        <v>0</v>
      </c>
      <c r="K280" s="14">
        <f>IFERROR(VLOOKUP(VENTAS[[#This Row],[Código del producto Vendido]],STOCK[],16,FALSE)*VENTAS[[#This Row],[Cantidad]]+VLOOKUP(VENTAS[[#This Row],[Código del producto Vendido]],STOCK[],19,FALSE)*VENTAS[[#This Row],[Cantidad]],VENTAS[[#This Row],[Total]])</f>
        <v>16.7688888888889</v>
      </c>
      <c r="L280" s="14">
        <f>VENTAS[[#This Row],[Total]]-VENTAS[[#This Row],[Comisión 10%]]-VENTAS[[#This Row],[Costo SIN Comision]]</f>
        <v>8.2311111111111</v>
      </c>
      <c r="M280" s="14"/>
    </row>
    <row r="281" ht="20" hidden="1" customHeight="1" spans="1:13">
      <c r="A281" s="10">
        <v>45093</v>
      </c>
      <c r="B281" s="11"/>
      <c r="C281" s="11"/>
      <c r="D281" s="11"/>
      <c r="E281" s="11" t="s">
        <v>1044</v>
      </c>
      <c r="F281" s="11" t="str">
        <f>IFERROR(VLOOKUP(VENTAS[[#This Row],[Código del producto Vendido]],STOCK[],5,FALSE),"-")</f>
        <v>Jeans Elastizados Pierna Ancha</v>
      </c>
      <c r="G281" s="11">
        <v>1</v>
      </c>
      <c r="H281" s="14">
        <v>35</v>
      </c>
      <c r="I281" s="14">
        <f>VENTAS[[#This Row],[Cantidad]]*VENTAS[[#This Row],[Precio Venta]]</f>
        <v>35</v>
      </c>
      <c r="J281" s="14">
        <f>IF(VENTAS[[#This Row],[Nombre del Gestor]]&gt;1,VENTAS[[#This Row],[Total]]*10%,0)</f>
        <v>0</v>
      </c>
      <c r="K281" s="14">
        <f>IFERROR(VLOOKUP(VENTAS[[#This Row],[Código del producto Vendido]],STOCK[],16,FALSE)*VENTAS[[#This Row],[Cantidad]]+VLOOKUP(VENTAS[[#This Row],[Código del producto Vendido]],STOCK[],19,FALSE)*VENTAS[[#This Row],[Cantidad]],VENTAS[[#This Row],[Total]])</f>
        <v>27.5227272727273</v>
      </c>
      <c r="L281" s="14">
        <f>VENTAS[[#This Row],[Total]]-VENTAS[[#This Row],[Comisión 10%]]-VENTAS[[#This Row],[Costo SIN Comision]]</f>
        <v>7.4772727272727</v>
      </c>
      <c r="M281" s="14"/>
    </row>
    <row r="282" ht="20" hidden="1" customHeight="1" spans="1:13">
      <c r="A282" s="10">
        <v>45093</v>
      </c>
      <c r="B282" s="11"/>
      <c r="C282" s="11"/>
      <c r="D282" s="11"/>
      <c r="E282" s="11" t="s">
        <v>267</v>
      </c>
      <c r="F282" s="11" t="str">
        <f>IFERROR(VLOOKUP(VENTAS[[#This Row],[Código del producto Vendido]],STOCK[],5,FALSE),"-")</f>
        <v>Vestido Malla en contraste Lunares Elegante</v>
      </c>
      <c r="G282" s="11">
        <v>1</v>
      </c>
      <c r="H282" s="14">
        <v>25</v>
      </c>
      <c r="I282" s="14">
        <f>VENTAS[[#This Row],[Cantidad]]*VENTAS[[#This Row],[Precio Venta]]</f>
        <v>25</v>
      </c>
      <c r="J282" s="14">
        <f>IF(VENTAS[[#This Row],[Nombre del Gestor]]&gt;1,VENTAS[[#This Row],[Total]]*10%,0)</f>
        <v>0</v>
      </c>
      <c r="K282" s="14">
        <f>IFERROR(VLOOKUP(VENTAS[[#This Row],[Código del producto Vendido]],STOCK[],16,FALSE)*VENTAS[[#This Row],[Cantidad]]+VLOOKUP(VENTAS[[#This Row],[Código del producto Vendido]],STOCK[],19,FALSE)*VENTAS[[#This Row],[Cantidad]],VENTAS[[#This Row],[Total]])</f>
        <v>13.1111111111111</v>
      </c>
      <c r="L282" s="14">
        <f>VENTAS[[#This Row],[Total]]-VENTAS[[#This Row],[Comisión 10%]]-VENTAS[[#This Row],[Costo SIN Comision]]</f>
        <v>11.8888888888889</v>
      </c>
      <c r="M282" s="14"/>
    </row>
    <row r="283" ht="20" hidden="1" customHeight="1" spans="1:13">
      <c r="A283" s="10">
        <v>45093</v>
      </c>
      <c r="B283" s="11"/>
      <c r="C283" s="11"/>
      <c r="D283" s="11"/>
      <c r="E283" s="11" t="s">
        <v>241</v>
      </c>
      <c r="F283" s="11" t="str">
        <f>IFERROR(VLOOKUP(VENTAS[[#This Row],[Código del producto Vendido]],STOCK[],5,FALSE),"-")</f>
        <v>Vestido de cuello cuadrado de espalda abierta</v>
      </c>
      <c r="G283" s="11">
        <v>1</v>
      </c>
      <c r="H283" s="14">
        <v>20</v>
      </c>
      <c r="I283" s="14">
        <f>VENTAS[[#This Row],[Cantidad]]*VENTAS[[#This Row],[Precio Venta]]</f>
        <v>20</v>
      </c>
      <c r="J283" s="14">
        <f>IF(VENTAS[[#This Row],[Nombre del Gestor]]&gt;1,VENTAS[[#This Row],[Total]]*10%,0)</f>
        <v>0</v>
      </c>
      <c r="K283" s="14">
        <f>IFERROR(VLOOKUP(VENTAS[[#This Row],[Código del producto Vendido]],STOCK[],16,FALSE)*VENTAS[[#This Row],[Cantidad]]+VLOOKUP(VENTAS[[#This Row],[Código del producto Vendido]],STOCK[],19,FALSE)*VENTAS[[#This Row],[Cantidad]],VENTAS[[#This Row],[Total]])</f>
        <v>11.8755555555556</v>
      </c>
      <c r="L283" s="14">
        <f>VENTAS[[#This Row],[Total]]-VENTAS[[#This Row],[Comisión 10%]]-VENTAS[[#This Row],[Costo SIN Comision]]</f>
        <v>8.1244444444444</v>
      </c>
      <c r="M283" s="14"/>
    </row>
    <row r="284" ht="20" hidden="1" customHeight="1" spans="1:13">
      <c r="A284" s="10">
        <v>45093</v>
      </c>
      <c r="B284" s="11"/>
      <c r="C284" s="11"/>
      <c r="D284" s="11"/>
      <c r="E284" s="11" t="s">
        <v>223</v>
      </c>
      <c r="F284" s="11" t="str">
        <f>IFERROR(VLOOKUP(VENTAS[[#This Row],[Código del producto Vendido]],STOCK[],5,FALSE),"-")</f>
        <v>Vestido ajustado de tirantes con abertura</v>
      </c>
      <c r="G284" s="11">
        <v>1</v>
      </c>
      <c r="H284" s="14">
        <v>18</v>
      </c>
      <c r="I284" s="14">
        <f>VENTAS[[#This Row],[Cantidad]]*VENTAS[[#This Row],[Precio Venta]]</f>
        <v>18</v>
      </c>
      <c r="J284" s="14">
        <f>IF(VENTAS[[#This Row],[Nombre del Gestor]]&gt;1,VENTAS[[#This Row],[Total]]*10%,0)</f>
        <v>0</v>
      </c>
      <c r="K284" s="14">
        <f>IFERROR(VLOOKUP(VENTAS[[#This Row],[Código del producto Vendido]],STOCK[],16,FALSE)*VENTAS[[#This Row],[Cantidad]]+VLOOKUP(VENTAS[[#This Row],[Código del producto Vendido]],STOCK[],19,FALSE)*VENTAS[[#This Row],[Cantidad]],VENTAS[[#This Row],[Total]])</f>
        <v>9.18</v>
      </c>
      <c r="L284" s="14">
        <f>VENTAS[[#This Row],[Total]]-VENTAS[[#This Row],[Comisión 10%]]-VENTAS[[#This Row],[Costo SIN Comision]]</f>
        <v>8.82</v>
      </c>
      <c r="M284" s="14"/>
    </row>
    <row r="285" ht="20" hidden="1" customHeight="1" spans="1:13">
      <c r="A285" s="10">
        <v>45093</v>
      </c>
      <c r="B285" s="11"/>
      <c r="C285" s="11"/>
      <c r="D285" s="11"/>
      <c r="E285" s="11" t="s">
        <v>169</v>
      </c>
      <c r="F285" s="11" t="str">
        <f>IFERROR(VLOOKUP(VENTAS[[#This Row],[Código del producto Vendido]],STOCK[],5,FALSE),"-")</f>
        <v>Vestido con estampado floral con abertura alta</v>
      </c>
      <c r="G285" s="11">
        <v>1</v>
      </c>
      <c r="H285" s="14">
        <v>30</v>
      </c>
      <c r="I285" s="14">
        <f>VENTAS[[#This Row],[Cantidad]]*VENTAS[[#This Row],[Precio Venta]]</f>
        <v>30</v>
      </c>
      <c r="J285" s="14">
        <f>IF(VENTAS[[#This Row],[Nombre del Gestor]]&gt;1,VENTAS[[#This Row],[Total]]*10%,0)</f>
        <v>0</v>
      </c>
      <c r="K285" s="14">
        <f>IFERROR(VLOOKUP(VENTAS[[#This Row],[Código del producto Vendido]],STOCK[],16,FALSE)*VENTAS[[#This Row],[Cantidad]]+VLOOKUP(VENTAS[[#This Row],[Código del producto Vendido]],STOCK[],19,FALSE)*VENTAS[[#This Row],[Cantidad]],VENTAS[[#This Row],[Total]])</f>
        <v>20.8555555555556</v>
      </c>
      <c r="L285" s="14">
        <f>VENTAS[[#This Row],[Total]]-VENTAS[[#This Row],[Comisión 10%]]-VENTAS[[#This Row],[Costo SIN Comision]]</f>
        <v>9.1444444444444</v>
      </c>
      <c r="M285" s="14"/>
    </row>
    <row r="286" ht="20" hidden="1" customHeight="1" spans="1:13">
      <c r="A286" s="10">
        <v>45093</v>
      </c>
      <c r="B286" s="11"/>
      <c r="C286" s="11"/>
      <c r="D286" s="11"/>
      <c r="E286" s="11" t="s">
        <v>253</v>
      </c>
      <c r="F286" s="11" t="str">
        <f>IFERROR(VLOOKUP(VENTAS[[#This Row],[Código del producto Vendido]],STOCK[],5,FALSE),"-")</f>
        <v>Vestido con abertura con botón floral de margarita</v>
      </c>
      <c r="G286" s="11">
        <v>1</v>
      </c>
      <c r="H286" s="14">
        <v>25</v>
      </c>
      <c r="I286" s="14">
        <f>VENTAS[[#This Row],[Cantidad]]*VENTAS[[#This Row],[Precio Venta]]</f>
        <v>25</v>
      </c>
      <c r="J286" s="14">
        <f>IF(VENTAS[[#This Row],[Nombre del Gestor]]&gt;1,VENTAS[[#This Row],[Total]]*10%,0)</f>
        <v>0</v>
      </c>
      <c r="K286" s="14">
        <f>IFERROR(VLOOKUP(VENTAS[[#This Row],[Código del producto Vendido]],STOCK[],16,FALSE)*VENTAS[[#This Row],[Cantidad]]+VLOOKUP(VENTAS[[#This Row],[Código del producto Vendido]],STOCK[],19,FALSE)*VENTAS[[#This Row],[Cantidad]],VENTAS[[#This Row],[Total]])</f>
        <v>16.8</v>
      </c>
      <c r="L286" s="14">
        <f>VENTAS[[#This Row],[Total]]-VENTAS[[#This Row],[Comisión 10%]]-VENTAS[[#This Row],[Costo SIN Comision]]</f>
        <v>8.2</v>
      </c>
      <c r="M286" s="14"/>
    </row>
    <row r="287" ht="20" hidden="1" customHeight="1" spans="1:13">
      <c r="A287" s="10">
        <v>45093</v>
      </c>
      <c r="B287" s="11"/>
      <c r="C287" s="11"/>
      <c r="D287" s="11"/>
      <c r="E287" s="11" t="s">
        <v>647</v>
      </c>
      <c r="F287" s="11" t="str">
        <f>IFERROR(VLOOKUP(VENTAS[[#This Row],[Código del producto Vendido]],STOCK[],5,FALSE),"-")</f>
        <v>Vestido con estampado jungla</v>
      </c>
      <c r="G287" s="11">
        <v>1</v>
      </c>
      <c r="H287" s="14">
        <v>17</v>
      </c>
      <c r="I287" s="14">
        <f>VENTAS[[#This Row],[Cantidad]]*VENTAS[[#This Row],[Precio Venta]]</f>
        <v>17</v>
      </c>
      <c r="J287" s="14">
        <f>IF(VENTAS[[#This Row],[Nombre del Gestor]]&gt;1,VENTAS[[#This Row],[Total]]*10%,0)</f>
        <v>0</v>
      </c>
      <c r="K287" s="14">
        <f>IFERROR(VLOOKUP(VENTAS[[#This Row],[Código del producto Vendido]],STOCK[],16,FALSE)*VENTAS[[#This Row],[Cantidad]]+VLOOKUP(VENTAS[[#This Row],[Código del producto Vendido]],STOCK[],19,FALSE)*VENTAS[[#This Row],[Cantidad]],VENTAS[[#This Row],[Total]])</f>
        <v>10.7222222222222</v>
      </c>
      <c r="L287" s="14">
        <f>VENTAS[[#This Row],[Total]]-VENTAS[[#This Row],[Comisión 10%]]-VENTAS[[#This Row],[Costo SIN Comision]]</f>
        <v>6.27777777777778</v>
      </c>
      <c r="M287" s="14"/>
    </row>
    <row r="288" ht="20" hidden="1" customHeight="1" spans="1:13">
      <c r="A288" s="10">
        <v>45093</v>
      </c>
      <c r="B288" s="11"/>
      <c r="C288" s="11"/>
      <c r="D288" s="11"/>
      <c r="E288" s="11" t="s">
        <v>859</v>
      </c>
      <c r="F288" s="11" t="str">
        <f>IFERROR(VLOOKUP(VENTAS[[#This Row],[Código del producto Vendido]],STOCK[],5,FALSE),"-")</f>
        <v>Vestido Ajustado brillo</v>
      </c>
      <c r="G288" s="11">
        <v>1</v>
      </c>
      <c r="H288" s="14">
        <v>17</v>
      </c>
      <c r="I288" s="14">
        <f>VENTAS[[#This Row],[Cantidad]]*VENTAS[[#This Row],[Precio Venta]]</f>
        <v>17</v>
      </c>
      <c r="J288" s="14">
        <f>IF(VENTAS[[#This Row],[Nombre del Gestor]]&gt;1,VENTAS[[#This Row],[Total]]*10%,0)</f>
        <v>0</v>
      </c>
      <c r="K288" s="14">
        <f>IFERROR(VLOOKUP(VENTAS[[#This Row],[Código del producto Vendido]],STOCK[],16,FALSE)*VENTAS[[#This Row],[Cantidad]]+VLOOKUP(VENTAS[[#This Row],[Código del producto Vendido]],STOCK[],19,FALSE)*VENTAS[[#This Row],[Cantidad]],VENTAS[[#This Row],[Total]])</f>
        <v>9.11111111111111</v>
      </c>
      <c r="L288" s="14">
        <f>VENTAS[[#This Row],[Total]]-VENTAS[[#This Row],[Comisión 10%]]-VENTAS[[#This Row],[Costo SIN Comision]]</f>
        <v>7.88888888888889</v>
      </c>
      <c r="M288" s="14"/>
    </row>
    <row r="289" ht="20" hidden="1" customHeight="1" spans="1:13">
      <c r="A289" s="10">
        <v>45093</v>
      </c>
      <c r="B289" s="11"/>
      <c r="C289" s="11"/>
      <c r="D289" s="11"/>
      <c r="E289" s="11" t="s">
        <v>1048</v>
      </c>
      <c r="F289" s="11" t="str">
        <f>IFERROR(VLOOKUP(VENTAS[[#This Row],[Código del producto Vendido]],STOCK[],5,FALSE),"-")</f>
        <v>Jeans Ajustados Claro</v>
      </c>
      <c r="G289" s="11">
        <v>1</v>
      </c>
      <c r="H289" s="14">
        <v>35</v>
      </c>
      <c r="I289" s="14">
        <f>VENTAS[[#This Row],[Cantidad]]*VENTAS[[#This Row],[Precio Venta]]</f>
        <v>35</v>
      </c>
      <c r="J289" s="14">
        <f>IF(VENTAS[[#This Row],[Nombre del Gestor]]&gt;1,VENTAS[[#This Row],[Total]]*10%,0)</f>
        <v>0</v>
      </c>
      <c r="K289" s="14">
        <f>IFERROR(VLOOKUP(VENTAS[[#This Row],[Código del producto Vendido]],STOCK[],16,FALSE)*VENTAS[[#This Row],[Cantidad]]+VLOOKUP(VENTAS[[#This Row],[Código del producto Vendido]],STOCK[],19,FALSE)*VENTAS[[#This Row],[Cantidad]],VENTAS[[#This Row],[Total]])</f>
        <v>25.8181818181818</v>
      </c>
      <c r="L289" s="14">
        <f>VENTAS[[#This Row],[Total]]-VENTAS[[#This Row],[Comisión 10%]]-VENTAS[[#This Row],[Costo SIN Comision]]</f>
        <v>9.1818181818182</v>
      </c>
      <c r="M289" s="14"/>
    </row>
    <row r="290" ht="20" hidden="1" customHeight="1" spans="1:13">
      <c r="A290" s="10">
        <v>45093</v>
      </c>
      <c r="B290" s="11"/>
      <c r="C290" s="11"/>
      <c r="D290" s="11"/>
      <c r="E290" s="11" t="s">
        <v>1036</v>
      </c>
      <c r="F290" s="11" t="str">
        <f>IFERROR(VLOOKUP(VENTAS[[#This Row],[Código del producto Vendido]],STOCK[],5,FALSE),"-")</f>
        <v>Jenas Ajustados Oscuro</v>
      </c>
      <c r="G290" s="11">
        <v>1</v>
      </c>
      <c r="H290" s="14">
        <v>35</v>
      </c>
      <c r="I290" s="14">
        <f>VENTAS[[#This Row],[Cantidad]]*VENTAS[[#This Row],[Precio Venta]]</f>
        <v>35</v>
      </c>
      <c r="J290" s="14">
        <f>IF(VENTAS[[#This Row],[Nombre del Gestor]]&gt;1,VENTAS[[#This Row],[Total]]*10%,0)</f>
        <v>0</v>
      </c>
      <c r="K290" s="14">
        <f>IFERROR(VLOOKUP(VENTAS[[#This Row],[Código del producto Vendido]],STOCK[],16,FALSE)*VENTAS[[#This Row],[Cantidad]]+VLOOKUP(VENTAS[[#This Row],[Código del producto Vendido]],STOCK[],19,FALSE)*VENTAS[[#This Row],[Cantidad]],VENTAS[[#This Row],[Total]])</f>
        <v>24.6818181818182</v>
      </c>
      <c r="L290" s="14">
        <f>VENTAS[[#This Row],[Total]]-VENTAS[[#This Row],[Comisión 10%]]-VENTAS[[#This Row],[Costo SIN Comision]]</f>
        <v>10.3181818181818</v>
      </c>
      <c r="M290" s="14"/>
    </row>
    <row r="291" ht="20" hidden="1" customHeight="1" spans="1:13">
      <c r="A291" s="10">
        <v>45094</v>
      </c>
      <c r="B291" s="11"/>
      <c r="C291" s="11"/>
      <c r="D291" s="11"/>
      <c r="E291" s="11" t="s">
        <v>1095</v>
      </c>
      <c r="F291" s="11" t="str">
        <f>IFERROR(VLOOKUP(VENTAS[[#This Row],[Código del producto Vendido]],STOCK[],5,FALSE),"-")</f>
        <v>Jean con roto sencillo</v>
      </c>
      <c r="G291" s="11">
        <v>1</v>
      </c>
      <c r="H291" s="14">
        <v>40</v>
      </c>
      <c r="I291" s="14">
        <f>VENTAS[[#This Row],[Cantidad]]*VENTAS[[#This Row],[Precio Venta]]</f>
        <v>40</v>
      </c>
      <c r="J291" s="14">
        <f>IF(VENTAS[[#This Row],[Nombre del Gestor]]&gt;1,VENTAS[[#This Row],[Total]]*10%,0)</f>
        <v>0</v>
      </c>
      <c r="K291" s="14">
        <f>IFERROR(VLOOKUP(VENTAS[[#This Row],[Código del producto Vendido]],STOCK[],16,FALSE)*VENTAS[[#This Row],[Cantidad]]+VLOOKUP(VENTAS[[#This Row],[Código del producto Vendido]],STOCK[],19,FALSE)*VENTAS[[#This Row],[Cantidad]],VENTAS[[#This Row],[Total]])</f>
        <v>32.2647058823529</v>
      </c>
      <c r="L291" s="14">
        <f>VENTAS[[#This Row],[Total]]-VENTAS[[#This Row],[Comisión 10%]]-VENTAS[[#This Row],[Costo SIN Comision]]</f>
        <v>7.7352941176471</v>
      </c>
      <c r="M291" s="14"/>
    </row>
    <row r="292" ht="20" hidden="1" customHeight="1" spans="1:13">
      <c r="A292" s="10">
        <v>45094</v>
      </c>
      <c r="B292" s="11"/>
      <c r="C292" s="11"/>
      <c r="D292" s="11"/>
      <c r="E292" s="11" t="s">
        <v>1034</v>
      </c>
      <c r="F292" s="11" t="str">
        <f>IFERROR(VLOOKUP(VENTAS[[#This Row],[Código del producto Vendido]],STOCK[],5,FALSE),"-")</f>
        <v>Jenas Ajustados Oscuro</v>
      </c>
      <c r="G292" s="11">
        <v>1</v>
      </c>
      <c r="H292" s="14">
        <v>35</v>
      </c>
      <c r="I292" s="14">
        <f>VENTAS[[#This Row],[Cantidad]]*VENTAS[[#This Row],[Precio Venta]]</f>
        <v>35</v>
      </c>
      <c r="J292" s="14">
        <f>IF(VENTAS[[#This Row],[Nombre del Gestor]]&gt;1,VENTAS[[#This Row],[Total]]*10%,0)</f>
        <v>0</v>
      </c>
      <c r="K292" s="14">
        <f>IFERROR(VLOOKUP(VENTAS[[#This Row],[Código del producto Vendido]],STOCK[],16,FALSE)*VENTAS[[#This Row],[Cantidad]]+VLOOKUP(VENTAS[[#This Row],[Código del producto Vendido]],STOCK[],19,FALSE)*VENTAS[[#This Row],[Cantidad]],VENTAS[[#This Row],[Total]])</f>
        <v>24.6818181818182</v>
      </c>
      <c r="L292" s="14">
        <f>VENTAS[[#This Row],[Total]]-VENTAS[[#This Row],[Comisión 10%]]-VENTAS[[#This Row],[Costo SIN Comision]]</f>
        <v>10.3181818181818</v>
      </c>
      <c r="M292" s="14"/>
    </row>
    <row r="293" ht="20" hidden="1" customHeight="1" spans="1:13">
      <c r="A293" s="10">
        <v>45094</v>
      </c>
      <c r="B293" s="11"/>
      <c r="C293" s="11"/>
      <c r="D293" s="11"/>
      <c r="E293" s="11" t="s">
        <v>1041</v>
      </c>
      <c r="F293" s="11" t="str">
        <f>IFERROR(VLOOKUP(VENTAS[[#This Row],[Código del producto Vendido]],STOCK[],5,FALSE),"-")</f>
        <v>Jeans Elastizados Pierna Ancha</v>
      </c>
      <c r="G293" s="11">
        <v>1</v>
      </c>
      <c r="H293" s="14">
        <v>35</v>
      </c>
      <c r="I293" s="14">
        <f>VENTAS[[#This Row],[Cantidad]]*VENTAS[[#This Row],[Precio Venta]]</f>
        <v>35</v>
      </c>
      <c r="J293" s="14">
        <f>IF(VENTAS[[#This Row],[Nombre del Gestor]]&gt;1,VENTAS[[#This Row],[Total]]*10%,0)</f>
        <v>0</v>
      </c>
      <c r="K293" s="14">
        <f>IFERROR(VLOOKUP(VENTAS[[#This Row],[Código del producto Vendido]],STOCK[],16,FALSE)*VENTAS[[#This Row],[Cantidad]]+VLOOKUP(VENTAS[[#This Row],[Código del producto Vendido]],STOCK[],19,FALSE)*VENTAS[[#This Row],[Cantidad]],VENTAS[[#This Row],[Total]])</f>
        <v>27.5227272727273</v>
      </c>
      <c r="L293" s="14">
        <f>VENTAS[[#This Row],[Total]]-VENTAS[[#This Row],[Comisión 10%]]-VENTAS[[#This Row],[Costo SIN Comision]]</f>
        <v>7.4772727272727</v>
      </c>
      <c r="M293" s="14"/>
    </row>
    <row r="294" ht="20" hidden="1" customHeight="1" spans="1:13">
      <c r="A294" s="10">
        <v>45094</v>
      </c>
      <c r="B294" s="11"/>
      <c r="C294" s="11"/>
      <c r="D294" s="11"/>
      <c r="E294" s="11" t="s">
        <v>157</v>
      </c>
      <c r="F294" s="11" t="str">
        <f>IFERROR(VLOOKUP(VENTAS[[#This Row],[Código del producto Vendido]],STOCK[],5,FALSE),"-")</f>
        <v>Jeans de pierna recta desgarro</v>
      </c>
      <c r="G294" s="11">
        <v>1</v>
      </c>
      <c r="H294" s="14">
        <v>30</v>
      </c>
      <c r="I294" s="14">
        <f>VENTAS[[#This Row],[Cantidad]]*VENTAS[[#This Row],[Precio Venta]]</f>
        <v>30</v>
      </c>
      <c r="J294" s="14">
        <f>IF(VENTAS[[#This Row],[Nombre del Gestor]]&gt;1,VENTAS[[#This Row],[Total]]*10%,0)</f>
        <v>0</v>
      </c>
      <c r="K294" s="14">
        <f>IFERROR(VLOOKUP(VENTAS[[#This Row],[Código del producto Vendido]],STOCK[],16,FALSE)*VENTAS[[#This Row],[Cantidad]]+VLOOKUP(VENTAS[[#This Row],[Código del producto Vendido]],STOCK[],19,FALSE)*VENTAS[[#This Row],[Cantidad]],VENTAS[[#This Row],[Total]])</f>
        <v>18.6866666666667</v>
      </c>
      <c r="L294" s="14">
        <f>VENTAS[[#This Row],[Total]]-VENTAS[[#This Row],[Comisión 10%]]-VENTAS[[#This Row],[Costo SIN Comision]]</f>
        <v>11.3133333333333</v>
      </c>
      <c r="M294" s="14"/>
    </row>
    <row r="295" ht="20" hidden="1" customHeight="1" spans="1:13">
      <c r="A295" s="10">
        <v>45094</v>
      </c>
      <c r="B295" s="11"/>
      <c r="C295" s="11"/>
      <c r="D295" s="11"/>
      <c r="E295" s="11" t="s">
        <v>180</v>
      </c>
      <c r="F295" s="11" t="str">
        <f>IFERROR(VLOOKUP(VENTAS[[#This Row],[Código del producto Vendido]],STOCK[],5,FALSE),"-")</f>
        <v>Top de manga farol con abertura en espalda</v>
      </c>
      <c r="G295" s="11">
        <v>1</v>
      </c>
      <c r="H295" s="14">
        <v>14</v>
      </c>
      <c r="I295" s="14">
        <f>VENTAS[[#This Row],[Cantidad]]*VENTAS[[#This Row],[Precio Venta]]</f>
        <v>14</v>
      </c>
      <c r="J295" s="14">
        <f>IF(VENTAS[[#This Row],[Nombre del Gestor]]&gt;1,VENTAS[[#This Row],[Total]]*10%,0)</f>
        <v>0</v>
      </c>
      <c r="K295" s="14">
        <f>IFERROR(VLOOKUP(VENTAS[[#This Row],[Código del producto Vendido]],STOCK[],16,FALSE)*VENTAS[[#This Row],[Cantidad]]+VLOOKUP(VENTAS[[#This Row],[Código del producto Vendido]],STOCK[],19,FALSE)*VENTAS[[#This Row],[Cantidad]],VENTAS[[#This Row],[Total]])</f>
        <v>8.85777777777778</v>
      </c>
      <c r="L295" s="14">
        <f>VENTAS[[#This Row],[Total]]-VENTAS[[#This Row],[Comisión 10%]]-VENTAS[[#This Row],[Costo SIN Comision]]</f>
        <v>5.14222222222222</v>
      </c>
      <c r="M295" s="14"/>
    </row>
    <row r="296" ht="20" hidden="1" customHeight="1" spans="1:13">
      <c r="A296" s="10">
        <v>45095</v>
      </c>
      <c r="B296" s="11"/>
      <c r="C296" s="11" t="s">
        <v>4133</v>
      </c>
      <c r="D296" s="11"/>
      <c r="E296" s="11" t="s">
        <v>194</v>
      </c>
      <c r="F296" s="11" t="str">
        <f>IFERROR(VLOOKUP(VENTAS[[#This Row],[Código del producto Vendido]],STOCK[],5,FALSE),"-")</f>
        <v>Pantalones de pierna ancha de talle alto con abertura</v>
      </c>
      <c r="G296" s="11">
        <v>1</v>
      </c>
      <c r="H296" s="14">
        <v>0</v>
      </c>
      <c r="I296" s="14">
        <f>VENTAS[[#This Row],[Cantidad]]*VENTAS[[#This Row],[Precio Venta]]</f>
        <v>0</v>
      </c>
      <c r="J296" s="14">
        <f>IF(VENTAS[[#This Row],[Nombre del Gestor]]&gt;1,VENTAS[[#This Row],[Total]]*10%,0)</f>
        <v>0</v>
      </c>
      <c r="K296" s="14">
        <f>IFERROR(VLOOKUP(VENTAS[[#This Row],[Código del producto Vendido]],STOCK[],16,FALSE)*VENTAS[[#This Row],[Cantidad]]+VLOOKUP(VENTAS[[#This Row],[Código del producto Vendido]],STOCK[],19,FALSE)*VENTAS[[#This Row],[Cantidad]],VENTAS[[#This Row],[Total]])</f>
        <v>13.1511111111111</v>
      </c>
      <c r="L296" s="14">
        <f>VENTAS[[#This Row],[Total]]-VENTAS[[#This Row],[Comisión 10%]]-VENTAS[[#This Row],[Costo SIN Comision]]</f>
        <v>-13.1511111111111</v>
      </c>
      <c r="M296" s="14"/>
    </row>
    <row r="297" ht="20" hidden="1" customHeight="1" spans="1:13">
      <c r="A297" s="10">
        <v>45096</v>
      </c>
      <c r="B297" s="11"/>
      <c r="C297" s="11"/>
      <c r="D297" s="11"/>
      <c r="E297" s="11" t="s">
        <v>1154</v>
      </c>
      <c r="F297" s="11" t="str">
        <f>IFERROR(VLOOKUP(VENTAS[[#This Row],[Código del producto Vendido]],STOCK[],5,FALSE),"-")</f>
        <v>Top negro tipo cami</v>
      </c>
      <c r="G297" s="11">
        <v>1</v>
      </c>
      <c r="H297" s="14">
        <v>12</v>
      </c>
      <c r="I297" s="14">
        <f>VENTAS[[#This Row],[Cantidad]]*VENTAS[[#This Row],[Precio Venta]]</f>
        <v>12</v>
      </c>
      <c r="J297" s="14">
        <f>IF(VENTAS[[#This Row],[Nombre del Gestor]]&gt;1,VENTAS[[#This Row],[Total]]*10%,0)</f>
        <v>0</v>
      </c>
      <c r="K297" s="14">
        <f>IFERROR(VLOOKUP(VENTAS[[#This Row],[Código del producto Vendido]],STOCK[],16,FALSE)*VENTAS[[#This Row],[Cantidad]]+VLOOKUP(VENTAS[[#This Row],[Código del producto Vendido]],STOCK[],19,FALSE)*VENTAS[[#This Row],[Cantidad]],VENTAS[[#This Row],[Total]])</f>
        <v>7</v>
      </c>
      <c r="L297" s="14">
        <f>VENTAS[[#This Row],[Total]]-VENTAS[[#This Row],[Comisión 10%]]-VENTAS[[#This Row],[Costo SIN Comision]]</f>
        <v>5</v>
      </c>
      <c r="M297" s="14"/>
    </row>
    <row r="298" ht="20" hidden="1" customHeight="1" spans="1:13">
      <c r="A298" s="10">
        <v>45096</v>
      </c>
      <c r="B298" s="11"/>
      <c r="C298" s="11"/>
      <c r="D298" s="11"/>
      <c r="E298" s="11" t="s">
        <v>1128</v>
      </c>
      <c r="F298" s="11" t="str">
        <f>IFERROR(VLOOKUP(VENTAS[[#This Row],[Código del producto Vendido]],STOCK[],5,FALSE),"-")</f>
        <v>Blusa elegante de cuello blanco</v>
      </c>
      <c r="G298" s="11">
        <v>1</v>
      </c>
      <c r="H298" s="14">
        <v>15</v>
      </c>
      <c r="I298" s="14">
        <f>VENTAS[[#This Row],[Cantidad]]*VENTAS[[#This Row],[Precio Venta]]</f>
        <v>15</v>
      </c>
      <c r="J298" s="14">
        <f>IF(VENTAS[[#This Row],[Nombre del Gestor]]&gt;1,VENTAS[[#This Row],[Total]]*10%,0)</f>
        <v>0</v>
      </c>
      <c r="K298" s="14">
        <f>IFERROR(VLOOKUP(VENTAS[[#This Row],[Código del producto Vendido]],STOCK[],16,FALSE)*VENTAS[[#This Row],[Cantidad]]+VLOOKUP(VENTAS[[#This Row],[Código del producto Vendido]],STOCK[],19,FALSE)*VENTAS[[#This Row],[Cantidad]],VENTAS[[#This Row],[Total]])</f>
        <v>11.9764705882353</v>
      </c>
      <c r="L298" s="14">
        <f>VENTAS[[#This Row],[Total]]-VENTAS[[#This Row],[Comisión 10%]]-VENTAS[[#This Row],[Costo SIN Comision]]</f>
        <v>3.02352941176471</v>
      </c>
      <c r="M298" s="14"/>
    </row>
    <row r="299" ht="20" hidden="1" customHeight="1" spans="1:13">
      <c r="A299" s="10">
        <v>45097</v>
      </c>
      <c r="B299" s="11"/>
      <c r="C299" s="11"/>
      <c r="D299" s="11"/>
      <c r="E299" s="11" t="s">
        <v>60</v>
      </c>
      <c r="F299" s="11" t="str">
        <f>IFERROR(VLOOKUP(VENTAS[[#This Row],[Código del producto Vendido]],STOCK[],5,FALSE),"-")</f>
        <v>Bikini Mangas Fuccia</v>
      </c>
      <c r="G299" s="11">
        <v>1</v>
      </c>
      <c r="H299" s="14">
        <v>22</v>
      </c>
      <c r="I299" s="14">
        <f>VENTAS[[#This Row],[Cantidad]]*VENTAS[[#This Row],[Precio Venta]]</f>
        <v>22</v>
      </c>
      <c r="J299" s="14">
        <f>IF(VENTAS[[#This Row],[Nombre del Gestor]]&gt;1,VENTAS[[#This Row],[Total]]*10%,0)</f>
        <v>0</v>
      </c>
      <c r="K299" s="14">
        <f>IFERROR(VLOOKUP(VENTAS[[#This Row],[Código del producto Vendido]],STOCK[],16,FALSE)*VENTAS[[#This Row],[Cantidad]]+VLOOKUP(VENTAS[[#This Row],[Código del producto Vendido]],STOCK[],19,FALSE)*VENTAS[[#This Row],[Cantidad]],VENTAS[[#This Row],[Total]])</f>
        <v>14.495</v>
      </c>
      <c r="L299" s="14">
        <f>VENTAS[[#This Row],[Total]]-VENTAS[[#This Row],[Comisión 10%]]-VENTAS[[#This Row],[Costo SIN Comision]]</f>
        <v>7.505</v>
      </c>
      <c r="M299" s="14"/>
    </row>
    <row r="300" ht="20" hidden="1" customHeight="1" spans="1:13">
      <c r="A300" s="10">
        <v>45097</v>
      </c>
      <c r="B300" s="11"/>
      <c r="C300" s="11"/>
      <c r="D300" s="11"/>
      <c r="E300" s="11" t="s">
        <v>1043</v>
      </c>
      <c r="F300" s="11" t="str">
        <f>IFERROR(VLOOKUP(VENTAS[[#This Row],[Código del producto Vendido]],STOCK[],5,FALSE),"-")</f>
        <v>Jeans Elastizados Pierna Ancha</v>
      </c>
      <c r="G300" s="11">
        <v>1</v>
      </c>
      <c r="H300" s="14">
        <v>35</v>
      </c>
      <c r="I300" s="14">
        <f>VENTAS[[#This Row],[Cantidad]]*VENTAS[[#This Row],[Precio Venta]]</f>
        <v>35</v>
      </c>
      <c r="J300" s="14">
        <f>IF(VENTAS[[#This Row],[Nombre del Gestor]]&gt;1,VENTAS[[#This Row],[Total]]*10%,0)</f>
        <v>0</v>
      </c>
      <c r="K300" s="14">
        <f>IFERROR(VLOOKUP(VENTAS[[#This Row],[Código del producto Vendido]],STOCK[],16,FALSE)*VENTAS[[#This Row],[Cantidad]]+VLOOKUP(VENTAS[[#This Row],[Código del producto Vendido]],STOCK[],19,FALSE)*VENTAS[[#This Row],[Cantidad]],VENTAS[[#This Row],[Total]])</f>
        <v>27.5227272727273</v>
      </c>
      <c r="L300" s="14">
        <f>VENTAS[[#This Row],[Total]]-VENTAS[[#This Row],[Comisión 10%]]-VENTAS[[#This Row],[Costo SIN Comision]]</f>
        <v>7.4772727272727</v>
      </c>
      <c r="M300" s="14"/>
    </row>
    <row r="301" ht="20" hidden="1" customHeight="1" spans="1:13">
      <c r="A301" s="10">
        <v>45097</v>
      </c>
      <c r="B301" s="11"/>
      <c r="C301" s="11"/>
      <c r="D301" s="11"/>
      <c r="E301" s="11" t="s">
        <v>1007</v>
      </c>
      <c r="F301" s="11" t="str">
        <f>IFERROR(VLOOKUP(VENTAS[[#This Row],[Código del producto Vendido]],STOCK[],5,FALSE),"-")</f>
        <v>Bañador una pieza con estampado de planta cremallera</v>
      </c>
      <c r="G301" s="11">
        <v>1</v>
      </c>
      <c r="H301" s="14">
        <v>25</v>
      </c>
      <c r="I301" s="14">
        <f>VENTAS[[#This Row],[Cantidad]]*VENTAS[[#This Row],[Precio Venta]]</f>
        <v>25</v>
      </c>
      <c r="J301" s="14">
        <f>IF(VENTAS[[#This Row],[Nombre del Gestor]]&gt;1,VENTAS[[#This Row],[Total]]*10%,0)</f>
        <v>0</v>
      </c>
      <c r="K301" s="14">
        <f>IFERROR(VLOOKUP(VENTAS[[#This Row],[Código del producto Vendido]],STOCK[],16,FALSE)*VENTAS[[#This Row],[Cantidad]]+VLOOKUP(VENTAS[[#This Row],[Código del producto Vendido]],STOCK[],19,FALSE)*VENTAS[[#This Row],[Cantidad]],VENTAS[[#This Row],[Total]])</f>
        <v>14.6454545454545</v>
      </c>
      <c r="L301" s="14">
        <f>VENTAS[[#This Row],[Total]]-VENTAS[[#This Row],[Comisión 10%]]-VENTAS[[#This Row],[Costo SIN Comision]]</f>
        <v>10.3545454545455</v>
      </c>
      <c r="M301" s="14"/>
    </row>
    <row r="302" ht="20" hidden="1" customHeight="1" spans="1:13">
      <c r="A302" s="10">
        <v>45097</v>
      </c>
      <c r="B302" s="11"/>
      <c r="C302" s="11"/>
      <c r="D302" s="11"/>
      <c r="E302" s="11" t="s">
        <v>841</v>
      </c>
      <c r="F302" s="11" t="str">
        <f>IFERROR(VLOOKUP(VENTAS[[#This Row],[Código del producto Vendido]],STOCK[],5,FALSE),"-")</f>
        <v>Pareo corazón</v>
      </c>
      <c r="G302" s="11">
        <v>1</v>
      </c>
      <c r="H302" s="14">
        <v>10</v>
      </c>
      <c r="I302" s="14">
        <f>VENTAS[[#This Row],[Cantidad]]*VENTAS[[#This Row],[Precio Venta]]</f>
        <v>10</v>
      </c>
      <c r="J302" s="14">
        <f>IF(VENTAS[[#This Row],[Nombre del Gestor]]&gt;1,VENTAS[[#This Row],[Total]]*10%,0)</f>
        <v>0</v>
      </c>
      <c r="K302" s="14">
        <f>IFERROR(VLOOKUP(VENTAS[[#This Row],[Código del producto Vendido]],STOCK[],16,FALSE)*VENTAS[[#This Row],[Cantidad]]+VLOOKUP(VENTAS[[#This Row],[Código del producto Vendido]],STOCK[],19,FALSE)*VENTAS[[#This Row],[Cantidad]],VENTAS[[#This Row],[Total]])</f>
        <v>3.67777777777778</v>
      </c>
      <c r="L302" s="14">
        <f>VENTAS[[#This Row],[Total]]-VENTAS[[#This Row],[Comisión 10%]]-VENTAS[[#This Row],[Costo SIN Comision]]</f>
        <v>6.32222222222222</v>
      </c>
      <c r="M302" s="14"/>
    </row>
    <row r="303" s="2" customFormat="1" ht="20" hidden="1" customHeight="1" spans="1:13">
      <c r="A303" s="19">
        <v>45097</v>
      </c>
      <c r="B303" s="20"/>
      <c r="C303" s="20"/>
      <c r="D303" s="20"/>
      <c r="E303" s="20" t="s">
        <v>760</v>
      </c>
      <c r="F303" s="20" t="str">
        <f>IFERROR(VLOOKUP(VENTAS[[#This Row],[Código del producto Vendido]],STOCK[],5,FALSE),"-")</f>
        <v>Sandalias Trenzadas</v>
      </c>
      <c r="G303" s="20">
        <v>1</v>
      </c>
      <c r="H303" s="22">
        <v>35</v>
      </c>
      <c r="I303" s="14">
        <f>VENTAS[[#This Row],[Cantidad]]*VENTAS[[#This Row],[Precio Venta]]</f>
        <v>35</v>
      </c>
      <c r="J303" s="14">
        <f>IF(VENTAS[[#This Row],[Nombre del Gestor]]&gt;1,VENTAS[[#This Row],[Total]]*10%,0)</f>
        <v>0</v>
      </c>
      <c r="K303" s="14">
        <f>IFERROR(VLOOKUP(VENTAS[[#This Row],[Código del producto Vendido]],STOCK[],16,FALSE)*VENTAS[[#This Row],[Cantidad]]+VLOOKUP(VENTAS[[#This Row],[Código del producto Vendido]],STOCK[],19,FALSE)*VENTAS[[#This Row],[Cantidad]],VENTAS[[#This Row],[Total]])</f>
        <v>27</v>
      </c>
      <c r="L303" s="14">
        <f>VENTAS[[#This Row],[Total]]-VENTAS[[#This Row],[Comisión 10%]]-VENTAS[[#This Row],[Costo SIN Comision]]</f>
        <v>8</v>
      </c>
      <c r="M303" s="22"/>
    </row>
    <row r="304" ht="20" hidden="1" customHeight="1" spans="1:13">
      <c r="A304" s="19">
        <v>45100</v>
      </c>
      <c r="B304" s="20" t="s">
        <v>4134</v>
      </c>
      <c r="C304" s="20" t="s">
        <v>4135</v>
      </c>
      <c r="D304" s="20"/>
      <c r="E304" s="20" t="s">
        <v>157</v>
      </c>
      <c r="F304" s="20" t="str">
        <f>IFERROR(VLOOKUP(VENTAS[[#This Row],[Código del producto Vendido]],STOCK[],5,FALSE),"-")</f>
        <v>Jeans de pierna recta desgarro</v>
      </c>
      <c r="G304" s="20">
        <v>1</v>
      </c>
      <c r="H304" s="22">
        <v>30</v>
      </c>
      <c r="I304" s="14">
        <f>VENTAS[[#This Row],[Cantidad]]*VENTAS[[#This Row],[Precio Venta]]</f>
        <v>30</v>
      </c>
      <c r="J304" s="14">
        <f>IF(VENTAS[[#This Row],[Nombre del Gestor]]&gt;1,VENTAS[[#This Row],[Total]]*10%,0)</f>
        <v>0</v>
      </c>
      <c r="K304" s="14">
        <f>IFERROR(VLOOKUP(VENTAS[[#This Row],[Código del producto Vendido]],STOCK[],16,FALSE)*VENTAS[[#This Row],[Cantidad]]+VLOOKUP(VENTAS[[#This Row],[Código del producto Vendido]],STOCK[],19,FALSE)*VENTAS[[#This Row],[Cantidad]],VENTAS[[#This Row],[Total]])</f>
        <v>18.6866666666667</v>
      </c>
      <c r="L304" s="14">
        <f>VENTAS[[#This Row],[Total]]-VENTAS[[#This Row],[Comisión 10%]]-VENTAS[[#This Row],[Costo SIN Comision]]</f>
        <v>11.3133333333333</v>
      </c>
      <c r="M304" s="14"/>
    </row>
    <row r="305" ht="20" hidden="1" customHeight="1" spans="1:13">
      <c r="A305" s="10">
        <v>45106</v>
      </c>
      <c r="B305" s="11"/>
      <c r="C305" s="11"/>
      <c r="D305" s="11"/>
      <c r="E305" s="11" t="s">
        <v>1045</v>
      </c>
      <c r="F305" s="11" t="str">
        <f>IFERROR(VLOOKUP(VENTAS[[#This Row],[Código del producto Vendido]],STOCK[],5,FALSE),"-")</f>
        <v>Jeans Ajustados Claro</v>
      </c>
      <c r="G305" s="11">
        <v>1</v>
      </c>
      <c r="H305" s="14">
        <v>35</v>
      </c>
      <c r="I305" s="14">
        <f>VENTAS[[#This Row],[Cantidad]]*VENTAS[[#This Row],[Precio Venta]]</f>
        <v>35</v>
      </c>
      <c r="J305" s="14">
        <f>IF(VENTAS[[#This Row],[Nombre del Gestor]]&gt;1,VENTAS[[#This Row],[Total]]*10%,0)</f>
        <v>0</v>
      </c>
      <c r="K305" s="14">
        <f>IFERROR(VLOOKUP(VENTAS[[#This Row],[Código del producto Vendido]],STOCK[],16,FALSE)*VENTAS[[#This Row],[Cantidad]]+VLOOKUP(VENTAS[[#This Row],[Código del producto Vendido]],STOCK[],19,FALSE)*VENTAS[[#This Row],[Cantidad]],VENTAS[[#This Row],[Total]])</f>
        <v>25.8181818181818</v>
      </c>
      <c r="L305" s="14">
        <f>VENTAS[[#This Row],[Total]]-VENTAS[[#This Row],[Comisión 10%]]-VENTAS[[#This Row],[Costo SIN Comision]]</f>
        <v>9.1818181818182</v>
      </c>
      <c r="M305" s="14"/>
    </row>
    <row r="306" ht="20" hidden="1" customHeight="1" spans="1:13">
      <c r="A306" s="10">
        <v>45106</v>
      </c>
      <c r="B306" s="11"/>
      <c r="C306" s="11"/>
      <c r="D306" s="11"/>
      <c r="E306" s="11" t="s">
        <v>708</v>
      </c>
      <c r="F306" s="11" t="str">
        <f>IFERROR(VLOOKUP(VENTAS[[#This Row],[Código del producto Vendido]],STOCK[],5,FALSE),"-")</f>
        <v>Top bandeau</v>
      </c>
      <c r="G306" s="11">
        <v>1</v>
      </c>
      <c r="H306" s="14">
        <v>15</v>
      </c>
      <c r="I306" s="14">
        <f>VENTAS[[#This Row],[Cantidad]]*VENTAS[[#This Row],[Precio Venta]]</f>
        <v>15</v>
      </c>
      <c r="J306" s="14">
        <f>IF(VENTAS[[#This Row],[Nombre del Gestor]]&gt;1,VENTAS[[#This Row],[Total]]*10%,0)</f>
        <v>0</v>
      </c>
      <c r="K306" s="14">
        <f>IFERROR(VLOOKUP(VENTAS[[#This Row],[Código del producto Vendido]],STOCK[],16,FALSE)*VENTAS[[#This Row],[Cantidad]]+VLOOKUP(VENTAS[[#This Row],[Código del producto Vendido]],STOCK[],19,FALSE)*VENTAS[[#This Row],[Cantidad]],VENTAS[[#This Row],[Total]])</f>
        <v>11.4</v>
      </c>
      <c r="L306" s="14">
        <f>VENTAS[[#This Row],[Total]]-VENTAS[[#This Row],[Comisión 10%]]-VENTAS[[#This Row],[Costo SIN Comision]]</f>
        <v>3.6</v>
      </c>
      <c r="M306" s="14"/>
    </row>
    <row r="307" ht="20" hidden="1" customHeight="1" spans="1:13">
      <c r="A307" s="10">
        <v>45107</v>
      </c>
      <c r="B307" s="11"/>
      <c r="C307" s="11"/>
      <c r="D307" s="11"/>
      <c r="E307" s="11" t="s">
        <v>1082</v>
      </c>
      <c r="F307" s="11" t="str">
        <f>IFERROR(VLOOKUP(VENTAS[[#This Row],[Código del producto Vendido]],STOCK[],5,FALSE),"-")</f>
        <v>Vestido floreado a un hombro</v>
      </c>
      <c r="G307" s="11">
        <v>1</v>
      </c>
      <c r="H307" s="14">
        <v>35</v>
      </c>
      <c r="I307" s="14">
        <f>VENTAS[[#This Row],[Cantidad]]*VENTAS[[#This Row],[Precio Venta]]</f>
        <v>35</v>
      </c>
      <c r="J307" s="14">
        <f>IF(VENTAS[[#This Row],[Nombre del Gestor]]&gt;1,VENTAS[[#This Row],[Total]]*10%,0)</f>
        <v>0</v>
      </c>
      <c r="K307" s="14">
        <f>IFERROR(VLOOKUP(VENTAS[[#This Row],[Código del producto Vendido]],STOCK[],16,FALSE)*VENTAS[[#This Row],[Cantidad]]+VLOOKUP(VENTAS[[#This Row],[Código del producto Vendido]],STOCK[],19,FALSE)*VENTAS[[#This Row],[Cantidad]],VENTAS[[#This Row],[Total]])</f>
        <v>22.3014705882353</v>
      </c>
      <c r="L307" s="14">
        <f>VENTAS[[#This Row],[Total]]-VENTAS[[#This Row],[Comisión 10%]]-VENTAS[[#This Row],[Costo SIN Comision]]</f>
        <v>12.6985294117647</v>
      </c>
      <c r="M307" s="14"/>
    </row>
    <row r="308" ht="20" hidden="1" customHeight="1" spans="1:13">
      <c r="A308" s="10">
        <v>45107</v>
      </c>
      <c r="B308" s="11"/>
      <c r="C308" s="11"/>
      <c r="D308" s="11"/>
      <c r="E308" s="11" t="s">
        <v>985</v>
      </c>
      <c r="F308" s="11" t="str">
        <f>IFERROR(VLOOKUP(VENTAS[[#This Row],[Código del producto Vendido]],STOCK[],5,FALSE),"-")</f>
        <v>Vestido con abertura</v>
      </c>
      <c r="G308" s="11">
        <v>1</v>
      </c>
      <c r="H308" s="14">
        <v>22</v>
      </c>
      <c r="I308" s="14">
        <f>VENTAS[[#This Row],[Cantidad]]*VENTAS[[#This Row],[Precio Venta]]</f>
        <v>22</v>
      </c>
      <c r="J308" s="14">
        <f>IF(VENTAS[[#This Row],[Nombre del Gestor]]&gt;1,VENTAS[[#This Row],[Total]]*10%,0)</f>
        <v>0</v>
      </c>
      <c r="K308" s="14">
        <f>IFERROR(VLOOKUP(VENTAS[[#This Row],[Código del producto Vendido]],STOCK[],16,FALSE)*VENTAS[[#This Row],[Cantidad]]+VLOOKUP(VENTAS[[#This Row],[Código del producto Vendido]],STOCK[],19,FALSE)*VENTAS[[#This Row],[Cantidad]],VENTAS[[#This Row],[Total]])</f>
        <v>15.5277272727273</v>
      </c>
      <c r="L308" s="14">
        <f>VENTAS[[#This Row],[Total]]-VENTAS[[#This Row],[Comisión 10%]]-VENTAS[[#This Row],[Costo SIN Comision]]</f>
        <v>6.4722727272727</v>
      </c>
      <c r="M308" s="14"/>
    </row>
    <row r="309" ht="20" hidden="1" customHeight="1" spans="1:13">
      <c r="A309" s="10">
        <v>45103</v>
      </c>
      <c r="B309" s="11"/>
      <c r="C309" s="11"/>
      <c r="D309" s="11"/>
      <c r="E309" s="11" t="s">
        <v>952</v>
      </c>
      <c r="F309" s="11" t="str">
        <f>IFERROR(VLOOKUP(VENTAS[[#This Row],[Código del producto Vendido]],STOCK[],5,FALSE),"-")</f>
        <v> Pantaloneta Verde</v>
      </c>
      <c r="G309" s="11">
        <v>1</v>
      </c>
      <c r="H309" s="14">
        <v>25</v>
      </c>
      <c r="I309" s="14">
        <f>VENTAS[[#This Row],[Cantidad]]*VENTAS[[#This Row],[Precio Venta]]</f>
        <v>25</v>
      </c>
      <c r="J309" s="14">
        <f>IF(VENTAS[[#This Row],[Nombre del Gestor]]&gt;1,VENTAS[[#This Row],[Total]]*10%,0)</f>
        <v>0</v>
      </c>
      <c r="K309" s="14">
        <f>IFERROR(VLOOKUP(VENTAS[[#This Row],[Código del producto Vendido]],STOCK[],16,FALSE)*VENTAS[[#This Row],[Cantidad]]+VLOOKUP(VENTAS[[#This Row],[Código del producto Vendido]],STOCK[],19,FALSE)*VENTAS[[#This Row],[Cantidad]],VENTAS[[#This Row],[Total]])</f>
        <v>14.8713636363636</v>
      </c>
      <c r="L309" s="14">
        <f>VENTAS[[#This Row],[Total]]-VENTAS[[#This Row],[Comisión 10%]]-VENTAS[[#This Row],[Costo SIN Comision]]</f>
        <v>10.1286363636364</v>
      </c>
      <c r="M309" s="14"/>
    </row>
    <row r="310" ht="20" hidden="1" customHeight="1" spans="1:13">
      <c r="A310" s="10">
        <v>45100</v>
      </c>
      <c r="B310" s="11"/>
      <c r="C310" s="11"/>
      <c r="D310" s="11"/>
      <c r="E310" s="11" t="s">
        <v>900</v>
      </c>
      <c r="F310" s="11" t="str">
        <f>IFERROR(VLOOKUP(VENTAS[[#This Row],[Código del producto Vendido]],STOCK[],5,FALSE),"-")</f>
        <v>Bañador con adorno de malla</v>
      </c>
      <c r="G310" s="11">
        <v>1</v>
      </c>
      <c r="H310" s="14">
        <v>25</v>
      </c>
      <c r="I310" s="14">
        <f>VENTAS[[#This Row],[Cantidad]]*VENTAS[[#This Row],[Precio Venta]]</f>
        <v>25</v>
      </c>
      <c r="J310" s="14">
        <f>IF(VENTAS[[#This Row],[Nombre del Gestor]]&gt;1,VENTAS[[#This Row],[Total]]*10%,0)</f>
        <v>0</v>
      </c>
      <c r="K310" s="14">
        <f>IFERROR(VLOOKUP(VENTAS[[#This Row],[Código del producto Vendido]],STOCK[],16,FALSE)*VENTAS[[#This Row],[Cantidad]]+VLOOKUP(VENTAS[[#This Row],[Código del producto Vendido]],STOCK[],19,FALSE)*VENTAS[[#This Row],[Cantidad]],VENTAS[[#This Row],[Total]])</f>
        <v>15.3295454545455</v>
      </c>
      <c r="L310" s="14">
        <f>VENTAS[[#This Row],[Total]]-VENTAS[[#This Row],[Comisión 10%]]-VENTAS[[#This Row],[Costo SIN Comision]]</f>
        <v>9.6704545454545</v>
      </c>
      <c r="M310" s="14"/>
    </row>
    <row r="311" ht="20" hidden="1" customHeight="1" spans="1:13">
      <c r="A311" s="10">
        <v>45103</v>
      </c>
      <c r="B311" s="11"/>
      <c r="C311" s="11"/>
      <c r="D311" s="11"/>
      <c r="E311" s="11" t="s">
        <v>906</v>
      </c>
      <c r="F311" s="11" t="str">
        <f>IFERROR(VLOOKUP(VENTAS[[#This Row],[Código del producto Vendido]],STOCK[],5,FALSE),"-")</f>
        <v>Bikini Floral</v>
      </c>
      <c r="G311" s="11">
        <v>1</v>
      </c>
      <c r="H311" s="14">
        <v>28</v>
      </c>
      <c r="I311" s="14">
        <f>VENTAS[[#This Row],[Cantidad]]*VENTAS[[#This Row],[Precio Venta]]</f>
        <v>28</v>
      </c>
      <c r="J311" s="14">
        <f>IF(VENTAS[[#This Row],[Nombre del Gestor]]&gt;1,VENTAS[[#This Row],[Total]]*10%,0)</f>
        <v>0</v>
      </c>
      <c r="K311" s="14">
        <f>IFERROR(VLOOKUP(VENTAS[[#This Row],[Código del producto Vendido]],STOCK[],16,FALSE)*VENTAS[[#This Row],[Cantidad]]+VLOOKUP(VENTAS[[#This Row],[Código del producto Vendido]],STOCK[],19,FALSE)*VENTAS[[#This Row],[Cantidad]],VENTAS[[#This Row],[Total]])</f>
        <v>17.5127272727273</v>
      </c>
      <c r="L311" s="14">
        <f>VENTAS[[#This Row],[Total]]-VENTAS[[#This Row],[Comisión 10%]]-VENTAS[[#This Row],[Costo SIN Comision]]</f>
        <v>10.4872727272727</v>
      </c>
      <c r="M311" s="14"/>
    </row>
    <row r="312" ht="20" hidden="1" customHeight="1" spans="1:13">
      <c r="A312" s="10">
        <v>45100</v>
      </c>
      <c r="B312" s="11"/>
      <c r="C312" s="11"/>
      <c r="D312" s="11"/>
      <c r="E312" s="11" t="s">
        <v>1092</v>
      </c>
      <c r="F312" s="11" t="str">
        <f>IFERROR(VLOOKUP(VENTAS[[#This Row],[Código del producto Vendido]],STOCK[],5,FALSE),"-")</f>
        <v>Bikini Short con cordón de ajuste</v>
      </c>
      <c r="G312" s="11">
        <v>1</v>
      </c>
      <c r="H312" s="14">
        <v>28</v>
      </c>
      <c r="I312" s="14">
        <f>VENTAS[[#This Row],[Cantidad]]*VENTAS[[#This Row],[Precio Venta]]</f>
        <v>28</v>
      </c>
      <c r="J312" s="14">
        <f>IF(VENTAS[[#This Row],[Nombre del Gestor]]&gt;1,VENTAS[[#This Row],[Total]]*10%,0)</f>
        <v>0</v>
      </c>
      <c r="K312" s="14">
        <f>IFERROR(VLOOKUP(VENTAS[[#This Row],[Código del producto Vendido]],STOCK[],16,FALSE)*VENTAS[[#This Row],[Cantidad]]+VLOOKUP(VENTAS[[#This Row],[Código del producto Vendido]],STOCK[],19,FALSE)*VENTAS[[#This Row],[Cantidad]],VENTAS[[#This Row],[Total]])</f>
        <v>20.4794117647059</v>
      </c>
      <c r="L312" s="14">
        <f>VENTAS[[#This Row],[Total]]-VENTAS[[#This Row],[Comisión 10%]]-VENTAS[[#This Row],[Costo SIN Comision]]</f>
        <v>7.5205882352941</v>
      </c>
      <c r="M312" s="14"/>
    </row>
    <row r="313" ht="20" hidden="1" customHeight="1" spans="1:13">
      <c r="A313" s="10">
        <v>45103</v>
      </c>
      <c r="B313" s="11"/>
      <c r="C313" s="11"/>
      <c r="D313" s="11"/>
      <c r="E313" s="11" t="s">
        <v>1094</v>
      </c>
      <c r="F313" s="11" t="str">
        <f>IFERROR(VLOOKUP(VENTAS[[#This Row],[Código del producto Vendido]],STOCK[],5,FALSE),"-")</f>
        <v>Bikini Short con cordón de ajuste</v>
      </c>
      <c r="G313" s="11">
        <v>1</v>
      </c>
      <c r="H313" s="14">
        <v>28</v>
      </c>
      <c r="I313" s="14">
        <f>VENTAS[[#This Row],[Cantidad]]*VENTAS[[#This Row],[Precio Venta]]</f>
        <v>28</v>
      </c>
      <c r="J313" s="14">
        <f>IF(VENTAS[[#This Row],[Nombre del Gestor]]&gt;1,VENTAS[[#This Row],[Total]]*10%,0)</f>
        <v>0</v>
      </c>
      <c r="K313" s="14">
        <f>IFERROR(VLOOKUP(VENTAS[[#This Row],[Código del producto Vendido]],STOCK[],16,FALSE)*VENTAS[[#This Row],[Cantidad]]+VLOOKUP(VENTAS[[#This Row],[Código del producto Vendido]],STOCK[],19,FALSE)*VENTAS[[#This Row],[Cantidad]],VENTAS[[#This Row],[Total]])</f>
        <v>20.4794117647059</v>
      </c>
      <c r="L313" s="14">
        <f>VENTAS[[#This Row],[Total]]-VENTAS[[#This Row],[Comisión 10%]]-VENTAS[[#This Row],[Costo SIN Comision]]</f>
        <v>7.5205882352941</v>
      </c>
      <c r="M313" s="14"/>
    </row>
    <row r="314" ht="20" hidden="1" customHeight="1" spans="1:13">
      <c r="A314" s="10">
        <v>45100</v>
      </c>
      <c r="B314" s="11"/>
      <c r="C314" s="11"/>
      <c r="D314" s="11"/>
      <c r="E314" s="11" t="s">
        <v>1097</v>
      </c>
      <c r="F314" s="11" t="str">
        <f>IFERROR(VLOOKUP(VENTAS[[#This Row],[Código del producto Vendido]],STOCK[],5,FALSE),"-")</f>
        <v>Bañador en contraste azul</v>
      </c>
      <c r="G314" s="11">
        <v>1</v>
      </c>
      <c r="H314" s="14">
        <v>28</v>
      </c>
      <c r="I314" s="14">
        <f>VENTAS[[#This Row],[Cantidad]]*VENTAS[[#This Row],[Precio Venta]]</f>
        <v>28</v>
      </c>
      <c r="J314" s="14">
        <f>IF(VENTAS[[#This Row],[Nombre del Gestor]]&gt;1,VENTAS[[#This Row],[Total]]*10%,0)</f>
        <v>0</v>
      </c>
      <c r="K314" s="14">
        <f>IFERROR(VLOOKUP(VENTAS[[#This Row],[Código del producto Vendido]],STOCK[],16,FALSE)*VENTAS[[#This Row],[Cantidad]]+VLOOKUP(VENTAS[[#This Row],[Código del producto Vendido]],STOCK[],19,FALSE)*VENTAS[[#This Row],[Cantidad]],VENTAS[[#This Row],[Total]])</f>
        <v>19.3389705882353</v>
      </c>
      <c r="L314" s="14">
        <f>VENTAS[[#This Row],[Total]]-VENTAS[[#This Row],[Comisión 10%]]-VENTAS[[#This Row],[Costo SIN Comision]]</f>
        <v>8.6610294117647</v>
      </c>
      <c r="M314" s="14"/>
    </row>
    <row r="315" ht="20" hidden="1" customHeight="1" spans="1:13">
      <c r="A315" s="10">
        <v>45100</v>
      </c>
      <c r="B315" s="11"/>
      <c r="C315" s="11"/>
      <c r="D315" s="11"/>
      <c r="E315" s="11" t="s">
        <v>1132</v>
      </c>
      <c r="F315" s="11" t="str">
        <f>IFERROR(VLOOKUP(VENTAS[[#This Row],[Código del producto Vendido]],STOCK[],5,FALSE),"-")</f>
        <v>Maxi Vestido espalda corrida</v>
      </c>
      <c r="G315" s="11">
        <v>1</v>
      </c>
      <c r="H315" s="14">
        <v>30</v>
      </c>
      <c r="I315" s="14">
        <f>VENTAS[[#This Row],[Cantidad]]*VENTAS[[#This Row],[Precio Venta]]</f>
        <v>30</v>
      </c>
      <c r="J315" s="14">
        <f>IF(VENTAS[[#This Row],[Nombre del Gestor]]&gt;1,VENTAS[[#This Row],[Total]]*10%,0)</f>
        <v>0</v>
      </c>
      <c r="K315" s="14">
        <f>IFERROR(VLOOKUP(VENTAS[[#This Row],[Código del producto Vendido]],STOCK[],16,FALSE)*VENTAS[[#This Row],[Cantidad]]+VLOOKUP(VENTAS[[#This Row],[Código del producto Vendido]],STOCK[],19,FALSE)*VENTAS[[#This Row],[Cantidad]],VENTAS[[#This Row],[Total]])</f>
        <v>23.6544117647059</v>
      </c>
      <c r="L315" s="14">
        <f>VENTAS[[#This Row],[Total]]-VENTAS[[#This Row],[Comisión 10%]]-VENTAS[[#This Row],[Costo SIN Comision]]</f>
        <v>6.3455882352941</v>
      </c>
      <c r="M315" s="14"/>
    </row>
    <row r="316" ht="20" hidden="1" customHeight="1" spans="1:13">
      <c r="A316" s="10">
        <v>45100</v>
      </c>
      <c r="B316" s="11"/>
      <c r="C316" s="11"/>
      <c r="D316" s="11"/>
      <c r="E316" s="11" t="s">
        <v>907</v>
      </c>
      <c r="F316" s="11" t="str">
        <f>IFERROR(VLOOKUP(VENTAS[[#This Row],[Código del producto Vendido]],STOCK[],5,FALSE),"-")</f>
        <v>Bikini Floral</v>
      </c>
      <c r="G316" s="11">
        <v>1</v>
      </c>
      <c r="H316" s="14">
        <v>28</v>
      </c>
      <c r="I316" s="14">
        <f>VENTAS[[#This Row],[Cantidad]]*VENTAS[[#This Row],[Precio Venta]]</f>
        <v>28</v>
      </c>
      <c r="J316" s="14">
        <f>IF(VENTAS[[#This Row],[Nombre del Gestor]]&gt;1,VENTAS[[#This Row],[Total]]*10%,0)</f>
        <v>0</v>
      </c>
      <c r="K316" s="14">
        <f>IFERROR(VLOOKUP(VENTAS[[#This Row],[Código del producto Vendido]],STOCK[],16,FALSE)*VENTAS[[#This Row],[Cantidad]]+VLOOKUP(VENTAS[[#This Row],[Código del producto Vendido]],STOCK[],19,FALSE)*VENTAS[[#This Row],[Cantidad]],VENTAS[[#This Row],[Total]])</f>
        <v>17.5127272727273</v>
      </c>
      <c r="L316" s="14">
        <f>VENTAS[[#This Row],[Total]]-VENTAS[[#This Row],[Comisión 10%]]-VENTAS[[#This Row],[Costo SIN Comision]]</f>
        <v>10.4872727272727</v>
      </c>
      <c r="M316" s="14"/>
    </row>
    <row r="317" ht="20" hidden="1" customHeight="1" spans="1:13">
      <c r="A317" s="10">
        <v>45133</v>
      </c>
      <c r="B317" s="11"/>
      <c r="C317" s="11"/>
      <c r="D317" s="11"/>
      <c r="E317" s="11" t="s">
        <v>279</v>
      </c>
      <c r="F317" s="11" t="str">
        <f>IFERROR(VLOOKUP(VENTAS[[#This Row],[Código del producto Vendido]],STOCK[],5,FALSE),"-")</f>
        <v>Top de cuello V media manga</v>
      </c>
      <c r="G317" s="11">
        <v>1</v>
      </c>
      <c r="H317" s="14">
        <v>14</v>
      </c>
      <c r="I317" s="14">
        <f>VENTAS[[#This Row],[Cantidad]]*VENTAS[[#This Row],[Precio Venta]]</f>
        <v>14</v>
      </c>
      <c r="J317" s="14">
        <f>IF(VENTAS[[#This Row],[Nombre del Gestor]]&gt;1,VENTAS[[#This Row],[Total]]*10%,0)</f>
        <v>0</v>
      </c>
      <c r="K317" s="14">
        <f>IFERROR(VLOOKUP(VENTAS[[#This Row],[Código del producto Vendido]],STOCK[],16,FALSE)*VENTAS[[#This Row],[Cantidad]]+VLOOKUP(VENTAS[[#This Row],[Código del producto Vendido]],STOCK[],19,FALSE)*VENTAS[[#This Row],[Cantidad]],VENTAS[[#This Row],[Total]])</f>
        <v>6.99555555555556</v>
      </c>
      <c r="L317" s="14">
        <f>VENTAS[[#This Row],[Total]]-VENTAS[[#This Row],[Comisión 10%]]-VENTAS[[#This Row],[Costo SIN Comision]]</f>
        <v>7.00444444444444</v>
      </c>
      <c r="M317" s="14"/>
    </row>
    <row r="318" ht="20" hidden="1" customHeight="1" spans="1:13">
      <c r="A318" s="21">
        <v>45133</v>
      </c>
      <c r="B318" s="11"/>
      <c r="C318" s="11"/>
      <c r="D318" s="11"/>
      <c r="E318" s="11" t="s">
        <v>235</v>
      </c>
      <c r="F318" s="11" t="str">
        <f>IFERROR(VLOOKUP(VENTAS[[#This Row],[Código del producto Vendido]],STOCK[],5,FALSE),"-")</f>
        <v>Top de cuello con cordón de lunares</v>
      </c>
      <c r="G318" s="11">
        <v>1</v>
      </c>
      <c r="H318" s="14">
        <v>12</v>
      </c>
      <c r="I318" s="14">
        <f>VENTAS[[#This Row],[Cantidad]]*VENTAS[[#This Row],[Precio Venta]]</f>
        <v>12</v>
      </c>
      <c r="J318" s="14">
        <f>IF(VENTAS[[#This Row],[Nombre del Gestor]]&gt;1,VENTAS[[#This Row],[Total]]*10%,0)</f>
        <v>0</v>
      </c>
      <c r="K318" s="14">
        <f>IFERROR(VLOOKUP(VENTAS[[#This Row],[Código del producto Vendido]],STOCK[],16,FALSE)*VENTAS[[#This Row],[Cantidad]]+VLOOKUP(VENTAS[[#This Row],[Código del producto Vendido]],STOCK[],19,FALSE)*VENTAS[[#This Row],[Cantidad]],VENTAS[[#This Row],[Total]])</f>
        <v>7.90444444444444</v>
      </c>
      <c r="L318" s="14">
        <f>VENTAS[[#This Row],[Total]]-VENTAS[[#This Row],[Comisión 10%]]-VENTAS[[#This Row],[Costo SIN Comision]]</f>
        <v>4.09555555555556</v>
      </c>
      <c r="M318" s="14"/>
    </row>
    <row r="319" ht="20" hidden="1" customHeight="1" spans="1:13">
      <c r="A319" s="10">
        <v>45108</v>
      </c>
      <c r="B319" s="11"/>
      <c r="C319" s="11"/>
      <c r="D319" s="11"/>
      <c r="E319" s="11" t="s">
        <v>193</v>
      </c>
      <c r="F319" s="11" t="str">
        <f>IFERROR(VLOOKUP(VENTAS[[#This Row],[Código del producto Vendido]],STOCK[],5,FALSE),"-")</f>
        <v>Pantalones de pierna ancha de talle alto con abertura</v>
      </c>
      <c r="G319" s="11">
        <v>1</v>
      </c>
      <c r="H319" s="14">
        <v>22</v>
      </c>
      <c r="I319" s="14">
        <f>VENTAS[[#This Row],[Cantidad]]*VENTAS[[#This Row],[Precio Venta]]</f>
        <v>22</v>
      </c>
      <c r="J319" s="14">
        <f>IF(VENTAS[[#This Row],[Nombre del Gestor]]&gt;1,VENTAS[[#This Row],[Total]]*10%,0)</f>
        <v>0</v>
      </c>
      <c r="K319" s="14">
        <f>IFERROR(VLOOKUP(VENTAS[[#This Row],[Código del producto Vendido]],STOCK[],16,FALSE)*VENTAS[[#This Row],[Cantidad]]+VLOOKUP(VENTAS[[#This Row],[Código del producto Vendido]],STOCK[],19,FALSE)*VENTAS[[#This Row],[Cantidad]],VENTAS[[#This Row],[Total]])</f>
        <v>13.1511111111111</v>
      </c>
      <c r="L319" s="14">
        <f>VENTAS[[#This Row],[Total]]-VENTAS[[#This Row],[Comisión 10%]]-VENTAS[[#This Row],[Costo SIN Comision]]</f>
        <v>8.8488888888889</v>
      </c>
      <c r="M319" s="14"/>
    </row>
    <row r="320" ht="20" hidden="1" customHeight="1" spans="1:13">
      <c r="A320" s="10">
        <v>45107</v>
      </c>
      <c r="B320" s="11"/>
      <c r="C320" s="11"/>
      <c r="D320" s="11"/>
      <c r="E320" s="11" t="s">
        <v>31</v>
      </c>
      <c r="F320" s="11" t="str">
        <f>IFERROR(VLOOKUP(VENTAS[[#This Row],[Código del producto Vendido]],STOCK[],5,FALSE),"-")</f>
        <v>Pareo falda </v>
      </c>
      <c r="G320" s="11">
        <v>1</v>
      </c>
      <c r="H320" s="14">
        <v>8</v>
      </c>
      <c r="I320" s="14">
        <f>VENTAS[[#This Row],[Cantidad]]*VENTAS[[#This Row],[Precio Venta]]</f>
        <v>8</v>
      </c>
      <c r="J320" s="14">
        <f>IF(VENTAS[[#This Row],[Nombre del Gestor]]&gt;1,VENTAS[[#This Row],[Total]]*10%,0)</f>
        <v>0</v>
      </c>
      <c r="K320" s="14">
        <f>IFERROR(VLOOKUP(VENTAS[[#This Row],[Código del producto Vendido]],STOCK[],16,FALSE)*VENTAS[[#This Row],[Cantidad]]+VLOOKUP(VENTAS[[#This Row],[Código del producto Vendido]],STOCK[],19,FALSE)*VENTAS[[#This Row],[Cantidad]],VENTAS[[#This Row],[Total]])</f>
        <v>4.33722222222222</v>
      </c>
      <c r="L320" s="14">
        <f>VENTAS[[#This Row],[Total]]-VENTAS[[#This Row],[Comisión 10%]]-VENTAS[[#This Row],[Costo SIN Comision]]</f>
        <v>3.66277777777778</v>
      </c>
      <c r="M320" s="14"/>
    </row>
    <row r="321" ht="20" hidden="1" customHeight="1" spans="1:13">
      <c r="A321" s="10">
        <v>45108</v>
      </c>
      <c r="B321" s="11"/>
      <c r="C321" s="11"/>
      <c r="D321" s="11"/>
      <c r="E321" s="11" t="s">
        <v>891</v>
      </c>
      <c r="F321" s="11" t="str">
        <f>IFERROR(VLOOKUP(VENTAS[[#This Row],[Código del producto Vendido]],STOCK[],5,FALSE),"-")</f>
        <v>Top Cuello encaje y mangas abombadas</v>
      </c>
      <c r="G321" s="11">
        <v>1</v>
      </c>
      <c r="H321" s="14">
        <v>12</v>
      </c>
      <c r="I321" s="14">
        <f>VENTAS[[#This Row],[Cantidad]]*VENTAS[[#This Row],[Precio Venta]]</f>
        <v>12</v>
      </c>
      <c r="J321" s="14">
        <f>IF(VENTAS[[#This Row],[Nombre del Gestor]]&gt;1,VENTAS[[#This Row],[Total]]*10%,0)</f>
        <v>0</v>
      </c>
      <c r="K321" s="14">
        <f>IFERROR(VLOOKUP(VENTAS[[#This Row],[Código del producto Vendido]],STOCK[],16,FALSE)*VENTAS[[#This Row],[Cantidad]]+VLOOKUP(VENTAS[[#This Row],[Código del producto Vendido]],STOCK[],19,FALSE)*VENTAS[[#This Row],[Cantidad]],VENTAS[[#This Row],[Total]])</f>
        <v>6.35818181818182</v>
      </c>
      <c r="L321" s="14">
        <f>VENTAS[[#This Row],[Total]]-VENTAS[[#This Row],[Comisión 10%]]-VENTAS[[#This Row],[Costo SIN Comision]]</f>
        <v>5.64181818181818</v>
      </c>
      <c r="M321" s="14"/>
    </row>
    <row r="322" ht="20" hidden="1" customHeight="1" spans="1:13">
      <c r="A322" s="10">
        <v>45107</v>
      </c>
      <c r="B322" s="11"/>
      <c r="C322" s="11"/>
      <c r="D322" s="11"/>
      <c r="E322" s="11" t="s">
        <v>913</v>
      </c>
      <c r="F322" s="11" t="str">
        <f>IFERROR(VLOOKUP(VENTAS[[#This Row],[Código del producto Vendido]],STOCK[],5,FALSE),"-")</f>
        <v>Bañador de pierna alta</v>
      </c>
      <c r="G322" s="11">
        <v>1</v>
      </c>
      <c r="H322" s="14">
        <v>28</v>
      </c>
      <c r="I322" s="14">
        <f>VENTAS[[#This Row],[Cantidad]]*VENTAS[[#This Row],[Precio Venta]]</f>
        <v>28</v>
      </c>
      <c r="J322" s="14">
        <f>IF(VENTAS[[#This Row],[Nombre del Gestor]]&gt;1,VENTAS[[#This Row],[Total]]*10%,0)</f>
        <v>0</v>
      </c>
      <c r="K322" s="14">
        <f>IFERROR(VLOOKUP(VENTAS[[#This Row],[Código del producto Vendido]],STOCK[],16,FALSE)*VENTAS[[#This Row],[Cantidad]]+VLOOKUP(VENTAS[[#This Row],[Código del producto Vendido]],STOCK[],19,FALSE)*VENTAS[[#This Row],[Cantidad]],VENTAS[[#This Row],[Total]])</f>
        <v>15.8931818181818</v>
      </c>
      <c r="L322" s="14">
        <f>VENTAS[[#This Row],[Total]]-VENTAS[[#This Row],[Comisión 10%]]-VENTAS[[#This Row],[Costo SIN Comision]]</f>
        <v>12.1068181818182</v>
      </c>
      <c r="M322" s="14"/>
    </row>
    <row r="323" ht="20" hidden="1" customHeight="1" spans="1:13">
      <c r="A323" s="10">
        <v>45133</v>
      </c>
      <c r="B323" s="11"/>
      <c r="C323" s="11"/>
      <c r="D323" s="11"/>
      <c r="E323" s="11" t="s">
        <v>261</v>
      </c>
      <c r="F323" s="11" t="str">
        <f>IFERROR(VLOOKUP(VENTAS[[#This Row],[Código del producto Vendido]],STOCK[],5,FALSE),"-")</f>
        <v>Blusas Botón Floral Casual</v>
      </c>
      <c r="G323" s="11">
        <v>1</v>
      </c>
      <c r="H323" s="14">
        <v>14</v>
      </c>
      <c r="I323" s="14">
        <f>VENTAS[[#This Row],[Cantidad]]*VENTAS[[#This Row],[Precio Venta]]</f>
        <v>14</v>
      </c>
      <c r="J323" s="14">
        <f>IF(VENTAS[[#This Row],[Nombre del Gestor]]&gt;1,VENTAS[[#This Row],[Total]]*10%,0)</f>
        <v>0</v>
      </c>
      <c r="K323" s="14">
        <f>IFERROR(VLOOKUP(VENTAS[[#This Row],[Código del producto Vendido]],STOCK[],16,FALSE)*VENTAS[[#This Row],[Cantidad]]+VLOOKUP(VENTAS[[#This Row],[Código del producto Vendido]],STOCK[],19,FALSE)*VENTAS[[#This Row],[Cantidad]],VENTAS[[#This Row],[Total]])</f>
        <v>8.10222222222222</v>
      </c>
      <c r="L323" s="14">
        <f>VENTAS[[#This Row],[Total]]-VENTAS[[#This Row],[Comisión 10%]]-VENTAS[[#This Row],[Costo SIN Comision]]</f>
        <v>5.89777777777778</v>
      </c>
      <c r="M323" s="14"/>
    </row>
    <row r="324" ht="20" hidden="1" customHeight="1" spans="1:13">
      <c r="A324" s="10">
        <v>45103</v>
      </c>
      <c r="B324" s="11"/>
      <c r="C324" s="11"/>
      <c r="D324" s="11"/>
      <c r="E324" s="11" t="s">
        <v>1030</v>
      </c>
      <c r="F324" s="11" t="str">
        <f>IFERROR(VLOOKUP(VENTAS[[#This Row],[Código del producto Vendido]],STOCK[],5,FALSE),"-")</f>
        <v>Top cuello V Blanco</v>
      </c>
      <c r="G324" s="11">
        <v>1</v>
      </c>
      <c r="H324" s="14">
        <v>12</v>
      </c>
      <c r="I324" s="14">
        <f>VENTAS[[#This Row],[Cantidad]]*VENTAS[[#This Row],[Precio Venta]]</f>
        <v>12</v>
      </c>
      <c r="J324" s="14">
        <f>IF(VENTAS[[#This Row],[Nombre del Gestor]]&gt;1,VENTAS[[#This Row],[Total]]*10%,0)</f>
        <v>0</v>
      </c>
      <c r="K324" s="14">
        <f>IFERROR(VLOOKUP(VENTAS[[#This Row],[Código del producto Vendido]],STOCK[],16,FALSE)*VENTAS[[#This Row],[Cantidad]]+VLOOKUP(VENTAS[[#This Row],[Código del producto Vendido]],STOCK[],19,FALSE)*VENTAS[[#This Row],[Cantidad]],VENTAS[[#This Row],[Total]])</f>
        <v>7.75568181818182</v>
      </c>
      <c r="L324" s="14">
        <f>VENTAS[[#This Row],[Total]]-VENTAS[[#This Row],[Comisión 10%]]-VENTAS[[#This Row],[Costo SIN Comision]]</f>
        <v>4.24431818181818</v>
      </c>
      <c r="M324" s="14"/>
    </row>
    <row r="325" ht="20" hidden="1" customHeight="1" spans="1:13">
      <c r="A325" s="10">
        <v>45108</v>
      </c>
      <c r="B325" s="11"/>
      <c r="C325" s="11"/>
      <c r="D325" s="11"/>
      <c r="E325" s="11" t="s">
        <v>950</v>
      </c>
      <c r="F325" s="11" t="str">
        <f>IFERROR(VLOOKUP(VENTAS[[#This Row],[Código del producto Vendido]],STOCK[],5,FALSE),"-")</f>
        <v> Pantaloneta Verde</v>
      </c>
      <c r="G325" s="11">
        <v>1</v>
      </c>
      <c r="H325" s="14">
        <v>25</v>
      </c>
      <c r="I325" s="14">
        <f>VENTAS[[#This Row],[Cantidad]]*VENTAS[[#This Row],[Precio Venta]]</f>
        <v>25</v>
      </c>
      <c r="J325" s="14">
        <f>IF(VENTAS[[#This Row],[Nombre del Gestor]]&gt;1,VENTAS[[#This Row],[Total]]*10%,0)</f>
        <v>0</v>
      </c>
      <c r="K325" s="14">
        <f>IFERROR(VLOOKUP(VENTAS[[#This Row],[Código del producto Vendido]],STOCK[],16,FALSE)*VENTAS[[#This Row],[Cantidad]]+VLOOKUP(VENTAS[[#This Row],[Código del producto Vendido]],STOCK[],19,FALSE)*VENTAS[[#This Row],[Cantidad]],VENTAS[[#This Row],[Total]])</f>
        <v>14.8713636363636</v>
      </c>
      <c r="L325" s="14">
        <f>VENTAS[[#This Row],[Total]]-VENTAS[[#This Row],[Comisión 10%]]-VENTAS[[#This Row],[Costo SIN Comision]]</f>
        <v>10.1286363636364</v>
      </c>
      <c r="M325" s="14"/>
    </row>
    <row r="326" ht="20" hidden="1" customHeight="1" spans="1:13">
      <c r="A326" s="10">
        <v>45110</v>
      </c>
      <c r="B326" s="11"/>
      <c r="C326" s="11"/>
      <c r="D326" s="11"/>
      <c r="E326" s="11" t="s">
        <v>1094</v>
      </c>
      <c r="F326" s="11" t="str">
        <f>IFERROR(VLOOKUP(VENTAS[[#This Row],[Código del producto Vendido]],STOCK[],5,FALSE),"-")</f>
        <v>Bikini Short con cordón de ajuste</v>
      </c>
      <c r="G326" s="11">
        <v>1</v>
      </c>
      <c r="H326" s="14">
        <v>28</v>
      </c>
      <c r="I326" s="14">
        <f>VENTAS[[#This Row],[Cantidad]]*VENTAS[[#This Row],[Precio Venta]]</f>
        <v>28</v>
      </c>
      <c r="J326" s="14">
        <f>IF(VENTAS[[#This Row],[Nombre del Gestor]]&gt;1,VENTAS[[#This Row],[Total]]*10%,0)</f>
        <v>0</v>
      </c>
      <c r="K326" s="14">
        <f>IFERROR(VLOOKUP(VENTAS[[#This Row],[Código del producto Vendido]],STOCK[],16,FALSE)*VENTAS[[#This Row],[Cantidad]]+VLOOKUP(VENTAS[[#This Row],[Código del producto Vendido]],STOCK[],19,FALSE)*VENTAS[[#This Row],[Cantidad]],VENTAS[[#This Row],[Total]])</f>
        <v>20.4794117647059</v>
      </c>
      <c r="L326" s="14">
        <f>VENTAS[[#This Row],[Total]]-VENTAS[[#This Row],[Comisión 10%]]-VENTAS[[#This Row],[Costo SIN Comision]]</f>
        <v>7.5205882352941</v>
      </c>
      <c r="M326" s="14"/>
    </row>
    <row r="327" ht="20" hidden="1" customHeight="1" spans="1:13">
      <c r="A327" s="10">
        <v>45113</v>
      </c>
      <c r="B327" s="11"/>
      <c r="C327" s="11"/>
      <c r="D327" s="11"/>
      <c r="E327" s="11" t="s">
        <v>1051</v>
      </c>
      <c r="F327" s="11" t="str">
        <f>IFERROR(VLOOKUP(VENTAS[[#This Row],[Código del producto Vendido]],STOCK[],5,FALSE),"-")</f>
        <v>Pantaloneta Camel</v>
      </c>
      <c r="G327" s="11">
        <v>1</v>
      </c>
      <c r="H327" s="14">
        <v>30</v>
      </c>
      <c r="I327" s="14">
        <f>VENTAS[[#This Row],[Cantidad]]*VENTAS[[#This Row],[Precio Venta]]</f>
        <v>30</v>
      </c>
      <c r="J327" s="14">
        <f>IF(VENTAS[[#This Row],[Nombre del Gestor]]&gt;1,VENTAS[[#This Row],[Total]]*10%,0)</f>
        <v>0</v>
      </c>
      <c r="K327" s="14">
        <f>IFERROR(VLOOKUP(VENTAS[[#This Row],[Código del producto Vendido]],STOCK[],16,FALSE)*VENTAS[[#This Row],[Cantidad]]+VLOOKUP(VENTAS[[#This Row],[Código del producto Vendido]],STOCK[],19,FALSE)*VENTAS[[#This Row],[Cantidad]],VENTAS[[#This Row],[Total]])</f>
        <v>18.6477272727273</v>
      </c>
      <c r="L327" s="14">
        <f>VENTAS[[#This Row],[Total]]-VENTAS[[#This Row],[Comisión 10%]]-VENTAS[[#This Row],[Costo SIN Comision]]</f>
        <v>11.3522727272727</v>
      </c>
      <c r="M327" s="14"/>
    </row>
    <row r="328" ht="20" hidden="1" customHeight="1" spans="1:13">
      <c r="A328" s="10">
        <v>45113</v>
      </c>
      <c r="B328" s="11"/>
      <c r="C328" s="11"/>
      <c r="D328" s="11"/>
      <c r="E328" s="11" t="s">
        <v>907</v>
      </c>
      <c r="F328" s="11" t="str">
        <f>IFERROR(VLOOKUP(VENTAS[[#This Row],[Código del producto Vendido]],STOCK[],5,FALSE),"-")</f>
        <v>Bikini Floral</v>
      </c>
      <c r="G328" s="11">
        <v>1</v>
      </c>
      <c r="H328" s="14">
        <v>28</v>
      </c>
      <c r="I328" s="14">
        <f>VENTAS[[#This Row],[Cantidad]]*VENTAS[[#This Row],[Precio Venta]]</f>
        <v>28</v>
      </c>
      <c r="J328" s="14">
        <f>IF(VENTAS[[#This Row],[Nombre del Gestor]]&gt;1,VENTAS[[#This Row],[Total]]*10%,0)</f>
        <v>0</v>
      </c>
      <c r="K328" s="14">
        <f>IFERROR(VLOOKUP(VENTAS[[#This Row],[Código del producto Vendido]],STOCK[],16,FALSE)*VENTAS[[#This Row],[Cantidad]]+VLOOKUP(VENTAS[[#This Row],[Código del producto Vendido]],STOCK[],19,FALSE)*VENTAS[[#This Row],[Cantidad]],VENTAS[[#This Row],[Total]])</f>
        <v>17.5127272727273</v>
      </c>
      <c r="L328" s="14">
        <f>VENTAS[[#This Row],[Total]]-VENTAS[[#This Row],[Comisión 10%]]-VENTAS[[#This Row],[Costo SIN Comision]]</f>
        <v>10.4872727272727</v>
      </c>
      <c r="M328" s="14"/>
    </row>
    <row r="329" ht="20" hidden="1" customHeight="1" spans="1:13">
      <c r="A329" s="10">
        <v>45114</v>
      </c>
      <c r="B329" s="11"/>
      <c r="C329" s="11"/>
      <c r="D329" s="11"/>
      <c r="E329" s="11" t="s">
        <v>1099</v>
      </c>
      <c r="F329" s="11" t="str">
        <f>IFERROR(VLOOKUP(VENTAS[[#This Row],[Código del producto Vendido]],STOCK[],5,FALSE),"-")</f>
        <v>Bañador en contraste azul</v>
      </c>
      <c r="G329" s="11">
        <v>1</v>
      </c>
      <c r="H329" s="14">
        <v>28</v>
      </c>
      <c r="I329" s="14">
        <f>VENTAS[[#This Row],[Cantidad]]*VENTAS[[#This Row],[Precio Venta]]</f>
        <v>28</v>
      </c>
      <c r="J329" s="14">
        <f>IF(VENTAS[[#This Row],[Nombre del Gestor]]&gt;1,VENTAS[[#This Row],[Total]]*10%,0)</f>
        <v>0</v>
      </c>
      <c r="K329" s="14">
        <f>IFERROR(VLOOKUP(VENTAS[[#This Row],[Código del producto Vendido]],STOCK[],16,FALSE)*VENTAS[[#This Row],[Cantidad]]+VLOOKUP(VENTAS[[#This Row],[Código del producto Vendido]],STOCK[],19,FALSE)*VENTAS[[#This Row],[Cantidad]],VENTAS[[#This Row],[Total]])</f>
        <v>19.3389705882353</v>
      </c>
      <c r="L329" s="14">
        <f>VENTAS[[#This Row],[Total]]-VENTAS[[#This Row],[Comisión 10%]]-VENTAS[[#This Row],[Costo SIN Comision]]</f>
        <v>8.6610294117647</v>
      </c>
      <c r="M329" s="14"/>
    </row>
    <row r="330" ht="20" hidden="1" customHeight="1" spans="1:13">
      <c r="A330" s="10">
        <v>45111</v>
      </c>
      <c r="B330" s="11"/>
      <c r="C330" s="11"/>
      <c r="D330" s="11"/>
      <c r="E330" s="11" t="s">
        <v>244</v>
      </c>
      <c r="F330" s="11" t="str">
        <f>IFERROR(VLOOKUP(VENTAS[[#This Row],[Código del producto Vendido]],STOCK[],5,FALSE),"-")</f>
        <v>Blusa de manga mariposa escote V</v>
      </c>
      <c r="G330" s="11">
        <v>1</v>
      </c>
      <c r="H330" s="14">
        <v>14</v>
      </c>
      <c r="I330" s="14">
        <f>VENTAS[[#This Row],[Cantidad]]*VENTAS[[#This Row],[Precio Venta]]</f>
        <v>14</v>
      </c>
      <c r="J330" s="14">
        <f>IF(VENTAS[[#This Row],[Nombre del Gestor]]&gt;1,VENTAS[[#This Row],[Total]]*10%,0)</f>
        <v>0</v>
      </c>
      <c r="K330" s="14">
        <f>IFERROR(VLOOKUP(VENTAS[[#This Row],[Código del producto Vendido]],STOCK[],16,FALSE)*VENTAS[[#This Row],[Cantidad]]+VLOOKUP(VENTAS[[#This Row],[Código del producto Vendido]],STOCK[],19,FALSE)*VENTAS[[#This Row],[Cantidad]],VENTAS[[#This Row],[Total]])</f>
        <v>9.10444444444444</v>
      </c>
      <c r="L330" s="14">
        <f>VENTAS[[#This Row],[Total]]-VENTAS[[#This Row],[Comisión 10%]]-VENTAS[[#This Row],[Costo SIN Comision]]</f>
        <v>4.89555555555556</v>
      </c>
      <c r="M330" s="14"/>
    </row>
    <row r="331" ht="20" hidden="1" customHeight="1" spans="1:13">
      <c r="A331" s="10">
        <v>45116</v>
      </c>
      <c r="B331" s="11"/>
      <c r="C331" s="11"/>
      <c r="D331" s="11"/>
      <c r="E331" s="11" t="s">
        <v>63</v>
      </c>
      <c r="F331" s="11" t="str">
        <f>IFERROR(VLOOKUP(VENTAS[[#This Row],[Código del producto Vendido]],STOCK[],5,FALSE),"-")</f>
        <v>Bikini Mangas Fuccia</v>
      </c>
      <c r="G331" s="11">
        <v>1</v>
      </c>
      <c r="H331" s="14">
        <v>22</v>
      </c>
      <c r="I331" s="14">
        <f>VENTAS[[#This Row],[Cantidad]]*VENTAS[[#This Row],[Precio Venta]]</f>
        <v>22</v>
      </c>
      <c r="J331" s="14">
        <f>IF(VENTAS[[#This Row],[Nombre del Gestor]]&gt;1,VENTAS[[#This Row],[Total]]*10%,0)</f>
        <v>0</v>
      </c>
      <c r="K331" s="14">
        <f>IFERROR(VLOOKUP(VENTAS[[#This Row],[Código del producto Vendido]],STOCK[],16,FALSE)*VENTAS[[#This Row],[Cantidad]]+VLOOKUP(VENTAS[[#This Row],[Código del producto Vendido]],STOCK[],19,FALSE)*VENTAS[[#This Row],[Cantidad]],VENTAS[[#This Row],[Total]])</f>
        <v>14.495</v>
      </c>
      <c r="L331" s="14">
        <f>VENTAS[[#This Row],[Total]]-VENTAS[[#This Row],[Comisión 10%]]-VENTAS[[#This Row],[Costo SIN Comision]]</f>
        <v>7.505</v>
      </c>
      <c r="M331" s="14"/>
    </row>
    <row r="332" ht="20" hidden="1" customHeight="1" spans="1:13">
      <c r="A332" s="10">
        <v>45111</v>
      </c>
      <c r="B332" s="11"/>
      <c r="C332" s="11"/>
      <c r="D332" s="11"/>
      <c r="E332" s="11" t="s">
        <v>409</v>
      </c>
      <c r="F332" s="11" t="str">
        <f>IFERROR(VLOOKUP(VENTAS[[#This Row],[Código del producto Vendido]],STOCK[],5,FALSE),"-")</f>
        <v>Bañador una pieza de color combinado </v>
      </c>
      <c r="G332" s="11">
        <v>1</v>
      </c>
      <c r="H332" s="14">
        <v>20</v>
      </c>
      <c r="I332" s="14">
        <f>VENTAS[[#This Row],[Cantidad]]*VENTAS[[#This Row],[Precio Venta]]</f>
        <v>20</v>
      </c>
      <c r="J332" s="14">
        <f>IF(VENTAS[[#This Row],[Nombre del Gestor]]&gt;1,VENTAS[[#This Row],[Total]]*10%,0)</f>
        <v>0</v>
      </c>
      <c r="K332" s="14">
        <f>IFERROR(VLOOKUP(VENTAS[[#This Row],[Código del producto Vendido]],STOCK[],16,FALSE)*VENTAS[[#This Row],[Cantidad]]+VLOOKUP(VENTAS[[#This Row],[Código del producto Vendido]],STOCK[],19,FALSE)*VENTAS[[#This Row],[Cantidad]],VENTAS[[#This Row],[Total]])</f>
        <v>9.66666666666667</v>
      </c>
      <c r="L332" s="14">
        <f>VENTAS[[#This Row],[Total]]-VENTAS[[#This Row],[Comisión 10%]]-VENTAS[[#This Row],[Costo SIN Comision]]</f>
        <v>10.3333333333333</v>
      </c>
      <c r="M332" s="14"/>
    </row>
    <row r="333" ht="20" hidden="1" customHeight="1" spans="1:13">
      <c r="A333" s="10">
        <v>45111</v>
      </c>
      <c r="B333" s="11"/>
      <c r="C333" s="11"/>
      <c r="D333" s="11"/>
      <c r="E333" s="11" t="s">
        <v>1092</v>
      </c>
      <c r="F333" s="11" t="str">
        <f>IFERROR(VLOOKUP(VENTAS[[#This Row],[Código del producto Vendido]],STOCK[],5,FALSE),"-")</f>
        <v>Bikini Short con cordón de ajuste</v>
      </c>
      <c r="G333" s="11">
        <v>1</v>
      </c>
      <c r="H333" s="14">
        <v>28</v>
      </c>
      <c r="I333" s="14">
        <f>VENTAS[[#This Row],[Cantidad]]*VENTAS[[#This Row],[Precio Venta]]</f>
        <v>28</v>
      </c>
      <c r="J333" s="14">
        <f>IF(VENTAS[[#This Row],[Nombre del Gestor]]&gt;1,VENTAS[[#This Row],[Total]]*10%,0)</f>
        <v>0</v>
      </c>
      <c r="K333" s="14">
        <f>IFERROR(VLOOKUP(VENTAS[[#This Row],[Código del producto Vendido]],STOCK[],16,FALSE)*VENTAS[[#This Row],[Cantidad]]+VLOOKUP(VENTAS[[#This Row],[Código del producto Vendido]],STOCK[],19,FALSE)*VENTAS[[#This Row],[Cantidad]],VENTAS[[#This Row],[Total]])</f>
        <v>20.4794117647059</v>
      </c>
      <c r="L333" s="14">
        <f>VENTAS[[#This Row],[Total]]-VENTAS[[#This Row],[Comisión 10%]]-VENTAS[[#This Row],[Costo SIN Comision]]</f>
        <v>7.5205882352941</v>
      </c>
      <c r="M333" s="14"/>
    </row>
    <row r="334" ht="20" hidden="1" customHeight="1" spans="1:13">
      <c r="A334" s="10">
        <v>45111</v>
      </c>
      <c r="B334" s="11"/>
      <c r="C334" s="11"/>
      <c r="D334" s="11"/>
      <c r="E334" s="11" t="s">
        <v>937</v>
      </c>
      <c r="F334" s="11" t="str">
        <f>IFERROR(VLOOKUP(VENTAS[[#This Row],[Código del producto Vendido]],STOCK[],5,FALSE),"-")</f>
        <v>Bañador con zíper de pierna alta</v>
      </c>
      <c r="G334" s="11">
        <v>1</v>
      </c>
      <c r="H334" s="14">
        <v>28</v>
      </c>
      <c r="I334" s="14">
        <f>VENTAS[[#This Row],[Cantidad]]*VENTAS[[#This Row],[Precio Venta]]</f>
        <v>28</v>
      </c>
      <c r="J334" s="14">
        <f>IF(VENTAS[[#This Row],[Nombre del Gestor]]&gt;1,VENTAS[[#This Row],[Total]]*10%,0)</f>
        <v>0</v>
      </c>
      <c r="K334" s="14">
        <f>IFERROR(VLOOKUP(VENTAS[[#This Row],[Código del producto Vendido]],STOCK[],16,FALSE)*VENTAS[[#This Row],[Cantidad]]+VLOOKUP(VENTAS[[#This Row],[Código del producto Vendido]],STOCK[],19,FALSE)*VENTAS[[#This Row],[Cantidad]],VENTAS[[#This Row],[Total]])</f>
        <v>14.0231818181818</v>
      </c>
      <c r="L334" s="14">
        <f>VENTAS[[#This Row],[Total]]-VENTAS[[#This Row],[Comisión 10%]]-VENTAS[[#This Row],[Costo SIN Comision]]</f>
        <v>13.9768181818182</v>
      </c>
      <c r="M334" s="14"/>
    </row>
    <row r="335" ht="20" hidden="1" customHeight="1" spans="1:13">
      <c r="A335" s="10">
        <v>45111</v>
      </c>
      <c r="B335" s="11"/>
      <c r="C335" s="11"/>
      <c r="D335" s="11"/>
      <c r="E335" s="11" t="s">
        <v>1103</v>
      </c>
      <c r="F335" s="11" t="str">
        <f>IFERROR(VLOOKUP(VENTAS[[#This Row],[Código del producto Vendido]],STOCK[],5,FALSE),"-")</f>
        <v>Sandalias crema</v>
      </c>
      <c r="G335" s="11">
        <v>1</v>
      </c>
      <c r="H335" s="14">
        <v>40</v>
      </c>
      <c r="I335" s="14">
        <f>VENTAS[[#This Row],[Cantidad]]*VENTAS[[#This Row],[Precio Venta]]</f>
        <v>40</v>
      </c>
      <c r="J335" s="14">
        <f>IF(VENTAS[[#This Row],[Nombre del Gestor]]&gt;1,VENTAS[[#This Row],[Total]]*10%,0)</f>
        <v>0</v>
      </c>
      <c r="K335" s="14">
        <f>IFERROR(VLOOKUP(VENTAS[[#This Row],[Código del producto Vendido]],STOCK[],16,FALSE)*VENTAS[[#This Row],[Cantidad]]+VLOOKUP(VENTAS[[#This Row],[Código del producto Vendido]],STOCK[],19,FALSE)*VENTAS[[#This Row],[Cantidad]],VENTAS[[#This Row],[Total]])</f>
        <v>26.8529411764706</v>
      </c>
      <c r="L335" s="14">
        <f>VENTAS[[#This Row],[Total]]-VENTAS[[#This Row],[Comisión 10%]]-VENTAS[[#This Row],[Costo SIN Comision]]</f>
        <v>13.1470588235294</v>
      </c>
      <c r="M335" s="14"/>
    </row>
    <row r="336" ht="20" hidden="1" customHeight="1" spans="1:13">
      <c r="A336" s="10">
        <v>45115</v>
      </c>
      <c r="B336" s="11"/>
      <c r="C336" s="11"/>
      <c r="D336" s="11"/>
      <c r="E336" s="11" t="s">
        <v>936</v>
      </c>
      <c r="F336" s="11" t="str">
        <f>IFERROR(VLOOKUP(VENTAS[[#This Row],[Código del producto Vendido]],STOCK[],5,FALSE),"-")</f>
        <v>Bañador de pierna alta</v>
      </c>
      <c r="G336" s="11">
        <v>1</v>
      </c>
      <c r="H336" s="14">
        <v>28</v>
      </c>
      <c r="I336" s="14">
        <f>VENTAS[[#This Row],[Cantidad]]*VENTAS[[#This Row],[Precio Venta]]</f>
        <v>28</v>
      </c>
      <c r="J336" s="14">
        <f>IF(VENTAS[[#This Row],[Nombre del Gestor]]&gt;1,VENTAS[[#This Row],[Total]]*10%,0)</f>
        <v>0</v>
      </c>
      <c r="K336" s="14">
        <f>IFERROR(VLOOKUP(VENTAS[[#This Row],[Código del producto Vendido]],STOCK[],16,FALSE)*VENTAS[[#This Row],[Cantidad]]+VLOOKUP(VENTAS[[#This Row],[Código del producto Vendido]],STOCK[],19,FALSE)*VENTAS[[#This Row],[Cantidad]],VENTAS[[#This Row],[Total]])</f>
        <v>14.0231818181818</v>
      </c>
      <c r="L336" s="14">
        <f>VENTAS[[#This Row],[Total]]-VENTAS[[#This Row],[Comisión 10%]]-VENTAS[[#This Row],[Costo SIN Comision]]</f>
        <v>13.9768181818182</v>
      </c>
      <c r="M336" s="14"/>
    </row>
    <row r="337" ht="20" hidden="1" customHeight="1" spans="1:13">
      <c r="A337" s="10">
        <v>45115</v>
      </c>
      <c r="B337" s="11"/>
      <c r="C337" s="11"/>
      <c r="D337" s="11"/>
      <c r="E337" s="11" t="s">
        <v>937</v>
      </c>
      <c r="F337" s="11" t="str">
        <f>IFERROR(VLOOKUP(VENTAS[[#This Row],[Código del producto Vendido]],STOCK[],5,FALSE),"-")</f>
        <v>Bañador con zíper de pierna alta</v>
      </c>
      <c r="G337" s="11">
        <v>1</v>
      </c>
      <c r="H337" s="14">
        <v>28</v>
      </c>
      <c r="I337" s="14">
        <f>VENTAS[[#This Row],[Cantidad]]*VENTAS[[#This Row],[Precio Venta]]</f>
        <v>28</v>
      </c>
      <c r="J337" s="14">
        <f>IF(VENTAS[[#This Row],[Nombre del Gestor]]&gt;1,VENTAS[[#This Row],[Total]]*10%,0)</f>
        <v>0</v>
      </c>
      <c r="K337" s="14">
        <f>IFERROR(VLOOKUP(VENTAS[[#This Row],[Código del producto Vendido]],STOCK[],16,FALSE)*VENTAS[[#This Row],[Cantidad]]+VLOOKUP(VENTAS[[#This Row],[Código del producto Vendido]],STOCK[],19,FALSE)*VENTAS[[#This Row],[Cantidad]],VENTAS[[#This Row],[Total]])</f>
        <v>14.0231818181818</v>
      </c>
      <c r="L337" s="14">
        <f>VENTAS[[#This Row],[Total]]-VENTAS[[#This Row],[Comisión 10%]]-VENTAS[[#This Row],[Costo SIN Comision]]</f>
        <v>13.9768181818182</v>
      </c>
      <c r="M337" s="14"/>
    </row>
    <row r="338" ht="20" hidden="1" customHeight="1" spans="1:13">
      <c r="A338" s="10">
        <v>45115</v>
      </c>
      <c r="B338" s="11"/>
      <c r="C338" s="11"/>
      <c r="D338" s="11"/>
      <c r="E338" s="11" t="s">
        <v>919</v>
      </c>
      <c r="F338" s="11" t="str">
        <f>IFERROR(VLOOKUP(VENTAS[[#This Row],[Código del producto Vendido]],STOCK[],5,FALSE),"-")</f>
        <v>Vestido de lunares </v>
      </c>
      <c r="G338" s="11">
        <v>1</v>
      </c>
      <c r="H338" s="14">
        <v>25</v>
      </c>
      <c r="I338" s="14">
        <f>VENTAS[[#This Row],[Cantidad]]*VENTAS[[#This Row],[Precio Venta]]</f>
        <v>25</v>
      </c>
      <c r="J338" s="14">
        <f>IF(VENTAS[[#This Row],[Nombre del Gestor]]&gt;1,VENTAS[[#This Row],[Total]]*10%,0)</f>
        <v>0</v>
      </c>
      <c r="K338" s="14">
        <f>IFERROR(VLOOKUP(VENTAS[[#This Row],[Código del producto Vendido]],STOCK[],16,FALSE)*VENTAS[[#This Row],[Cantidad]]+VLOOKUP(VENTAS[[#This Row],[Código del producto Vendido]],STOCK[],19,FALSE)*VENTAS[[#This Row],[Cantidad]],VENTAS[[#This Row],[Total]])</f>
        <v>13.9113636363636</v>
      </c>
      <c r="L338" s="14">
        <f>VENTAS[[#This Row],[Total]]-VENTAS[[#This Row],[Comisión 10%]]-VENTAS[[#This Row],[Costo SIN Comision]]</f>
        <v>11.0886363636364</v>
      </c>
      <c r="M338" s="14"/>
    </row>
    <row r="339" ht="20" hidden="1" customHeight="1" spans="1:13">
      <c r="A339" s="10">
        <v>45115</v>
      </c>
      <c r="B339" s="11"/>
      <c r="C339" s="11"/>
      <c r="D339" s="11"/>
      <c r="E339" s="11" t="s">
        <v>952</v>
      </c>
      <c r="F339" s="11" t="str">
        <f>IFERROR(VLOOKUP(VENTAS[[#This Row],[Código del producto Vendido]],STOCK[],5,FALSE),"-")</f>
        <v> Pantaloneta Verde</v>
      </c>
      <c r="G339" s="11">
        <v>1</v>
      </c>
      <c r="H339" s="14">
        <v>25</v>
      </c>
      <c r="I339" s="14">
        <f>VENTAS[[#This Row],[Cantidad]]*VENTAS[[#This Row],[Precio Venta]]</f>
        <v>25</v>
      </c>
      <c r="J339" s="14">
        <f>IF(VENTAS[[#This Row],[Nombre del Gestor]]&gt;1,VENTAS[[#This Row],[Total]]*10%,0)</f>
        <v>0</v>
      </c>
      <c r="K339" s="14">
        <f>IFERROR(VLOOKUP(VENTAS[[#This Row],[Código del producto Vendido]],STOCK[],16,FALSE)*VENTAS[[#This Row],[Cantidad]]+VLOOKUP(VENTAS[[#This Row],[Código del producto Vendido]],STOCK[],19,FALSE)*VENTAS[[#This Row],[Cantidad]],VENTAS[[#This Row],[Total]])</f>
        <v>14.8713636363636</v>
      </c>
      <c r="L339" s="14">
        <f>VENTAS[[#This Row],[Total]]-VENTAS[[#This Row],[Comisión 10%]]-VENTAS[[#This Row],[Costo SIN Comision]]</f>
        <v>10.1286363636364</v>
      </c>
      <c r="M339" s="14"/>
    </row>
    <row r="340" ht="20" hidden="1" customHeight="1" spans="1:13">
      <c r="A340" s="10">
        <v>45115</v>
      </c>
      <c r="B340" s="11"/>
      <c r="C340" s="11"/>
      <c r="D340" s="11"/>
      <c r="E340" s="11" t="s">
        <v>973</v>
      </c>
      <c r="F340" s="11" t="str">
        <f>IFERROR(VLOOKUP(VENTAS[[#This Row],[Código del producto Vendido]],STOCK[],5,FALSE),"-")</f>
        <v>Bañador Cisne Espalda descubierta</v>
      </c>
      <c r="G340" s="11">
        <v>1</v>
      </c>
      <c r="H340" s="14">
        <v>25</v>
      </c>
      <c r="I340" s="14">
        <f>VENTAS[[#This Row],[Cantidad]]*VENTAS[[#This Row],[Precio Venta]]</f>
        <v>25</v>
      </c>
      <c r="J340" s="14">
        <f>IF(VENTAS[[#This Row],[Nombre del Gestor]]&gt;1,VENTAS[[#This Row],[Total]]*10%,0)</f>
        <v>0</v>
      </c>
      <c r="K340" s="14">
        <f>IFERROR(VLOOKUP(VENTAS[[#This Row],[Código del producto Vendido]],STOCK[],16,FALSE)*VENTAS[[#This Row],[Cantidad]]+VLOOKUP(VENTAS[[#This Row],[Código del producto Vendido]],STOCK[],19,FALSE)*VENTAS[[#This Row],[Cantidad]],VENTAS[[#This Row],[Total]])</f>
        <v>15.325</v>
      </c>
      <c r="L340" s="14">
        <f>VENTAS[[#This Row],[Total]]-VENTAS[[#This Row],[Comisión 10%]]-VENTAS[[#This Row],[Costo SIN Comision]]</f>
        <v>9.675</v>
      </c>
      <c r="M340" s="14"/>
    </row>
    <row r="341" ht="20" hidden="1" customHeight="1" spans="1:13">
      <c r="A341" s="10">
        <v>45116</v>
      </c>
      <c r="B341" s="11"/>
      <c r="C341" s="11"/>
      <c r="D341" s="11"/>
      <c r="E341" s="11" t="s">
        <v>63</v>
      </c>
      <c r="F341" s="11" t="str">
        <f>IFERROR(VLOOKUP(VENTAS[[#This Row],[Código del producto Vendido]],STOCK[],5,FALSE),"-")</f>
        <v>Bikini Mangas Fuccia</v>
      </c>
      <c r="G341" s="11">
        <v>1</v>
      </c>
      <c r="H341" s="14">
        <v>22</v>
      </c>
      <c r="I341" s="14">
        <f>VENTAS[[#This Row],[Cantidad]]*VENTAS[[#This Row],[Precio Venta]]</f>
        <v>22</v>
      </c>
      <c r="J341" s="14">
        <f>IF(VENTAS[[#This Row],[Nombre del Gestor]]&gt;1,VENTAS[[#This Row],[Total]]*10%,0)</f>
        <v>0</v>
      </c>
      <c r="K341" s="14">
        <f>IFERROR(VLOOKUP(VENTAS[[#This Row],[Código del producto Vendido]],STOCK[],16,FALSE)*VENTAS[[#This Row],[Cantidad]]+VLOOKUP(VENTAS[[#This Row],[Código del producto Vendido]],STOCK[],19,FALSE)*VENTAS[[#This Row],[Cantidad]],VENTAS[[#This Row],[Total]])</f>
        <v>14.495</v>
      </c>
      <c r="L341" s="14">
        <f>VENTAS[[#This Row],[Total]]-VENTAS[[#This Row],[Comisión 10%]]-VENTAS[[#This Row],[Costo SIN Comision]]</f>
        <v>7.505</v>
      </c>
      <c r="M341" s="14"/>
    </row>
    <row r="342" ht="20" hidden="1" customHeight="1" spans="1:13">
      <c r="A342" s="10">
        <v>45116</v>
      </c>
      <c r="B342" s="11"/>
      <c r="C342" s="11"/>
      <c r="D342" s="11"/>
      <c r="E342" s="11" t="s">
        <v>113</v>
      </c>
      <c r="F342" s="11" t="str">
        <f>IFERROR(VLOOKUP(VENTAS[[#This Row],[Código del producto Vendido]],STOCK[],5,FALSE),"-")</f>
        <v>Bikini Floral</v>
      </c>
      <c r="G342" s="11">
        <v>1</v>
      </c>
      <c r="H342" s="14">
        <v>28</v>
      </c>
      <c r="I342" s="14">
        <f>VENTAS[[#This Row],[Cantidad]]*VENTAS[[#This Row],[Precio Venta]]</f>
        <v>28</v>
      </c>
      <c r="J342" s="14">
        <f>IF(VENTAS[[#This Row],[Nombre del Gestor]]&gt;1,VENTAS[[#This Row],[Total]]*10%,0)</f>
        <v>0</v>
      </c>
      <c r="K342" s="14">
        <f>IFERROR(VLOOKUP(VENTAS[[#This Row],[Código del producto Vendido]],STOCK[],16,FALSE)*VENTAS[[#This Row],[Cantidad]]+VLOOKUP(VENTAS[[#This Row],[Código del producto Vendido]],STOCK[],19,FALSE)*VENTAS[[#This Row],[Cantidad]],VENTAS[[#This Row],[Total]])</f>
        <v>18.7338888888889</v>
      </c>
      <c r="L342" s="14">
        <f>VENTAS[[#This Row],[Total]]-VENTAS[[#This Row],[Comisión 10%]]-VENTAS[[#This Row],[Costo SIN Comision]]</f>
        <v>9.2661111111111</v>
      </c>
      <c r="M342" s="14"/>
    </row>
    <row r="343" ht="20" hidden="1" customHeight="1" spans="1:13">
      <c r="A343" s="10">
        <v>45116</v>
      </c>
      <c r="B343" s="11"/>
      <c r="C343" s="11"/>
      <c r="D343" s="11"/>
      <c r="E343" s="11" t="s">
        <v>159</v>
      </c>
      <c r="F343" s="11" t="str">
        <f>IFERROR(VLOOKUP(VENTAS[[#This Row],[Código del producto Vendido]],STOCK[],5,FALSE),"-")</f>
        <v>Bañador con estampado floral</v>
      </c>
      <c r="G343" s="11">
        <v>1</v>
      </c>
      <c r="H343" s="14">
        <v>28</v>
      </c>
      <c r="I343" s="14">
        <f>VENTAS[[#This Row],[Cantidad]]*VENTAS[[#This Row],[Precio Venta]]</f>
        <v>28</v>
      </c>
      <c r="J343" s="14">
        <f>IF(VENTAS[[#This Row],[Nombre del Gestor]]&gt;1,VENTAS[[#This Row],[Total]]*10%,0)</f>
        <v>0</v>
      </c>
      <c r="K343" s="14">
        <f>IFERROR(VLOOKUP(VENTAS[[#This Row],[Código del producto Vendido]],STOCK[],16,FALSE)*VENTAS[[#This Row],[Cantidad]]+VLOOKUP(VENTAS[[#This Row],[Código del producto Vendido]],STOCK[],19,FALSE)*VENTAS[[#This Row],[Cantidad]],VENTAS[[#This Row],[Total]])</f>
        <v>18.3088888888889</v>
      </c>
      <c r="L343" s="14">
        <f>VENTAS[[#This Row],[Total]]-VENTAS[[#This Row],[Comisión 10%]]-VENTAS[[#This Row],[Costo SIN Comision]]</f>
        <v>9.6911111111111</v>
      </c>
      <c r="M343" s="14"/>
    </row>
    <row r="344" ht="20" hidden="1" customHeight="1" spans="1:13">
      <c r="A344" s="10">
        <v>45116</v>
      </c>
      <c r="B344" s="11"/>
      <c r="C344" s="11"/>
      <c r="D344" s="11"/>
      <c r="E344" s="11" t="s">
        <v>1099</v>
      </c>
      <c r="F344" s="11" t="str">
        <f>IFERROR(VLOOKUP(VENTAS[[#This Row],[Código del producto Vendido]],STOCK[],5,FALSE),"-")</f>
        <v>Bañador en contraste azul</v>
      </c>
      <c r="G344" s="11">
        <v>1</v>
      </c>
      <c r="H344" s="14">
        <v>28</v>
      </c>
      <c r="I344" s="14">
        <f>VENTAS[[#This Row],[Cantidad]]*VENTAS[[#This Row],[Precio Venta]]</f>
        <v>28</v>
      </c>
      <c r="J344" s="14">
        <f>IF(VENTAS[[#This Row],[Nombre del Gestor]]&gt;1,VENTAS[[#This Row],[Total]]*10%,0)</f>
        <v>0</v>
      </c>
      <c r="K344" s="14">
        <f>IFERROR(VLOOKUP(VENTAS[[#This Row],[Código del producto Vendido]],STOCK[],16,FALSE)*VENTAS[[#This Row],[Cantidad]]+VLOOKUP(VENTAS[[#This Row],[Código del producto Vendido]],STOCK[],19,FALSE)*VENTAS[[#This Row],[Cantidad]],VENTAS[[#This Row],[Total]])</f>
        <v>19.3389705882353</v>
      </c>
      <c r="L344" s="14">
        <f>VENTAS[[#This Row],[Total]]-VENTAS[[#This Row],[Comisión 10%]]-VENTAS[[#This Row],[Costo SIN Comision]]</f>
        <v>8.6610294117647</v>
      </c>
      <c r="M344" s="14"/>
    </row>
    <row r="345" ht="20" hidden="1" customHeight="1" spans="1:13">
      <c r="A345" s="10">
        <v>45116</v>
      </c>
      <c r="B345" s="11"/>
      <c r="C345" s="11"/>
      <c r="D345" s="11"/>
      <c r="E345" s="11" t="s">
        <v>863</v>
      </c>
      <c r="F345" s="11" t="str">
        <f>IFERROR(VLOOKUP(VENTAS[[#This Row],[Código del producto Vendido]],STOCK[],5,FALSE),"-")</f>
        <v>Bikini Rosa canalé</v>
      </c>
      <c r="G345" s="11">
        <v>1</v>
      </c>
      <c r="H345" s="14">
        <v>20</v>
      </c>
      <c r="I345" s="14">
        <f>VENTAS[[#This Row],[Cantidad]]*VENTAS[[#This Row],[Precio Venta]]</f>
        <v>20</v>
      </c>
      <c r="J345" s="14">
        <f>IF(VENTAS[[#This Row],[Nombre del Gestor]]&gt;1,VENTAS[[#This Row],[Total]]*10%,0)</f>
        <v>0</v>
      </c>
      <c r="K345" s="14">
        <f>IFERROR(VLOOKUP(VENTAS[[#This Row],[Código del producto Vendido]],STOCK[],16,FALSE)*VENTAS[[#This Row],[Cantidad]]+VLOOKUP(VENTAS[[#This Row],[Código del producto Vendido]],STOCK[],19,FALSE)*VENTAS[[#This Row],[Cantidad]],VENTAS[[#This Row],[Total]])</f>
        <v>13.4444444444444</v>
      </c>
      <c r="L345" s="14">
        <f>VENTAS[[#This Row],[Total]]-VENTAS[[#This Row],[Comisión 10%]]-VENTAS[[#This Row],[Costo SIN Comision]]</f>
        <v>6.5555555555556</v>
      </c>
      <c r="M345" s="14"/>
    </row>
    <row r="346" ht="20" hidden="1" customHeight="1" spans="1:13">
      <c r="A346" s="10">
        <v>45121</v>
      </c>
      <c r="B346" s="11"/>
      <c r="C346" s="11"/>
      <c r="D346" s="11"/>
      <c r="E346" s="11" t="s">
        <v>84</v>
      </c>
      <c r="F346" s="11" t="str">
        <f>IFERROR(VLOOKUP(VENTAS[[#This Row],[Código del producto Vendido]],STOCK[],5,FALSE),"-")</f>
        <v>Enguatada solera sin parte de abajo</v>
      </c>
      <c r="G346" s="11">
        <v>1</v>
      </c>
      <c r="H346" s="14">
        <v>17</v>
      </c>
      <c r="I346" s="14">
        <f>VENTAS[[#This Row],[Cantidad]]*VENTAS[[#This Row],[Precio Venta]]</f>
        <v>17</v>
      </c>
      <c r="J346" s="14">
        <f>IF(VENTAS[[#This Row],[Nombre del Gestor]]&gt;1,VENTAS[[#This Row],[Total]]*10%,0)</f>
        <v>0</v>
      </c>
      <c r="K346" s="14">
        <f>IFERROR(VLOOKUP(VENTAS[[#This Row],[Código del producto Vendido]],STOCK[],16,FALSE)*VENTAS[[#This Row],[Cantidad]]+VLOOKUP(VENTAS[[#This Row],[Código del producto Vendido]],STOCK[],19,FALSE)*VENTAS[[#This Row],[Cantidad]],VENTAS[[#This Row],[Total]])</f>
        <v>13.3316666666667</v>
      </c>
      <c r="L346" s="14">
        <f>VENTAS[[#This Row],[Total]]-VENTAS[[#This Row],[Comisión 10%]]-VENTAS[[#This Row],[Costo SIN Comision]]</f>
        <v>3.66833333333333</v>
      </c>
      <c r="M346" s="14"/>
    </row>
    <row r="347" ht="20" hidden="1" customHeight="1" spans="1:13">
      <c r="A347" s="10">
        <v>45122</v>
      </c>
      <c r="B347" s="11"/>
      <c r="C347" s="11"/>
      <c r="D347" s="11"/>
      <c r="E347" s="11" t="s">
        <v>259</v>
      </c>
      <c r="F347" s="11" t="str">
        <f>IFERROR(VLOOKUP(VENTAS[[#This Row],[Código del producto Vendido]],STOCK[],5,FALSE),"-")</f>
        <v>Top unicolor de hombros con almohadilla</v>
      </c>
      <c r="G347" s="11">
        <v>1</v>
      </c>
      <c r="H347" s="14">
        <v>14</v>
      </c>
      <c r="I347" s="14">
        <f>VENTAS[[#This Row],[Cantidad]]*VENTAS[[#This Row],[Precio Venta]]</f>
        <v>14</v>
      </c>
      <c r="J347" s="14">
        <f>IF(VENTAS[[#This Row],[Nombre del Gestor]]&gt;1,VENTAS[[#This Row],[Total]]*10%,0)</f>
        <v>0</v>
      </c>
      <c r="K347" s="14">
        <f>IFERROR(VLOOKUP(VENTAS[[#This Row],[Código del producto Vendido]],STOCK[],16,FALSE)*VENTAS[[#This Row],[Cantidad]]+VLOOKUP(VENTAS[[#This Row],[Código del producto Vendido]],STOCK[],19,FALSE)*VENTAS[[#This Row],[Cantidad]],VENTAS[[#This Row],[Total]])</f>
        <v>7.51111111111111</v>
      </c>
      <c r="L347" s="14">
        <f>VENTAS[[#This Row],[Total]]-VENTAS[[#This Row],[Comisión 10%]]-VENTAS[[#This Row],[Costo SIN Comision]]</f>
        <v>6.48888888888889</v>
      </c>
      <c r="M347" s="14"/>
    </row>
    <row r="348" ht="20" hidden="1" customHeight="1" spans="1:13">
      <c r="A348" s="29">
        <v>45121</v>
      </c>
      <c r="B348" s="11"/>
      <c r="C348" s="11"/>
      <c r="D348" s="11"/>
      <c r="E348" s="11" t="s">
        <v>797</v>
      </c>
      <c r="F348" s="11" t="str">
        <f>IFERROR(VLOOKUP(VENTAS[[#This Row],[Código del producto Vendido]],STOCK[],5,FALSE),"-")</f>
        <v>Bañador floreado</v>
      </c>
      <c r="G348" s="11">
        <v>1</v>
      </c>
      <c r="H348" s="14">
        <v>20</v>
      </c>
      <c r="I348" s="14">
        <f>VENTAS[[#This Row],[Cantidad]]*VENTAS[[#This Row],[Precio Venta]]</f>
        <v>20</v>
      </c>
      <c r="J348" s="14">
        <f>IF(VENTAS[[#This Row],[Nombre del Gestor]]&gt;1,VENTAS[[#This Row],[Total]]*10%,0)</f>
        <v>0</v>
      </c>
      <c r="K348" s="14">
        <f>IFERROR(VLOOKUP(VENTAS[[#This Row],[Código del producto Vendido]],STOCK[],16,FALSE)*VENTAS[[#This Row],[Cantidad]]+VLOOKUP(VENTAS[[#This Row],[Código del producto Vendido]],STOCK[],19,FALSE)*VENTAS[[#This Row],[Cantidad]],VENTAS[[#This Row],[Total]])</f>
        <v>11.7222222222222</v>
      </c>
      <c r="L348" s="14">
        <f>VENTAS[[#This Row],[Total]]-VENTAS[[#This Row],[Comisión 10%]]-VENTAS[[#This Row],[Costo SIN Comision]]</f>
        <v>8.27777777777778</v>
      </c>
      <c r="M348" s="14"/>
    </row>
    <row r="349" ht="20" hidden="1" customHeight="1" spans="1:13">
      <c r="A349" s="29">
        <v>45122</v>
      </c>
      <c r="B349" s="11"/>
      <c r="C349" s="11"/>
      <c r="D349" s="11"/>
      <c r="E349" s="11" t="s">
        <v>806</v>
      </c>
      <c r="F349" s="11" t="str">
        <f>IFERROR(VLOOKUP(VENTAS[[#This Row],[Código del producto Vendido]],STOCK[],5,FALSE),"-")</f>
        <v> Bañador espalda descubierta</v>
      </c>
      <c r="G349" s="11">
        <v>1</v>
      </c>
      <c r="H349" s="14">
        <v>20</v>
      </c>
      <c r="I349" s="14">
        <f>VENTAS[[#This Row],[Cantidad]]*VENTAS[[#This Row],[Precio Venta]]</f>
        <v>20</v>
      </c>
      <c r="J349" s="14">
        <f>IF(VENTAS[[#This Row],[Nombre del Gestor]]&gt;1,VENTAS[[#This Row],[Total]]*10%,0)</f>
        <v>0</v>
      </c>
      <c r="K349" s="14">
        <f>IFERROR(VLOOKUP(VENTAS[[#This Row],[Código del producto Vendido]],STOCK[],16,FALSE)*VENTAS[[#This Row],[Cantidad]]+VLOOKUP(VENTAS[[#This Row],[Código del producto Vendido]],STOCK[],19,FALSE)*VENTAS[[#This Row],[Cantidad]],VENTAS[[#This Row],[Total]])</f>
        <v>15.5555555555556</v>
      </c>
      <c r="L349" s="14">
        <f>VENTAS[[#This Row],[Total]]-VENTAS[[#This Row],[Comisión 10%]]-VENTAS[[#This Row],[Costo SIN Comision]]</f>
        <v>4.4444444444444</v>
      </c>
      <c r="M349" s="14"/>
    </row>
    <row r="350" ht="20" hidden="1" customHeight="1" spans="1:13">
      <c r="A350" s="29">
        <v>45122</v>
      </c>
      <c r="B350" s="11"/>
      <c r="C350" s="11"/>
      <c r="D350" s="11"/>
      <c r="E350" s="11" t="s">
        <v>409</v>
      </c>
      <c r="F350" s="11" t="str">
        <f>IFERROR(VLOOKUP(VENTAS[[#This Row],[Código del producto Vendido]],STOCK[],5,FALSE),"-")</f>
        <v>Bañador una pieza de color combinado </v>
      </c>
      <c r="G350" s="11">
        <v>1</v>
      </c>
      <c r="H350" s="14">
        <v>20</v>
      </c>
      <c r="I350" s="14">
        <f>VENTAS[[#This Row],[Cantidad]]*VENTAS[[#This Row],[Precio Venta]]</f>
        <v>20</v>
      </c>
      <c r="J350" s="14">
        <f>IF(VENTAS[[#This Row],[Nombre del Gestor]]&gt;1,VENTAS[[#This Row],[Total]]*10%,0)</f>
        <v>0</v>
      </c>
      <c r="K350" s="14">
        <f>IFERROR(VLOOKUP(VENTAS[[#This Row],[Código del producto Vendido]],STOCK[],16,FALSE)*VENTAS[[#This Row],[Cantidad]]+VLOOKUP(VENTAS[[#This Row],[Código del producto Vendido]],STOCK[],19,FALSE)*VENTAS[[#This Row],[Cantidad]],VENTAS[[#This Row],[Total]])</f>
        <v>9.66666666666667</v>
      </c>
      <c r="L350" s="14">
        <f>VENTAS[[#This Row],[Total]]-VENTAS[[#This Row],[Comisión 10%]]-VENTAS[[#This Row],[Costo SIN Comision]]</f>
        <v>10.3333333333333</v>
      </c>
      <c r="M350" s="14"/>
    </row>
    <row r="351" ht="20" hidden="1" customHeight="1" spans="1:13">
      <c r="A351" s="29">
        <v>45122</v>
      </c>
      <c r="B351" s="11"/>
      <c r="C351" s="11"/>
      <c r="D351" s="11"/>
      <c r="E351" s="11" t="s">
        <v>908</v>
      </c>
      <c r="F351" s="11" t="str">
        <f>IFERROR(VLOOKUP(VENTAS[[#This Row],[Código del producto Vendido]],STOCK[],5,FALSE),"-")</f>
        <v> Top Cuello V Verde</v>
      </c>
      <c r="G351" s="11">
        <v>1</v>
      </c>
      <c r="H351" s="14">
        <v>12</v>
      </c>
      <c r="I351" s="14">
        <f>VENTAS[[#This Row],[Cantidad]]*VENTAS[[#This Row],[Precio Venta]]</f>
        <v>12</v>
      </c>
      <c r="J351" s="14">
        <f>IF(VENTAS[[#This Row],[Nombre del Gestor]]&gt;1,VENTAS[[#This Row],[Total]]*10%,0)</f>
        <v>0</v>
      </c>
      <c r="K351" s="14">
        <f>IFERROR(VLOOKUP(VENTAS[[#This Row],[Código del producto Vendido]],STOCK[],16,FALSE)*VENTAS[[#This Row],[Cantidad]]+VLOOKUP(VENTAS[[#This Row],[Código del producto Vendido]],STOCK[],19,FALSE)*VENTAS[[#This Row],[Cantidad]],VENTAS[[#This Row],[Total]])</f>
        <v>8.00545454545454</v>
      </c>
      <c r="L351" s="14">
        <f>VENTAS[[#This Row],[Total]]-VENTAS[[#This Row],[Comisión 10%]]-VENTAS[[#This Row],[Costo SIN Comision]]</f>
        <v>3.99454545454546</v>
      </c>
      <c r="M351" s="14"/>
    </row>
    <row r="352" ht="20" hidden="1" customHeight="1" spans="1:13">
      <c r="A352" s="29">
        <v>45122</v>
      </c>
      <c r="B352" s="11"/>
      <c r="C352" s="11"/>
      <c r="D352" s="11"/>
      <c r="E352" s="11" t="s">
        <v>1030</v>
      </c>
      <c r="F352" s="11" t="str">
        <f>IFERROR(VLOOKUP(VENTAS[[#This Row],[Código del producto Vendido]],STOCK[],5,FALSE),"-")</f>
        <v>Top cuello V Blanco</v>
      </c>
      <c r="G352" s="11">
        <v>1</v>
      </c>
      <c r="H352" s="14">
        <v>12</v>
      </c>
      <c r="I352" s="14">
        <f>VENTAS[[#This Row],[Cantidad]]*VENTAS[[#This Row],[Precio Venta]]</f>
        <v>12</v>
      </c>
      <c r="J352" s="14">
        <f>IF(VENTAS[[#This Row],[Nombre del Gestor]]&gt;1,VENTAS[[#This Row],[Total]]*10%,0)</f>
        <v>0</v>
      </c>
      <c r="K352" s="14">
        <f>IFERROR(VLOOKUP(VENTAS[[#This Row],[Código del producto Vendido]],STOCK[],16,FALSE)*VENTAS[[#This Row],[Cantidad]]+VLOOKUP(VENTAS[[#This Row],[Código del producto Vendido]],STOCK[],19,FALSE)*VENTAS[[#This Row],[Cantidad]],VENTAS[[#This Row],[Total]])</f>
        <v>7.75568181818182</v>
      </c>
      <c r="L352" s="14">
        <f>VENTAS[[#This Row],[Total]]-VENTAS[[#This Row],[Comisión 10%]]-VENTAS[[#This Row],[Costo SIN Comision]]</f>
        <v>4.24431818181818</v>
      </c>
      <c r="M352" s="14"/>
    </row>
    <row r="353" ht="20" hidden="1" customHeight="1" spans="1:13">
      <c r="A353" s="29">
        <v>45124</v>
      </c>
      <c r="B353" s="11"/>
      <c r="C353" s="11"/>
      <c r="D353" s="11"/>
      <c r="E353" s="11" t="s">
        <v>1034</v>
      </c>
      <c r="F353" s="11" t="str">
        <f>IFERROR(VLOOKUP(VENTAS[[#This Row],[Código del producto Vendido]],STOCK[],5,FALSE),"-")</f>
        <v>Jenas Ajustados Oscuro</v>
      </c>
      <c r="G353" s="11">
        <v>1</v>
      </c>
      <c r="H353" s="14">
        <v>35</v>
      </c>
      <c r="I353" s="14">
        <f>VENTAS[[#This Row],[Cantidad]]*VENTAS[[#This Row],[Precio Venta]]</f>
        <v>35</v>
      </c>
      <c r="J353" s="14">
        <f>IF(VENTAS[[#This Row],[Nombre del Gestor]]&gt;1,VENTAS[[#This Row],[Total]]*10%,0)</f>
        <v>0</v>
      </c>
      <c r="K353" s="14">
        <f>IFERROR(VLOOKUP(VENTAS[[#This Row],[Código del producto Vendido]],STOCK[],16,FALSE)*VENTAS[[#This Row],[Cantidad]]+VLOOKUP(VENTAS[[#This Row],[Código del producto Vendido]],STOCK[],19,FALSE)*VENTAS[[#This Row],[Cantidad]],VENTAS[[#This Row],[Total]])</f>
        <v>24.6818181818182</v>
      </c>
      <c r="L353" s="14">
        <f>VENTAS[[#This Row],[Total]]-VENTAS[[#This Row],[Comisión 10%]]-VENTAS[[#This Row],[Costo SIN Comision]]</f>
        <v>10.3181818181818</v>
      </c>
      <c r="M353" s="14"/>
    </row>
    <row r="354" ht="20" hidden="1" customHeight="1" spans="1:13">
      <c r="A354" s="29">
        <v>45124</v>
      </c>
      <c r="B354" s="11"/>
      <c r="C354" s="11"/>
      <c r="D354" s="11"/>
      <c r="E354" s="11" t="s">
        <v>31</v>
      </c>
      <c r="F354" s="11" t="str">
        <f>IFERROR(VLOOKUP(VENTAS[[#This Row],[Código del producto Vendido]],STOCK[],5,FALSE),"-")</f>
        <v>Pareo falda </v>
      </c>
      <c r="G354" s="11">
        <v>1</v>
      </c>
      <c r="H354" s="14">
        <v>8</v>
      </c>
      <c r="I354" s="14">
        <f>VENTAS[[#This Row],[Cantidad]]*VENTAS[[#This Row],[Precio Venta]]</f>
        <v>8</v>
      </c>
      <c r="J354" s="14">
        <f>IF(VENTAS[[#This Row],[Nombre del Gestor]]&gt;1,VENTAS[[#This Row],[Total]]*10%,0)</f>
        <v>0</v>
      </c>
      <c r="K354" s="14">
        <f>IFERROR(VLOOKUP(VENTAS[[#This Row],[Código del producto Vendido]],STOCK[],16,FALSE)*VENTAS[[#This Row],[Cantidad]]+VLOOKUP(VENTAS[[#This Row],[Código del producto Vendido]],STOCK[],19,FALSE)*VENTAS[[#This Row],[Cantidad]],VENTAS[[#This Row],[Total]])</f>
        <v>4.33722222222222</v>
      </c>
      <c r="L354" s="14">
        <f>VENTAS[[#This Row],[Total]]-VENTAS[[#This Row],[Comisión 10%]]-VENTAS[[#This Row],[Costo SIN Comision]]</f>
        <v>3.66277777777778</v>
      </c>
      <c r="M354" s="14"/>
    </row>
    <row r="355" ht="20" hidden="1" customHeight="1" spans="1:13">
      <c r="A355" s="29">
        <v>45124</v>
      </c>
      <c r="B355" s="11"/>
      <c r="C355" s="11"/>
      <c r="D355" s="11"/>
      <c r="E355" s="11" t="s">
        <v>452</v>
      </c>
      <c r="F355" s="11" t="str">
        <f>IFERROR(VLOOKUP(VENTAS[[#This Row],[Código del producto Vendido]],STOCK[],5,FALSE),"-")</f>
        <v>Bañador bikini de manga raglán con cordón floral</v>
      </c>
      <c r="G355" s="11">
        <v>1</v>
      </c>
      <c r="H355" s="14">
        <v>25</v>
      </c>
      <c r="I355" s="14">
        <f>VENTAS[[#This Row],[Cantidad]]*VENTAS[[#This Row],[Precio Venta]]</f>
        <v>25</v>
      </c>
      <c r="J355" s="14">
        <f>IF(VENTAS[[#This Row],[Nombre del Gestor]]&gt;1,VENTAS[[#This Row],[Total]]*10%,0)</f>
        <v>0</v>
      </c>
      <c r="K355" s="14">
        <f>IFERROR(VLOOKUP(VENTAS[[#This Row],[Código del producto Vendido]],STOCK[],16,FALSE)*VENTAS[[#This Row],[Cantidad]]+VLOOKUP(VENTAS[[#This Row],[Código del producto Vendido]],STOCK[],19,FALSE)*VENTAS[[#This Row],[Cantidad]],VENTAS[[#This Row],[Total]])</f>
        <v>19.7944444444444</v>
      </c>
      <c r="L355" s="14">
        <f>VENTAS[[#This Row],[Total]]-VENTAS[[#This Row],[Comisión 10%]]-VENTAS[[#This Row],[Costo SIN Comision]]</f>
        <v>5.2055555555556</v>
      </c>
      <c r="M355" s="14"/>
    </row>
    <row r="356" ht="20" hidden="1" customHeight="1" spans="1:13">
      <c r="A356" s="29">
        <v>45124</v>
      </c>
      <c r="B356" s="11"/>
      <c r="C356" s="11"/>
      <c r="D356" s="11"/>
      <c r="E356" s="11" t="s">
        <v>106</v>
      </c>
      <c r="F356" s="11" t="str">
        <f>IFERROR(VLOOKUP(VENTAS[[#This Row],[Código del producto Vendido]],STOCK[],5,FALSE),"-")</f>
        <v>Bikini Elegante con Herrajes</v>
      </c>
      <c r="G356" s="11">
        <v>1</v>
      </c>
      <c r="H356" s="14">
        <v>18</v>
      </c>
      <c r="I356" s="14">
        <f>VENTAS[[#This Row],[Cantidad]]*VENTAS[[#This Row],[Precio Venta]]</f>
        <v>18</v>
      </c>
      <c r="J356" s="14">
        <f>IF(VENTAS[[#This Row],[Nombre del Gestor]]&gt;1,VENTAS[[#This Row],[Total]]*10%,0)</f>
        <v>0</v>
      </c>
      <c r="K356" s="14">
        <f>IFERROR(VLOOKUP(VENTAS[[#This Row],[Código del producto Vendido]],STOCK[],16,FALSE)*VENTAS[[#This Row],[Cantidad]]+VLOOKUP(VENTAS[[#This Row],[Código del producto Vendido]],STOCK[],19,FALSE)*VENTAS[[#This Row],[Cantidad]],VENTAS[[#This Row],[Total]])</f>
        <v>12.4194444444444</v>
      </c>
      <c r="L356" s="14">
        <f>VENTAS[[#This Row],[Total]]-VENTAS[[#This Row],[Comisión 10%]]-VENTAS[[#This Row],[Costo SIN Comision]]</f>
        <v>5.58055555555556</v>
      </c>
      <c r="M356" s="14"/>
    </row>
    <row r="357" ht="20" hidden="1" customHeight="1" spans="1:13">
      <c r="A357" s="29">
        <v>45125</v>
      </c>
      <c r="B357" s="11"/>
      <c r="C357" s="11"/>
      <c r="D357" s="11"/>
      <c r="E357" s="11" t="s">
        <v>41</v>
      </c>
      <c r="F357" s="11" t="str">
        <f>IFERROR(VLOOKUP(VENTAS[[#This Row],[Código del producto Vendido]],STOCK[],5,FALSE),"-")</f>
        <v>Bikini Floral</v>
      </c>
      <c r="G357" s="11">
        <v>1</v>
      </c>
      <c r="H357" s="14">
        <v>25</v>
      </c>
      <c r="I357" s="14">
        <f>VENTAS[[#This Row],[Cantidad]]*VENTAS[[#This Row],[Precio Venta]]</f>
        <v>25</v>
      </c>
      <c r="J357" s="14">
        <f>IF(VENTAS[[#This Row],[Nombre del Gestor]]&gt;1,VENTAS[[#This Row],[Total]]*10%,0)</f>
        <v>0</v>
      </c>
      <c r="K357" s="14">
        <f>IFERROR(VLOOKUP(VENTAS[[#This Row],[Código del producto Vendido]],STOCK[],16,FALSE)*VENTAS[[#This Row],[Cantidad]]+VLOOKUP(VENTAS[[#This Row],[Código del producto Vendido]],STOCK[],19,FALSE)*VENTAS[[#This Row],[Cantidad]],VENTAS[[#This Row],[Total]])</f>
        <v>19.5611111111111</v>
      </c>
      <c r="L357" s="14">
        <f>VENTAS[[#This Row],[Total]]-VENTAS[[#This Row],[Comisión 10%]]-VENTAS[[#This Row],[Costo SIN Comision]]</f>
        <v>5.4388888888889</v>
      </c>
      <c r="M357" s="14"/>
    </row>
    <row r="358" ht="20" hidden="1" customHeight="1" spans="1:13">
      <c r="A358" s="29">
        <v>45128</v>
      </c>
      <c r="B358" s="11"/>
      <c r="C358" s="11"/>
      <c r="D358" s="11"/>
      <c r="E358" s="11" t="s">
        <v>41</v>
      </c>
      <c r="F358" s="11" t="str">
        <f>IFERROR(VLOOKUP(VENTAS[[#This Row],[Código del producto Vendido]],STOCK[],5,FALSE),"-")</f>
        <v>Bikini Floral</v>
      </c>
      <c r="G358" s="11">
        <v>1</v>
      </c>
      <c r="H358" s="14">
        <v>25</v>
      </c>
      <c r="I358" s="14">
        <f>VENTAS[[#This Row],[Cantidad]]*VENTAS[[#This Row],[Precio Venta]]</f>
        <v>25</v>
      </c>
      <c r="J358" s="14">
        <f>IF(VENTAS[[#This Row],[Nombre del Gestor]]&gt;1,VENTAS[[#This Row],[Total]]*10%,0)</f>
        <v>0</v>
      </c>
      <c r="K358" s="14">
        <f>IFERROR(VLOOKUP(VENTAS[[#This Row],[Código del producto Vendido]],STOCK[],16,FALSE)*VENTAS[[#This Row],[Cantidad]]+VLOOKUP(VENTAS[[#This Row],[Código del producto Vendido]],STOCK[],19,FALSE)*VENTAS[[#This Row],[Cantidad]],VENTAS[[#This Row],[Total]])</f>
        <v>19.5611111111111</v>
      </c>
      <c r="L358" s="14">
        <f>VENTAS[[#This Row],[Total]]-VENTAS[[#This Row],[Comisión 10%]]-VENTAS[[#This Row],[Costo SIN Comision]]</f>
        <v>5.4388888888889</v>
      </c>
      <c r="M358" s="14"/>
    </row>
    <row r="359" ht="20" hidden="1" customHeight="1" spans="1:13">
      <c r="A359" s="30">
        <v>45133</v>
      </c>
      <c r="B359" s="20" t="s">
        <v>4136</v>
      </c>
      <c r="C359" s="20"/>
      <c r="D359" s="20"/>
      <c r="E359" s="35" t="s">
        <v>455</v>
      </c>
      <c r="F359" s="20" t="str">
        <f>IFERROR(VLOOKUP(VENTAS[[#This Row],[Código del producto Vendido]],STOCK[],5,FALSE),"-")</f>
        <v>Bikini de manga y short floreado</v>
      </c>
      <c r="G359" s="20">
        <v>1</v>
      </c>
      <c r="H359" s="22">
        <v>25</v>
      </c>
      <c r="I359" s="14">
        <f>VENTAS[[#This Row],[Cantidad]]*VENTAS[[#This Row],[Precio Venta]]</f>
        <v>25</v>
      </c>
      <c r="J359" s="14">
        <f>IF(VENTAS[[#This Row],[Nombre del Gestor]]&gt;1,VENTAS[[#This Row],[Total]]*10%,0)</f>
        <v>0</v>
      </c>
      <c r="K359" s="14">
        <f>IFERROR(VLOOKUP(VENTAS[[#This Row],[Código del producto Vendido]],STOCK[],16,FALSE)*VENTAS[[#This Row],[Cantidad]]+VLOOKUP(VENTAS[[#This Row],[Código del producto Vendido]],STOCK[],19,FALSE)*VENTAS[[#This Row],[Cantidad]],VENTAS[[#This Row],[Total]])</f>
        <v>16.6444444444444</v>
      </c>
      <c r="L359" s="14">
        <f>VENTAS[[#This Row],[Total]]-VENTAS[[#This Row],[Comisión 10%]]-VENTAS[[#This Row],[Costo SIN Comision]]</f>
        <v>8.3555555555556</v>
      </c>
      <c r="M359" s="14"/>
    </row>
    <row r="360" ht="20" hidden="1" customHeight="1" spans="1:13">
      <c r="A360" s="29">
        <v>45133</v>
      </c>
      <c r="B360" s="11"/>
      <c r="C360" s="11"/>
      <c r="D360" s="11"/>
      <c r="E360" s="11" t="s">
        <v>122</v>
      </c>
      <c r="F360" s="11" t="str">
        <f>IFERROR(VLOOKUP(VENTAS[[#This Row],[Código del producto Vendido]],STOCK[],5,FALSE),"-")</f>
        <v>Bañador una pieza tropical</v>
      </c>
      <c r="G360" s="11">
        <v>1</v>
      </c>
      <c r="H360" s="14">
        <v>25</v>
      </c>
      <c r="I360" s="14">
        <f>VENTAS[[#This Row],[Cantidad]]*VENTAS[[#This Row],[Precio Venta]]</f>
        <v>25</v>
      </c>
      <c r="J360" s="14">
        <f>IF(VENTAS[[#This Row],[Nombre del Gestor]]&gt;1,VENTAS[[#This Row],[Total]]*10%,0)</f>
        <v>0</v>
      </c>
      <c r="K360" s="14">
        <f>IFERROR(VLOOKUP(VENTAS[[#This Row],[Código del producto Vendido]],STOCK[],16,FALSE)*VENTAS[[#This Row],[Cantidad]]+VLOOKUP(VENTAS[[#This Row],[Código del producto Vendido]],STOCK[],19,FALSE)*VENTAS[[#This Row],[Cantidad]],VENTAS[[#This Row],[Total]])</f>
        <v>14.5111111111111</v>
      </c>
      <c r="L360" s="14">
        <f>VENTAS[[#This Row],[Total]]-VENTAS[[#This Row],[Comisión 10%]]-VENTAS[[#This Row],[Costo SIN Comision]]</f>
        <v>10.4888888888889</v>
      </c>
      <c r="M360" s="14"/>
    </row>
    <row r="361" ht="20" hidden="1" customHeight="1" spans="1:13">
      <c r="A361" s="29">
        <v>45133</v>
      </c>
      <c r="B361" s="11"/>
      <c r="C361" s="11"/>
      <c r="D361" s="11"/>
      <c r="E361" s="11" t="s">
        <v>304</v>
      </c>
      <c r="F361" s="11" t="str">
        <f>IFERROR(VLOOKUP(VENTAS[[#This Row],[Código del producto Vendido]],STOCK[],5,FALSE),"-")</f>
        <v>Jumpsuit palazzo de tie dye</v>
      </c>
      <c r="G361" s="11">
        <v>1</v>
      </c>
      <c r="H361" s="14">
        <v>30</v>
      </c>
      <c r="I361" s="14">
        <f>VENTAS[[#This Row],[Cantidad]]*VENTAS[[#This Row],[Precio Venta]]</f>
        <v>30</v>
      </c>
      <c r="J361" s="14">
        <f>IF(VENTAS[[#This Row],[Nombre del Gestor]]&gt;1,VENTAS[[#This Row],[Total]]*10%,0)</f>
        <v>0</v>
      </c>
      <c r="K361" s="14">
        <f>IFERROR(VLOOKUP(VENTAS[[#This Row],[Código del producto Vendido]],STOCK[],16,FALSE)*VENTAS[[#This Row],[Cantidad]]+VLOOKUP(VENTAS[[#This Row],[Código del producto Vendido]],STOCK[],19,FALSE)*VENTAS[[#This Row],[Cantidad]],VENTAS[[#This Row],[Total]])</f>
        <v>16.3333333333333</v>
      </c>
      <c r="L361" s="14">
        <f>VENTAS[[#This Row],[Total]]-VENTAS[[#This Row],[Comisión 10%]]-VENTAS[[#This Row],[Costo SIN Comision]]</f>
        <v>13.6666666666667</v>
      </c>
      <c r="M361" s="14"/>
    </row>
    <row r="362" ht="20" hidden="1" customHeight="1" spans="1:13">
      <c r="A362" s="29">
        <v>45133</v>
      </c>
      <c r="B362" s="11"/>
      <c r="C362" s="11"/>
      <c r="D362" s="11"/>
      <c r="E362" s="11" t="s">
        <v>1267</v>
      </c>
      <c r="F362" s="11" t="str">
        <f>IFERROR(VLOOKUP(VENTAS[[#This Row],[Código del producto Vendido]],STOCK[],5,FALSE),"-")</f>
        <v>Top asimétrico blanco</v>
      </c>
      <c r="G362" s="11">
        <v>1</v>
      </c>
      <c r="H362" s="14">
        <v>12</v>
      </c>
      <c r="I362" s="14">
        <f>VENTAS[[#This Row],[Cantidad]]*VENTAS[[#This Row],[Precio Venta]]</f>
        <v>12</v>
      </c>
      <c r="J362" s="14">
        <f>IF(VENTAS[[#This Row],[Nombre del Gestor]]&gt;1,VENTAS[[#This Row],[Total]]*10%,0)</f>
        <v>0</v>
      </c>
      <c r="K362" s="14">
        <f>IFERROR(VLOOKUP(VENTAS[[#This Row],[Código del producto Vendido]],STOCK[],16,FALSE)*VENTAS[[#This Row],[Cantidad]]+VLOOKUP(VENTAS[[#This Row],[Código del producto Vendido]],STOCK[],19,FALSE)*VENTAS[[#This Row],[Cantidad]],VENTAS[[#This Row],[Total]])</f>
        <v>5.77</v>
      </c>
      <c r="L362" s="14">
        <f>VENTAS[[#This Row],[Total]]-VENTAS[[#This Row],[Comisión 10%]]-VENTAS[[#This Row],[Costo SIN Comision]]</f>
        <v>6.23</v>
      </c>
      <c r="M362" s="14"/>
    </row>
    <row r="363" ht="20" hidden="1" customHeight="1" spans="1:13">
      <c r="A363" s="31">
        <v>45133</v>
      </c>
      <c r="B363" s="11"/>
      <c r="C363" s="11"/>
      <c r="D363" s="11"/>
      <c r="E363" s="11" t="s">
        <v>1243</v>
      </c>
      <c r="F363" s="11" t="str">
        <f>IFERROR(VLOOKUP(VENTAS[[#This Row],[Código del producto Vendido]],STOCK[],5,FALSE),"-")</f>
        <v>Cinturón de hebilla dorada</v>
      </c>
      <c r="G363" s="11">
        <v>1</v>
      </c>
      <c r="H363" s="14">
        <v>12</v>
      </c>
      <c r="I363" s="14">
        <f>VENTAS[[#This Row],[Cantidad]]*VENTAS[[#This Row],[Precio Venta]]</f>
        <v>12</v>
      </c>
      <c r="J363" s="14">
        <f>IF(VENTAS[[#This Row],[Nombre del Gestor]]&gt;1,VENTAS[[#This Row],[Total]]*10%,0)</f>
        <v>0</v>
      </c>
      <c r="K363" s="14">
        <f>IFERROR(VLOOKUP(VENTAS[[#This Row],[Código del producto Vendido]],STOCK[],16,FALSE)*VENTAS[[#This Row],[Cantidad]]+VLOOKUP(VENTAS[[#This Row],[Código del producto Vendido]],STOCK[],19,FALSE)*VENTAS[[#This Row],[Cantidad]],VENTAS[[#This Row],[Total]])</f>
        <v>4.09</v>
      </c>
      <c r="L363" s="14">
        <f>VENTAS[[#This Row],[Total]]-VENTAS[[#This Row],[Comisión 10%]]-VENTAS[[#This Row],[Costo SIN Comision]]</f>
        <v>7.91</v>
      </c>
      <c r="M363" s="14"/>
    </row>
    <row r="364" ht="20" hidden="1" customHeight="1" spans="1:13">
      <c r="A364" s="29">
        <v>45133</v>
      </c>
      <c r="B364" s="11"/>
      <c r="C364" s="11"/>
      <c r="D364" s="11"/>
      <c r="E364" s="11" t="s">
        <v>1204</v>
      </c>
      <c r="F364" s="11" t="str">
        <f>IFERROR(VLOOKUP(VENTAS[[#This Row],[Código del producto Vendido]],STOCK[],5,FALSE),"-")</f>
        <v>Camisa Blanca</v>
      </c>
      <c r="G364" s="11">
        <v>1</v>
      </c>
      <c r="H364" s="14">
        <v>20</v>
      </c>
      <c r="I364" s="14">
        <f>VENTAS[[#This Row],[Cantidad]]*VENTAS[[#This Row],[Precio Venta]]</f>
        <v>20</v>
      </c>
      <c r="J364" s="14">
        <f>IF(VENTAS[[#This Row],[Nombre del Gestor]]&gt;1,VENTAS[[#This Row],[Total]]*10%,0)</f>
        <v>0</v>
      </c>
      <c r="K364" s="14">
        <f>IFERROR(VLOOKUP(VENTAS[[#This Row],[Código del producto Vendido]],STOCK[],16,FALSE)*VENTAS[[#This Row],[Cantidad]]+VLOOKUP(VENTAS[[#This Row],[Código del producto Vendido]],STOCK[],19,FALSE)*VENTAS[[#This Row],[Cantidad]],VENTAS[[#This Row],[Total]])</f>
        <v>12.9</v>
      </c>
      <c r="L364" s="14">
        <f>VENTAS[[#This Row],[Total]]-VENTAS[[#This Row],[Comisión 10%]]-VENTAS[[#This Row],[Costo SIN Comision]]</f>
        <v>7.1</v>
      </c>
      <c r="M364" s="14"/>
    </row>
    <row r="365" ht="20" hidden="1" customHeight="1" spans="1:13">
      <c r="A365" s="29">
        <v>45133</v>
      </c>
      <c r="B365" s="11"/>
      <c r="C365" s="11"/>
      <c r="D365" s="11"/>
      <c r="E365" s="11" t="s">
        <v>1163</v>
      </c>
      <c r="F365" s="11" t="str">
        <f>IFERROR(VLOOKUP(VENTAS[[#This Row],[Código del producto Vendido]],STOCK[],5,FALSE),"-")</f>
        <v>Short de mezclilla oscura con doblez</v>
      </c>
      <c r="G365" s="11">
        <v>1</v>
      </c>
      <c r="H365" s="14">
        <v>25</v>
      </c>
      <c r="I365" s="14">
        <f>VENTAS[[#This Row],[Cantidad]]*VENTAS[[#This Row],[Precio Venta]]</f>
        <v>25</v>
      </c>
      <c r="J365" s="14">
        <f>IF(VENTAS[[#This Row],[Nombre del Gestor]]&gt;1,VENTAS[[#This Row],[Total]]*10%,0)</f>
        <v>0</v>
      </c>
      <c r="K365" s="14">
        <f>IFERROR(VLOOKUP(VENTAS[[#This Row],[Código del producto Vendido]],STOCK[],16,FALSE)*VENTAS[[#This Row],[Cantidad]]+VLOOKUP(VENTAS[[#This Row],[Código del producto Vendido]],STOCK[],19,FALSE)*VENTAS[[#This Row],[Cantidad]],VENTAS[[#This Row],[Total]])</f>
        <v>14.29</v>
      </c>
      <c r="L365" s="14">
        <f>VENTAS[[#This Row],[Total]]-VENTAS[[#This Row],[Comisión 10%]]-VENTAS[[#This Row],[Costo SIN Comision]]</f>
        <v>10.71</v>
      </c>
      <c r="M365" s="14"/>
    </row>
    <row r="366" ht="20" hidden="1" customHeight="1" spans="1:13">
      <c r="A366" s="31">
        <v>45133</v>
      </c>
      <c r="B366" s="11"/>
      <c r="C366" s="11"/>
      <c r="D366" s="11"/>
      <c r="E366" s="11" t="s">
        <v>1163</v>
      </c>
      <c r="F366" s="11" t="str">
        <f>IFERROR(VLOOKUP(VENTAS[[#This Row],[Código del producto Vendido]],STOCK[],5,FALSE),"-")</f>
        <v>Short de mezclilla oscura con doblez</v>
      </c>
      <c r="G366" s="11">
        <v>1</v>
      </c>
      <c r="H366" s="14">
        <v>25</v>
      </c>
      <c r="I366" s="14">
        <f>VENTAS[[#This Row],[Cantidad]]*VENTAS[[#This Row],[Precio Venta]]</f>
        <v>25</v>
      </c>
      <c r="J366" s="14">
        <f>IF(VENTAS[[#This Row],[Nombre del Gestor]]&gt;1,VENTAS[[#This Row],[Total]]*10%,0)</f>
        <v>0</v>
      </c>
      <c r="K366" s="14">
        <f>IFERROR(VLOOKUP(VENTAS[[#This Row],[Código del producto Vendido]],STOCK[],16,FALSE)*VENTAS[[#This Row],[Cantidad]]+VLOOKUP(VENTAS[[#This Row],[Código del producto Vendido]],STOCK[],19,FALSE)*VENTAS[[#This Row],[Cantidad]],VENTAS[[#This Row],[Total]])</f>
        <v>14.29</v>
      </c>
      <c r="L366" s="14">
        <f>VENTAS[[#This Row],[Total]]-VENTAS[[#This Row],[Comisión 10%]]-VENTAS[[#This Row],[Costo SIN Comision]]</f>
        <v>10.71</v>
      </c>
      <c r="M366" s="14"/>
    </row>
    <row r="367" ht="20" hidden="1" customHeight="1" spans="1:13">
      <c r="A367" s="29">
        <v>45133</v>
      </c>
      <c r="B367" s="11"/>
      <c r="C367" s="11"/>
      <c r="D367" s="11"/>
      <c r="E367" s="11" t="s">
        <v>1274</v>
      </c>
      <c r="F367" s="11" t="str">
        <f>IFERROR(VLOOKUP(VENTAS[[#This Row],[Código del producto Vendido]],STOCK[],5,FALSE),"-")</f>
        <v>Top de cuello V con encaje</v>
      </c>
      <c r="G367" s="11">
        <v>1</v>
      </c>
      <c r="H367" s="14">
        <v>12</v>
      </c>
      <c r="I367" s="14">
        <f>VENTAS[[#This Row],[Cantidad]]*VENTAS[[#This Row],[Precio Venta]]</f>
        <v>12</v>
      </c>
      <c r="J367" s="14">
        <f>IF(VENTAS[[#This Row],[Nombre del Gestor]]&gt;1,VENTAS[[#This Row],[Total]]*10%,0)</f>
        <v>0</v>
      </c>
      <c r="K367" s="14">
        <f>IFERROR(VLOOKUP(VENTAS[[#This Row],[Código del producto Vendido]],STOCK[],16,FALSE)*VENTAS[[#This Row],[Cantidad]]+VLOOKUP(VENTAS[[#This Row],[Código del producto Vendido]],STOCK[],19,FALSE)*VENTAS[[#This Row],[Cantidad]],VENTAS[[#This Row],[Total]])</f>
        <v>7.97</v>
      </c>
      <c r="L367" s="14">
        <f>VENTAS[[#This Row],[Total]]-VENTAS[[#This Row],[Comisión 10%]]-VENTAS[[#This Row],[Costo SIN Comision]]</f>
        <v>4.03</v>
      </c>
      <c r="M367" s="14"/>
    </row>
    <row r="368" s="2" customFormat="1" ht="20" hidden="1" customHeight="1" spans="1:13">
      <c r="A368" s="32">
        <v>45135</v>
      </c>
      <c r="B368" s="27" t="s">
        <v>4137</v>
      </c>
      <c r="C368" s="27"/>
      <c r="D368" s="27"/>
      <c r="E368" s="36" t="s">
        <v>1233</v>
      </c>
      <c r="F368" s="27" t="str">
        <f>IFERROR(VLOOKUP(VENTAS[[#This Row],[Código del producto Vendido]],STOCK[],5,FALSE),"-")</f>
        <v>Short elegante de pierna ancha con doblez </v>
      </c>
      <c r="G368" s="27">
        <v>1</v>
      </c>
      <c r="H368" s="28">
        <v>20</v>
      </c>
      <c r="I368" s="14">
        <f>VENTAS[[#This Row],[Cantidad]]*VENTAS[[#This Row],[Precio Venta]]</f>
        <v>20</v>
      </c>
      <c r="J368" s="14">
        <f>IF(VENTAS[[#This Row],[Nombre del Gestor]]&gt;1,VENTAS[[#This Row],[Total]]*10%,0)</f>
        <v>0</v>
      </c>
      <c r="K368" s="14">
        <f>IFERROR(VLOOKUP(VENTAS[[#This Row],[Código del producto Vendido]],STOCK[],16,FALSE)*VENTAS[[#This Row],[Cantidad]]+VLOOKUP(VENTAS[[#This Row],[Código del producto Vendido]],STOCK[],19,FALSE)*VENTAS[[#This Row],[Cantidad]],VENTAS[[#This Row],[Total]])</f>
        <v>14.37</v>
      </c>
      <c r="L368" s="14">
        <f>VENTAS[[#This Row],[Total]]-VENTAS[[#This Row],[Comisión 10%]]-VENTAS[[#This Row],[Costo SIN Comision]]</f>
        <v>5.63</v>
      </c>
      <c r="M368" s="22"/>
    </row>
    <row r="369" ht="20" hidden="1" customHeight="1" spans="1:13">
      <c r="A369" s="31">
        <v>45135</v>
      </c>
      <c r="B369" s="11"/>
      <c r="C369" s="11"/>
      <c r="D369" s="11"/>
      <c r="E369" s="11" t="s">
        <v>614</v>
      </c>
      <c r="F369" s="11" t="str">
        <f>IFERROR(VLOOKUP(VENTAS[[#This Row],[Código del producto Vendido]],STOCK[],5,FALSE),"-")</f>
        <v>Camiseta corta de manga farol</v>
      </c>
      <c r="G369" s="11">
        <v>1</v>
      </c>
      <c r="H369" s="14">
        <v>10</v>
      </c>
      <c r="I369" s="14">
        <f>VENTAS[[#This Row],[Cantidad]]*VENTAS[[#This Row],[Precio Venta]]</f>
        <v>10</v>
      </c>
      <c r="J369" s="14">
        <f>IF(VENTAS[[#This Row],[Nombre del Gestor]]&gt;1,VENTAS[[#This Row],[Total]]*10%,0)</f>
        <v>0</v>
      </c>
      <c r="K369" s="14">
        <f>IFERROR(VLOOKUP(VENTAS[[#This Row],[Código del producto Vendido]],STOCK[],16,FALSE)*VENTAS[[#This Row],[Cantidad]]+VLOOKUP(VENTAS[[#This Row],[Código del producto Vendido]],STOCK[],19,FALSE)*VENTAS[[#This Row],[Cantidad]],VENTAS[[#This Row],[Total]])</f>
        <v>5.735</v>
      </c>
      <c r="L369" s="14">
        <f>VENTAS[[#This Row],[Total]]-VENTAS[[#This Row],[Comisión 10%]]-VENTAS[[#This Row],[Costo SIN Comision]]</f>
        <v>4.265</v>
      </c>
      <c r="M369" s="14"/>
    </row>
    <row r="370" ht="20" hidden="1" customHeight="1" spans="1:13">
      <c r="A370" s="31">
        <v>45135</v>
      </c>
      <c r="B370" s="11"/>
      <c r="C370" s="11"/>
      <c r="D370" s="11"/>
      <c r="E370" s="11" t="s">
        <v>1208</v>
      </c>
      <c r="F370" s="11" t="str">
        <f>IFERROR(VLOOKUP(VENTAS[[#This Row],[Código del producto Vendido]],STOCK[],5,FALSE),"-")</f>
        <v>Pantaloneta roja</v>
      </c>
      <c r="G370" s="11">
        <v>1</v>
      </c>
      <c r="H370" s="14">
        <v>20</v>
      </c>
      <c r="I370" s="14">
        <f>VENTAS[[#This Row],[Cantidad]]*VENTAS[[#This Row],[Precio Venta]]</f>
        <v>20</v>
      </c>
      <c r="J370" s="14">
        <f>IF(VENTAS[[#This Row],[Nombre del Gestor]]&gt;1,VENTAS[[#This Row],[Total]]*10%,0)</f>
        <v>0</v>
      </c>
      <c r="K370" s="14">
        <f>IFERROR(VLOOKUP(VENTAS[[#This Row],[Código del producto Vendido]],STOCK[],16,FALSE)*VENTAS[[#This Row],[Cantidad]]+VLOOKUP(VENTAS[[#This Row],[Código del producto Vendido]],STOCK[],19,FALSE)*VENTAS[[#This Row],[Cantidad]],VENTAS[[#This Row],[Total]])</f>
        <v>13.36</v>
      </c>
      <c r="L370" s="14">
        <f>VENTAS[[#This Row],[Total]]-VENTAS[[#This Row],[Comisión 10%]]-VENTAS[[#This Row],[Costo SIN Comision]]</f>
        <v>6.64</v>
      </c>
      <c r="M370" s="14"/>
    </row>
    <row r="371" ht="20" hidden="1" customHeight="1" spans="1:13">
      <c r="A371" s="31">
        <v>45137</v>
      </c>
      <c r="B371" s="11"/>
      <c r="C371" s="11"/>
      <c r="D371" s="11"/>
      <c r="E371" s="11" t="s">
        <v>721</v>
      </c>
      <c r="F371" s="11" t="str">
        <f>IFERROR(VLOOKUP(VENTAS[[#This Row],[Código del producto Vendido]],STOCK[],5,FALSE),"-")</f>
        <v>Top acanalado sin mangas</v>
      </c>
      <c r="G371" s="11">
        <v>1</v>
      </c>
      <c r="H371" s="14">
        <v>10</v>
      </c>
      <c r="I371" s="14">
        <f>VENTAS[[#This Row],[Cantidad]]*VENTAS[[#This Row],[Precio Venta]]</f>
        <v>10</v>
      </c>
      <c r="J371" s="14">
        <f>IF(VENTAS[[#This Row],[Nombre del Gestor]]&gt;1,VENTAS[[#This Row],[Total]]*10%,0)</f>
        <v>0</v>
      </c>
      <c r="K371" s="14">
        <f>IFERROR(VLOOKUP(VENTAS[[#This Row],[Código del producto Vendido]],STOCK[],16,FALSE)*VENTAS[[#This Row],[Cantidad]]+VLOOKUP(VENTAS[[#This Row],[Código del producto Vendido]],STOCK[],19,FALSE)*VENTAS[[#This Row],[Cantidad]],VENTAS[[#This Row],[Total]])</f>
        <v>5.02222222222222</v>
      </c>
      <c r="L371" s="14">
        <f>VENTAS[[#This Row],[Total]]-VENTAS[[#This Row],[Comisión 10%]]-VENTAS[[#This Row],[Costo SIN Comision]]</f>
        <v>4.97777777777778</v>
      </c>
      <c r="M371" s="14"/>
    </row>
    <row r="372" ht="20" hidden="1" customHeight="1" spans="1:13">
      <c r="A372" s="31">
        <v>45137</v>
      </c>
      <c r="B372" s="11"/>
      <c r="C372" s="11"/>
      <c r="D372" s="11"/>
      <c r="E372" s="11" t="s">
        <v>1161</v>
      </c>
      <c r="F372" s="11" t="str">
        <f>IFERROR(VLOOKUP(VENTAS[[#This Row],[Código del producto Vendido]],STOCK[],5,FALSE),"-")</f>
        <v>Pezoneras de silicona</v>
      </c>
      <c r="G372" s="11">
        <v>2</v>
      </c>
      <c r="H372" s="14">
        <v>6</v>
      </c>
      <c r="I372" s="14">
        <f>VENTAS[[#This Row],[Cantidad]]*VENTAS[[#This Row],[Precio Venta]]</f>
        <v>12</v>
      </c>
      <c r="J372" s="14">
        <f>IF(VENTAS[[#This Row],[Nombre del Gestor]]&gt;1,VENTAS[[#This Row],[Total]]*10%,0)</f>
        <v>0</v>
      </c>
      <c r="K372" s="14">
        <f>IFERROR(VLOOKUP(VENTAS[[#This Row],[Código del producto Vendido]],STOCK[],16,FALSE)*VENTAS[[#This Row],[Cantidad]]+VLOOKUP(VENTAS[[#This Row],[Código del producto Vendido]],STOCK[],19,FALSE)*VENTAS[[#This Row],[Cantidad]],VENTAS[[#This Row],[Total]])</f>
        <v>4.06</v>
      </c>
      <c r="L372" s="14">
        <f>VENTAS[[#This Row],[Total]]-VENTAS[[#This Row],[Comisión 10%]]-VENTAS[[#This Row],[Costo SIN Comision]]</f>
        <v>7.94</v>
      </c>
      <c r="M372" s="14"/>
    </row>
    <row r="373" ht="20" hidden="1" customHeight="1" spans="1:13">
      <c r="A373" s="31">
        <v>45137</v>
      </c>
      <c r="B373" s="11"/>
      <c r="C373" s="11"/>
      <c r="D373" s="11"/>
      <c r="E373" s="11" t="s">
        <v>1182</v>
      </c>
      <c r="F373" s="11" t="str">
        <f>IFERROR(VLOOKUP(VENTAS[[#This Row],[Código del producto Vendido]],STOCK[],5,FALSE),"-")</f>
        <v>Short de mezclilla clara con doblez</v>
      </c>
      <c r="G373" s="11">
        <v>1</v>
      </c>
      <c r="H373" s="14">
        <v>25</v>
      </c>
      <c r="I373" s="14">
        <f>VENTAS[[#This Row],[Cantidad]]*VENTAS[[#This Row],[Precio Venta]]</f>
        <v>25</v>
      </c>
      <c r="J373" s="14">
        <f>IF(VENTAS[[#This Row],[Nombre del Gestor]]&gt;1,VENTAS[[#This Row],[Total]]*10%,0)</f>
        <v>0</v>
      </c>
      <c r="K373" s="14">
        <f>IFERROR(VLOOKUP(VENTAS[[#This Row],[Código del producto Vendido]],STOCK[],16,FALSE)*VENTAS[[#This Row],[Cantidad]]+VLOOKUP(VENTAS[[#This Row],[Código del producto Vendido]],STOCK[],19,FALSE)*VENTAS[[#This Row],[Cantidad]],VENTAS[[#This Row],[Total]])</f>
        <v>14.29</v>
      </c>
      <c r="L373" s="14">
        <f>VENTAS[[#This Row],[Total]]-VENTAS[[#This Row],[Comisión 10%]]-VENTAS[[#This Row],[Costo SIN Comision]]</f>
        <v>10.71</v>
      </c>
      <c r="M373" s="14"/>
    </row>
    <row r="374" ht="20" hidden="1" customHeight="1" spans="1:13">
      <c r="A374" s="31">
        <v>45137</v>
      </c>
      <c r="B374" s="11"/>
      <c r="C374" s="11"/>
      <c r="D374" s="11"/>
      <c r="E374" s="11" t="s">
        <v>1273</v>
      </c>
      <c r="F374" s="11" t="str">
        <f>IFERROR(VLOOKUP(VENTAS[[#This Row],[Código del producto Vendido]],STOCK[],5,FALSE),"-")</f>
        <v>Top blanco cuello V con encaje</v>
      </c>
      <c r="G374" s="11">
        <v>1</v>
      </c>
      <c r="H374" s="14">
        <v>12</v>
      </c>
      <c r="I374" s="14">
        <f>VENTAS[[#This Row],[Cantidad]]*VENTAS[[#This Row],[Precio Venta]]</f>
        <v>12</v>
      </c>
      <c r="J374" s="14">
        <f>IF(VENTAS[[#This Row],[Nombre del Gestor]]&gt;1,VENTAS[[#This Row],[Total]]*10%,0)</f>
        <v>0</v>
      </c>
      <c r="K374" s="14">
        <f>IFERROR(VLOOKUP(VENTAS[[#This Row],[Código del producto Vendido]],STOCK[],16,FALSE)*VENTAS[[#This Row],[Cantidad]]+VLOOKUP(VENTAS[[#This Row],[Código del producto Vendido]],STOCK[],19,FALSE)*VENTAS[[#This Row],[Cantidad]],VENTAS[[#This Row],[Total]])</f>
        <v>7.97</v>
      </c>
      <c r="L374" s="14">
        <f>VENTAS[[#This Row],[Total]]-VENTAS[[#This Row],[Comisión 10%]]-VENTAS[[#This Row],[Costo SIN Comision]]</f>
        <v>4.03</v>
      </c>
      <c r="M374" s="14"/>
    </row>
    <row r="375" ht="20" hidden="1" customHeight="1" spans="1:13">
      <c r="A375" s="31">
        <v>45138</v>
      </c>
      <c r="B375" s="11"/>
      <c r="C375" s="11"/>
      <c r="D375" s="11"/>
      <c r="E375" s="11" t="s">
        <v>922</v>
      </c>
      <c r="F375" s="11" t="str">
        <f>IFERROR(VLOOKUP(VENTAS[[#This Row],[Código del producto Vendido]],STOCK[],5,FALSE),"-")</f>
        <v>Vestido de lunares</v>
      </c>
      <c r="G375" s="11">
        <v>1</v>
      </c>
      <c r="H375" s="14">
        <v>22</v>
      </c>
      <c r="I375" s="14">
        <f>VENTAS[[#This Row],[Cantidad]]*VENTAS[[#This Row],[Precio Venta]]</f>
        <v>22</v>
      </c>
      <c r="J375" s="14">
        <f>IF(VENTAS[[#This Row],[Nombre del Gestor]]&gt;1,VENTAS[[#This Row],[Total]]*10%,0)</f>
        <v>0</v>
      </c>
      <c r="K375" s="14">
        <f>IFERROR(VLOOKUP(VENTAS[[#This Row],[Código del producto Vendido]],STOCK[],16,FALSE)*VENTAS[[#This Row],[Cantidad]]+VLOOKUP(VENTAS[[#This Row],[Código del producto Vendido]],STOCK[],19,FALSE)*VENTAS[[#This Row],[Cantidad]],VENTAS[[#This Row],[Total]])</f>
        <v>13.9113636363636</v>
      </c>
      <c r="L375" s="14">
        <f>VENTAS[[#This Row],[Total]]-VENTAS[[#This Row],[Comisión 10%]]-VENTAS[[#This Row],[Costo SIN Comision]]</f>
        <v>8.0886363636364</v>
      </c>
      <c r="M375" s="14"/>
    </row>
    <row r="376" s="3" customFormat="1" ht="20" hidden="1" customHeight="1" spans="1:13">
      <c r="A376" s="33"/>
      <c r="B376" s="11"/>
      <c r="C376" s="11"/>
      <c r="D376" s="11"/>
      <c r="E376" s="11" t="s">
        <v>734</v>
      </c>
      <c r="F376" s="11" t="str">
        <f>IFERROR(VLOOKUP(VENTAS[[#This Row],[Código del producto Vendido]],STOCK[],5,FALSE),"-")</f>
        <v>Vestido corto azul real</v>
      </c>
      <c r="G376" s="11">
        <v>1</v>
      </c>
      <c r="H376" s="14">
        <v>19</v>
      </c>
      <c r="I376" s="14">
        <f>VENTAS[[#This Row],[Cantidad]]*VENTAS[[#This Row],[Precio Venta]]</f>
        <v>19</v>
      </c>
      <c r="J376" s="14">
        <f>IF(VENTAS[[#This Row],[Nombre del Gestor]]&gt;1,VENTAS[[#This Row],[Total]]*10%,0)</f>
        <v>0</v>
      </c>
      <c r="K376" s="14">
        <f>IFERROR(VLOOKUP(VENTAS[[#This Row],[Código del producto Vendido]],STOCK[],16,FALSE)*VENTAS[[#This Row],[Cantidad]]+VLOOKUP(VENTAS[[#This Row],[Código del producto Vendido]],STOCK[],19,FALSE)*VENTAS[[#This Row],[Cantidad]],VENTAS[[#This Row],[Total]])</f>
        <v>11.9444444444444</v>
      </c>
      <c r="L376" s="14">
        <f>VENTAS[[#This Row],[Total]]-VENTAS[[#This Row],[Comisión 10%]]-VENTAS[[#This Row],[Costo SIN Comision]]</f>
        <v>7.05555555555556</v>
      </c>
      <c r="M376" s="37"/>
    </row>
    <row r="377" s="3" customFormat="1" ht="20" hidden="1" customHeight="1" spans="1:13">
      <c r="A377" s="33"/>
      <c r="B377" s="11"/>
      <c r="C377" s="11"/>
      <c r="D377" s="11"/>
      <c r="E377" s="11" t="s">
        <v>737</v>
      </c>
      <c r="F377" s="11" t="str">
        <f>IFERROR(VLOOKUP(VENTAS[[#This Row],[Código del producto Vendido]],STOCK[],5,FALSE),"-")</f>
        <v>Vestido corto azul real</v>
      </c>
      <c r="G377" s="11">
        <v>1</v>
      </c>
      <c r="H377" s="14">
        <v>18</v>
      </c>
      <c r="I377" s="14">
        <f>VENTAS[[#This Row],[Cantidad]]*VENTAS[[#This Row],[Precio Venta]]</f>
        <v>18</v>
      </c>
      <c r="J377" s="14">
        <f>IF(VENTAS[[#This Row],[Nombre del Gestor]]&gt;1,VENTAS[[#This Row],[Total]]*10%,0)</f>
        <v>0</v>
      </c>
      <c r="K377" s="14">
        <f>IFERROR(VLOOKUP(VENTAS[[#This Row],[Código del producto Vendido]],STOCK[],16,FALSE)*VENTAS[[#This Row],[Cantidad]]+VLOOKUP(VENTAS[[#This Row],[Código del producto Vendido]],STOCK[],19,FALSE)*VENTAS[[#This Row],[Cantidad]],VENTAS[[#This Row],[Total]])</f>
        <v>11.9444444444444</v>
      </c>
      <c r="L377" s="14">
        <f>VENTAS[[#This Row],[Total]]-VENTAS[[#This Row],[Comisión 10%]]-VENTAS[[#This Row],[Costo SIN Comision]]</f>
        <v>6.05555555555556</v>
      </c>
      <c r="M377" s="37"/>
    </row>
    <row r="378" ht="20" hidden="1" customHeight="1" spans="1:13">
      <c r="A378" s="33"/>
      <c r="B378" s="11"/>
      <c r="C378" s="11"/>
      <c r="D378" s="11"/>
      <c r="E378" s="11" t="s">
        <v>728</v>
      </c>
      <c r="F378" s="11" t="str">
        <f>IFERROR(VLOOKUP(VENTAS[[#This Row],[Código del producto Vendido]],STOCK[],5,FALSE),"-")</f>
        <v>Top acanalado sin mangas</v>
      </c>
      <c r="G378" s="11">
        <v>1</v>
      </c>
      <c r="H378" s="14">
        <v>12</v>
      </c>
      <c r="I378" s="14">
        <f>VENTAS[[#This Row],[Cantidad]]*VENTAS[[#This Row],[Precio Venta]]</f>
        <v>12</v>
      </c>
      <c r="J378" s="14">
        <f>IF(VENTAS[[#This Row],[Nombre del Gestor]]&gt;1,VENTAS[[#This Row],[Total]]*10%,0)</f>
        <v>0</v>
      </c>
      <c r="K378" s="14">
        <f>IFERROR(VLOOKUP(VENTAS[[#This Row],[Código del producto Vendido]],STOCK[],16,FALSE)*VENTAS[[#This Row],[Cantidad]]+VLOOKUP(VENTAS[[#This Row],[Código del producto Vendido]],STOCK[],19,FALSE)*VENTAS[[#This Row],[Cantidad]],VENTAS[[#This Row],[Total]])</f>
        <v>5.02222222222222</v>
      </c>
      <c r="L378" s="14">
        <f>VENTAS[[#This Row],[Total]]-VENTAS[[#This Row],[Comisión 10%]]-VENTAS[[#This Row],[Costo SIN Comision]]</f>
        <v>6.97777777777778</v>
      </c>
      <c r="M378" s="14"/>
    </row>
    <row r="379" s="3" customFormat="1" ht="20" hidden="1" customHeight="1" spans="1:13">
      <c r="A379" s="31">
        <v>45138</v>
      </c>
      <c r="B379" s="11"/>
      <c r="C379" s="11"/>
      <c r="D379" s="11"/>
      <c r="E379" s="11" t="s">
        <v>1241</v>
      </c>
      <c r="F379" s="11" t="str">
        <f>IFERROR(VLOOKUP(VENTAS[[#This Row],[Código del producto Vendido]],STOCK[],5,FALSE),"-")</f>
        <v>Cinturón negro con hebilla dorada</v>
      </c>
      <c r="G379" s="11">
        <v>1</v>
      </c>
      <c r="H379" s="14">
        <v>18</v>
      </c>
      <c r="I379" s="14">
        <f>VENTAS[[#This Row],[Cantidad]]*VENTAS[[#This Row],[Precio Venta]]</f>
        <v>18</v>
      </c>
      <c r="J379" s="14">
        <f>IF(VENTAS[[#This Row],[Nombre del Gestor]]&gt;1,VENTAS[[#This Row],[Total]]*10%,0)</f>
        <v>0</v>
      </c>
      <c r="K379" s="14">
        <f>IFERROR(VLOOKUP(VENTAS[[#This Row],[Código del producto Vendido]],STOCK[],16,FALSE)*VENTAS[[#This Row],[Cantidad]]+VLOOKUP(VENTAS[[#This Row],[Código del producto Vendido]],STOCK[],19,FALSE)*VENTAS[[#This Row],[Cantidad]],VENTAS[[#This Row],[Total]])</f>
        <v>4.61</v>
      </c>
      <c r="L379" s="14">
        <f>VENTAS[[#This Row],[Total]]-VENTAS[[#This Row],[Comisión 10%]]-VENTAS[[#This Row],[Costo SIN Comision]]</f>
        <v>13.39</v>
      </c>
      <c r="M379" s="37"/>
    </row>
    <row r="380" s="3" customFormat="1" ht="20" hidden="1" customHeight="1" spans="1:13">
      <c r="A380" s="34"/>
      <c r="B380" s="11"/>
      <c r="C380" s="11"/>
      <c r="D380" s="11"/>
      <c r="E380" s="11" t="s">
        <v>1034</v>
      </c>
      <c r="F380" s="11" t="str">
        <f>IFERROR(VLOOKUP(VENTAS[[#This Row],[Código del producto Vendido]],STOCK[],5,FALSE),"-")</f>
        <v>Jenas Ajustados Oscuro</v>
      </c>
      <c r="G380" s="11">
        <v>1</v>
      </c>
      <c r="H380" s="14">
        <v>35</v>
      </c>
      <c r="I380" s="14">
        <f>VENTAS[[#This Row],[Cantidad]]*VENTAS[[#This Row],[Precio Venta]]</f>
        <v>35</v>
      </c>
      <c r="J380" s="14">
        <f>IF(VENTAS[[#This Row],[Nombre del Gestor]]&gt;1,VENTAS[[#This Row],[Total]]*10%,0)</f>
        <v>0</v>
      </c>
      <c r="K380" s="14">
        <f>IFERROR(VLOOKUP(VENTAS[[#This Row],[Código del producto Vendido]],STOCK[],16,FALSE)*VENTAS[[#This Row],[Cantidad]]+VLOOKUP(VENTAS[[#This Row],[Código del producto Vendido]],STOCK[],19,FALSE)*VENTAS[[#This Row],[Cantidad]],VENTAS[[#This Row],[Total]])</f>
        <v>24.6818181818182</v>
      </c>
      <c r="L380" s="14">
        <f>VENTAS[[#This Row],[Total]]-VENTAS[[#This Row],[Comisión 10%]]-VENTAS[[#This Row],[Costo SIN Comision]]</f>
        <v>10.3181818181818</v>
      </c>
      <c r="M380" s="37"/>
    </row>
    <row r="381" ht="20" hidden="1" customHeight="1" spans="1:13">
      <c r="A381" s="34"/>
      <c r="B381" s="11"/>
      <c r="C381" s="11"/>
      <c r="D381" s="11"/>
      <c r="E381" s="11" t="s">
        <v>937</v>
      </c>
      <c r="F381" s="11" t="str">
        <f>IFERROR(VLOOKUP(VENTAS[[#This Row],[Código del producto Vendido]],STOCK[],5,FALSE),"-")</f>
        <v>Bañador con zíper de pierna alta</v>
      </c>
      <c r="G381" s="11">
        <v>1</v>
      </c>
      <c r="H381" s="14">
        <v>28</v>
      </c>
      <c r="I381" s="14">
        <f>VENTAS[[#This Row],[Cantidad]]*VENTAS[[#This Row],[Precio Venta]]</f>
        <v>28</v>
      </c>
      <c r="J381" s="14">
        <f>IF(VENTAS[[#This Row],[Nombre del Gestor]]&gt;1,VENTAS[[#This Row],[Total]]*10%,0)</f>
        <v>0</v>
      </c>
      <c r="K381" s="14">
        <f>IFERROR(VLOOKUP(VENTAS[[#This Row],[Código del producto Vendido]],STOCK[],16,FALSE)*VENTAS[[#This Row],[Cantidad]]+VLOOKUP(VENTAS[[#This Row],[Código del producto Vendido]],STOCK[],19,FALSE)*VENTAS[[#This Row],[Cantidad]],VENTAS[[#This Row],[Total]])</f>
        <v>14.0231818181818</v>
      </c>
      <c r="L381" s="14">
        <f>VENTAS[[#This Row],[Total]]-VENTAS[[#This Row],[Comisión 10%]]-VENTAS[[#This Row],[Costo SIN Comision]]</f>
        <v>13.9768181818182</v>
      </c>
      <c r="M381" s="14"/>
    </row>
    <row r="382" ht="20" hidden="1" customHeight="1" spans="1:13">
      <c r="A382" s="34"/>
      <c r="B382" s="11"/>
      <c r="C382" s="11"/>
      <c r="D382" s="11"/>
      <c r="E382" s="11" t="s">
        <v>913</v>
      </c>
      <c r="F382" s="11" t="str">
        <f>IFERROR(VLOOKUP(VENTAS[[#This Row],[Código del producto Vendido]],STOCK[],5,FALSE),"-")</f>
        <v>Bañador de pierna alta</v>
      </c>
      <c r="G382" s="11">
        <v>1</v>
      </c>
      <c r="H382" s="14">
        <v>28</v>
      </c>
      <c r="I382" s="14">
        <f>VENTAS[[#This Row],[Cantidad]]*VENTAS[[#This Row],[Precio Venta]]</f>
        <v>28</v>
      </c>
      <c r="J382" s="14">
        <f>IF(VENTAS[[#This Row],[Nombre del Gestor]]&gt;1,VENTAS[[#This Row],[Total]]*10%,0)</f>
        <v>0</v>
      </c>
      <c r="K382" s="14">
        <f>IFERROR(VLOOKUP(VENTAS[[#This Row],[Código del producto Vendido]],STOCK[],16,FALSE)*VENTAS[[#This Row],[Cantidad]]+VLOOKUP(VENTAS[[#This Row],[Código del producto Vendido]],STOCK[],19,FALSE)*VENTAS[[#This Row],[Cantidad]],VENTAS[[#This Row],[Total]])</f>
        <v>15.8931818181818</v>
      </c>
      <c r="L382" s="14">
        <f>VENTAS[[#This Row],[Total]]-VENTAS[[#This Row],[Comisión 10%]]-VENTAS[[#This Row],[Costo SIN Comision]]</f>
        <v>12.1068181818182</v>
      </c>
      <c r="M382" s="14"/>
    </row>
    <row r="383" ht="20" hidden="1" customHeight="1" spans="1:13">
      <c r="A383" s="34"/>
      <c r="B383" s="11"/>
      <c r="C383" s="11"/>
      <c r="D383" s="11"/>
      <c r="E383" s="11" t="s">
        <v>907</v>
      </c>
      <c r="F383" s="11" t="str">
        <f>IFERROR(VLOOKUP(VENTAS[[#This Row],[Código del producto Vendido]],STOCK[],5,FALSE),"-")</f>
        <v>Bikini Floral</v>
      </c>
      <c r="G383" s="11">
        <v>1</v>
      </c>
      <c r="H383" s="14">
        <v>25</v>
      </c>
      <c r="I383" s="14">
        <f>VENTAS[[#This Row],[Cantidad]]*VENTAS[[#This Row],[Precio Venta]]</f>
        <v>25</v>
      </c>
      <c r="J383" s="14">
        <f>IF(VENTAS[[#This Row],[Nombre del Gestor]]&gt;1,VENTAS[[#This Row],[Total]]*10%,0)</f>
        <v>0</v>
      </c>
      <c r="K383" s="14">
        <f>IFERROR(VLOOKUP(VENTAS[[#This Row],[Código del producto Vendido]],STOCK[],16,FALSE)*VENTAS[[#This Row],[Cantidad]]+VLOOKUP(VENTAS[[#This Row],[Código del producto Vendido]],STOCK[],19,FALSE)*VENTAS[[#This Row],[Cantidad]],VENTAS[[#This Row],[Total]])</f>
        <v>17.5127272727273</v>
      </c>
      <c r="L383" s="14">
        <f>VENTAS[[#This Row],[Total]]-VENTAS[[#This Row],[Comisión 10%]]-VENTAS[[#This Row],[Costo SIN Comision]]</f>
        <v>7.4872727272727</v>
      </c>
      <c r="M383" s="14"/>
    </row>
    <row r="384" ht="20" hidden="1" customHeight="1" spans="1:13">
      <c r="A384" s="34"/>
      <c r="B384" s="11"/>
      <c r="C384" s="11"/>
      <c r="D384" s="11"/>
      <c r="E384" s="11" t="s">
        <v>883</v>
      </c>
      <c r="F384" s="11" t="str">
        <f>IFERROR(VLOOKUP(VENTAS[[#This Row],[Código del producto Vendido]],STOCK[],5,FALSE),"-")</f>
        <v>Bragas sin costuras</v>
      </c>
      <c r="G384" s="11">
        <v>3</v>
      </c>
      <c r="H384" s="14">
        <v>3</v>
      </c>
      <c r="I384" s="14">
        <f>VENTAS[[#This Row],[Cantidad]]*VENTAS[[#This Row],[Precio Venta]]</f>
        <v>9</v>
      </c>
      <c r="J384" s="14">
        <f>IF(VENTAS[[#This Row],[Nombre del Gestor]]&gt;1,VENTAS[[#This Row],[Total]]*10%,0)</f>
        <v>0</v>
      </c>
      <c r="K384" s="14">
        <f>IFERROR(VLOOKUP(VENTAS[[#This Row],[Código del producto Vendido]],STOCK[],16,FALSE)*VENTAS[[#This Row],[Cantidad]]+VLOOKUP(VENTAS[[#This Row],[Código del producto Vendido]],STOCK[],19,FALSE)*VENTAS[[#This Row],[Cantidad]],VENTAS[[#This Row],[Total]])</f>
        <v>5.98333333333332</v>
      </c>
      <c r="L384" s="14">
        <f>VENTAS[[#This Row],[Total]]-VENTAS[[#This Row],[Comisión 10%]]-VENTAS[[#This Row],[Costo SIN Comision]]</f>
        <v>3.01666666666668</v>
      </c>
      <c r="M384" s="14"/>
    </row>
    <row r="385" ht="20" hidden="1" customHeight="1" spans="1:13">
      <c r="A385" s="34"/>
      <c r="B385" s="11"/>
      <c r="C385" s="11"/>
      <c r="D385" s="11"/>
      <c r="E385" s="11" t="s">
        <v>795</v>
      </c>
      <c r="F385" s="11" t="str">
        <f>IFERROR(VLOOKUP(VENTAS[[#This Row],[Código del producto Vendido]],STOCK[],5,FALSE),"-")</f>
        <v>Bañador atado a los lados</v>
      </c>
      <c r="G385" s="11">
        <v>1</v>
      </c>
      <c r="H385" s="14">
        <v>19</v>
      </c>
      <c r="I385" s="14">
        <f>VENTAS[[#This Row],[Cantidad]]*VENTAS[[#This Row],[Precio Venta]]</f>
        <v>19</v>
      </c>
      <c r="J385" s="14">
        <f>IF(VENTAS[[#This Row],[Nombre del Gestor]]&gt;1,VENTAS[[#This Row],[Total]]*10%,0)</f>
        <v>0</v>
      </c>
      <c r="K385" s="14">
        <f>IFERROR(VLOOKUP(VENTAS[[#This Row],[Código del producto Vendido]],STOCK[],16,FALSE)*VENTAS[[#This Row],[Cantidad]]+VLOOKUP(VENTAS[[#This Row],[Código del producto Vendido]],STOCK[],19,FALSE)*VENTAS[[#This Row],[Cantidad]],VENTAS[[#This Row],[Total]])</f>
        <v>12.8333333333333</v>
      </c>
      <c r="L385" s="14">
        <f>VENTAS[[#This Row],[Total]]-VENTAS[[#This Row],[Comisión 10%]]-VENTAS[[#This Row],[Costo SIN Comision]]</f>
        <v>6.1666666666667</v>
      </c>
      <c r="M385" s="14"/>
    </row>
    <row r="386" ht="20" hidden="1" customHeight="1" spans="1:13">
      <c r="A386" s="38">
        <v>45138</v>
      </c>
      <c r="B386" s="11"/>
      <c r="C386" s="11"/>
      <c r="D386" s="11"/>
      <c r="E386" s="11" t="s">
        <v>642</v>
      </c>
      <c r="F386" s="11" t="str">
        <f>IFERROR(VLOOKUP(VENTAS[[#This Row],[Código del producto Vendido]],STOCK[],5,FALSE),"-")</f>
        <v>Vestido con estampado floral</v>
      </c>
      <c r="G386" s="11">
        <v>1</v>
      </c>
      <c r="H386" s="14">
        <v>15</v>
      </c>
      <c r="I386" s="14">
        <f>VENTAS[[#This Row],[Cantidad]]*VENTAS[[#This Row],[Precio Venta]]</f>
        <v>15</v>
      </c>
      <c r="J386" s="14">
        <f>IF(VENTAS[[#This Row],[Nombre del Gestor]]&gt;1,VENTAS[[#This Row],[Total]]*10%,0)</f>
        <v>0</v>
      </c>
      <c r="K386" s="14">
        <f>IFERROR(VLOOKUP(VENTAS[[#This Row],[Código del producto Vendido]],STOCK[],16,FALSE)*VENTAS[[#This Row],[Cantidad]]+VLOOKUP(VENTAS[[#This Row],[Código del producto Vendido]],STOCK[],19,FALSE)*VENTAS[[#This Row],[Cantidad]],VENTAS[[#This Row],[Total]])</f>
        <v>10.7222222222222</v>
      </c>
      <c r="L386" s="14">
        <f>VENTAS[[#This Row],[Total]]-VENTAS[[#This Row],[Comisión 10%]]-VENTAS[[#This Row],[Costo SIN Comision]]</f>
        <v>4.27777777777778</v>
      </c>
      <c r="M386" s="14"/>
    </row>
    <row r="387" ht="20" hidden="1" customHeight="1" spans="1:13">
      <c r="A387" s="39">
        <v>45138</v>
      </c>
      <c r="B387" s="11"/>
      <c r="C387" s="11"/>
      <c r="D387" s="11"/>
      <c r="E387" s="11" t="s">
        <v>619</v>
      </c>
      <c r="F387" s="11" t="str">
        <f>IFERROR(VLOOKUP(VENTAS[[#This Row],[Código del producto Vendido]],STOCK[],5,FALSE),"-")</f>
        <v>Vestido pecho con fruncido </v>
      </c>
      <c r="G387" s="11">
        <v>1</v>
      </c>
      <c r="H387" s="14">
        <v>15</v>
      </c>
      <c r="I387" s="14">
        <f>VENTAS[[#This Row],[Cantidad]]*VENTAS[[#This Row],[Precio Venta]]</f>
        <v>15</v>
      </c>
      <c r="J387" s="14">
        <f>IF(VENTAS[[#This Row],[Nombre del Gestor]]&gt;1,VENTAS[[#This Row],[Total]]*10%,0)</f>
        <v>0</v>
      </c>
      <c r="K387" s="14">
        <f>IFERROR(VLOOKUP(VENTAS[[#This Row],[Código del producto Vendido]],STOCK[],16,FALSE)*VENTAS[[#This Row],[Cantidad]]+VLOOKUP(VENTAS[[#This Row],[Código del producto Vendido]],STOCK[],19,FALSE)*VENTAS[[#This Row],[Cantidad]],VENTAS[[#This Row],[Total]])</f>
        <v>10.7222222222222</v>
      </c>
      <c r="L387" s="14">
        <f>VENTAS[[#This Row],[Total]]-VENTAS[[#This Row],[Comisión 10%]]-VENTAS[[#This Row],[Costo SIN Comision]]</f>
        <v>4.27777777777778</v>
      </c>
      <c r="M387" s="14"/>
    </row>
    <row r="388" ht="20" hidden="1" customHeight="1" spans="1:13">
      <c r="A388" s="34"/>
      <c r="B388" s="11"/>
      <c r="C388" s="11"/>
      <c r="D388" s="11"/>
      <c r="E388" s="11" t="s">
        <v>463</v>
      </c>
      <c r="F388" s="11" t="str">
        <f>IFERROR(VLOOKUP(VENTAS[[#This Row],[Código del producto Vendido]],STOCK[],5,FALSE),"-")</f>
        <v>Vestido cruzado de lunares</v>
      </c>
      <c r="G388" s="11">
        <v>1</v>
      </c>
      <c r="H388" s="14">
        <v>15</v>
      </c>
      <c r="I388" s="14">
        <f>VENTAS[[#This Row],[Cantidad]]*VENTAS[[#This Row],[Precio Venta]]</f>
        <v>15</v>
      </c>
      <c r="J388" s="14">
        <f>IF(VENTAS[[#This Row],[Nombre del Gestor]]&gt;1,VENTAS[[#This Row],[Total]]*10%,0)</f>
        <v>0</v>
      </c>
      <c r="K388" s="14">
        <f>IFERROR(VLOOKUP(VENTAS[[#This Row],[Código del producto Vendido]],STOCK[],16,FALSE)*VENTAS[[#This Row],[Cantidad]]+VLOOKUP(VENTAS[[#This Row],[Código del producto Vendido]],STOCK[],19,FALSE)*VENTAS[[#This Row],[Cantidad]],VENTAS[[#This Row],[Total]])</f>
        <v>11.1933333333333</v>
      </c>
      <c r="L388" s="14">
        <f>VENTAS[[#This Row],[Total]]-VENTAS[[#This Row],[Comisión 10%]]-VENTAS[[#This Row],[Costo SIN Comision]]</f>
        <v>3.80666666666667</v>
      </c>
      <c r="M388" s="14"/>
    </row>
    <row r="389" ht="20" hidden="1" customHeight="1" spans="1:13">
      <c r="A389" s="34"/>
      <c r="B389" s="11"/>
      <c r="C389" s="11"/>
      <c r="D389" s="11"/>
      <c r="E389" s="11" t="s">
        <v>454</v>
      </c>
      <c r="F389" s="11" t="str">
        <f>IFERROR(VLOOKUP(VENTAS[[#This Row],[Código del producto Vendido]],STOCK[],5,FALSE),"-")</f>
        <v>Bañador bikini de manga raglán con cordón floral</v>
      </c>
      <c r="G389" s="11">
        <v>1</v>
      </c>
      <c r="H389" s="14">
        <v>25</v>
      </c>
      <c r="I389" s="14">
        <f>VENTAS[[#This Row],[Cantidad]]*VENTAS[[#This Row],[Precio Venta]]</f>
        <v>25</v>
      </c>
      <c r="J389" s="14">
        <f>IF(VENTAS[[#This Row],[Nombre del Gestor]]&gt;1,VENTAS[[#This Row],[Total]]*10%,0)</f>
        <v>0</v>
      </c>
      <c r="K389" s="14">
        <f>IFERROR(VLOOKUP(VENTAS[[#This Row],[Código del producto Vendido]],STOCK[],16,FALSE)*VENTAS[[#This Row],[Cantidad]]+VLOOKUP(VENTAS[[#This Row],[Código del producto Vendido]],STOCK[],19,FALSE)*VENTAS[[#This Row],[Cantidad]],VENTAS[[#This Row],[Total]])</f>
        <v>19.7944444444444</v>
      </c>
      <c r="L389" s="14">
        <f>VENTAS[[#This Row],[Total]]-VENTAS[[#This Row],[Comisión 10%]]-VENTAS[[#This Row],[Costo SIN Comision]]</f>
        <v>5.2055555555556</v>
      </c>
      <c r="M389" s="14"/>
    </row>
    <row r="390" ht="20" hidden="1" customHeight="1" spans="1:13">
      <c r="A390" s="40"/>
      <c r="B390" s="11"/>
      <c r="C390" s="11"/>
      <c r="D390" s="11"/>
      <c r="E390" s="11" t="s">
        <v>401</v>
      </c>
      <c r="F390" s="11" t="str">
        <f>IFERROR(VLOOKUP(VENTAS[[#This Row],[Código del producto Vendido]],STOCK[],5,FALSE),"-")</f>
        <v>Vestido Volante rígido Floral </v>
      </c>
      <c r="G390" s="11">
        <v>1</v>
      </c>
      <c r="H390" s="14">
        <v>25</v>
      </c>
      <c r="I390" s="14">
        <f>VENTAS[[#This Row],[Cantidad]]*VENTAS[[#This Row],[Precio Venta]]</f>
        <v>25</v>
      </c>
      <c r="J390" s="14">
        <f>IF(VENTAS[[#This Row],[Nombre del Gestor]]&gt;1,VENTAS[[#This Row],[Total]]*10%,0)</f>
        <v>0</v>
      </c>
      <c r="K390" s="14">
        <f>IFERROR(VLOOKUP(VENTAS[[#This Row],[Código del producto Vendido]],STOCK[],16,FALSE)*VENTAS[[#This Row],[Cantidad]]+VLOOKUP(VENTAS[[#This Row],[Código del producto Vendido]],STOCK[],19,FALSE)*VENTAS[[#This Row],[Cantidad]],VENTAS[[#This Row],[Total]])</f>
        <v>19.21</v>
      </c>
      <c r="L390" s="14">
        <f>VENTAS[[#This Row],[Total]]-VENTAS[[#This Row],[Comisión 10%]]-VENTAS[[#This Row],[Costo SIN Comision]]</f>
        <v>5.79</v>
      </c>
      <c r="M390" s="14"/>
    </row>
    <row r="391" ht="20" hidden="1" customHeight="1" spans="1:13">
      <c r="A391" s="39">
        <v>45138</v>
      </c>
      <c r="B391" s="11"/>
      <c r="C391" s="11"/>
      <c r="D391" s="11"/>
      <c r="E391" s="11" t="s">
        <v>401</v>
      </c>
      <c r="F391" s="11" t="str">
        <f>IFERROR(VLOOKUP(VENTAS[[#This Row],[Código del producto Vendido]],STOCK[],5,FALSE),"-")</f>
        <v>Vestido Volante rígido Floral </v>
      </c>
      <c r="G391" s="11">
        <v>1</v>
      </c>
      <c r="H391" s="14">
        <v>25</v>
      </c>
      <c r="I391" s="14">
        <f>VENTAS[[#This Row],[Cantidad]]*VENTAS[[#This Row],[Precio Venta]]</f>
        <v>25</v>
      </c>
      <c r="J391" s="14">
        <f>IF(VENTAS[[#This Row],[Nombre del Gestor]]&gt;1,VENTAS[[#This Row],[Total]]*10%,0)</f>
        <v>0</v>
      </c>
      <c r="K391" s="14">
        <f>IFERROR(VLOOKUP(VENTAS[[#This Row],[Código del producto Vendido]],STOCK[],16,FALSE)*VENTAS[[#This Row],[Cantidad]]+VLOOKUP(VENTAS[[#This Row],[Código del producto Vendido]],STOCK[],19,FALSE)*VENTAS[[#This Row],[Cantidad]],VENTAS[[#This Row],[Total]])</f>
        <v>19.21</v>
      </c>
      <c r="L391" s="14">
        <f>VENTAS[[#This Row],[Total]]-VENTAS[[#This Row],[Comisión 10%]]-VENTAS[[#This Row],[Costo SIN Comision]]</f>
        <v>5.79</v>
      </c>
      <c r="M391" s="14"/>
    </row>
    <row r="392" ht="20" hidden="1" customHeight="1" spans="1:13">
      <c r="A392" s="38">
        <v>45138</v>
      </c>
      <c r="B392" s="11"/>
      <c r="C392" s="11"/>
      <c r="D392" s="11"/>
      <c r="E392" s="11" t="s">
        <v>79</v>
      </c>
      <c r="F392" s="11" t="str">
        <f>IFERROR(VLOOKUP(VENTAS[[#This Row],[Código del producto Vendido]],STOCK[],5,FALSE),"-")</f>
        <v>Bikini con cordón lateral</v>
      </c>
      <c r="G392" s="11">
        <v>1</v>
      </c>
      <c r="H392" s="14">
        <v>22</v>
      </c>
      <c r="I392" s="14">
        <f>VENTAS[[#This Row],[Cantidad]]*VENTAS[[#This Row],[Precio Venta]]</f>
        <v>22</v>
      </c>
      <c r="J392" s="14">
        <f>IF(VENTAS[[#This Row],[Nombre del Gestor]]&gt;1,VENTAS[[#This Row],[Total]]*10%,0)</f>
        <v>0</v>
      </c>
      <c r="K392" s="14">
        <f>IFERROR(VLOOKUP(VENTAS[[#This Row],[Código del producto Vendido]],STOCK[],16,FALSE)*VENTAS[[#This Row],[Cantidad]]+VLOOKUP(VENTAS[[#This Row],[Código del producto Vendido]],STOCK[],19,FALSE)*VENTAS[[#This Row],[Cantidad]],VENTAS[[#This Row],[Total]])</f>
        <v>14.75</v>
      </c>
      <c r="L392" s="14">
        <f>VENTAS[[#This Row],[Total]]-VENTAS[[#This Row],[Comisión 10%]]-VENTAS[[#This Row],[Costo SIN Comision]]</f>
        <v>7.25</v>
      </c>
      <c r="M392" s="14"/>
    </row>
    <row r="393" ht="20" hidden="1" customHeight="1" spans="1:13">
      <c r="A393" s="39">
        <v>45138</v>
      </c>
      <c r="B393" s="11"/>
      <c r="C393" s="11"/>
      <c r="D393" s="11"/>
      <c r="E393" s="11" t="s">
        <v>616</v>
      </c>
      <c r="F393" s="11" t="str">
        <f>IFERROR(VLOOKUP(VENTAS[[#This Row],[Código del producto Vendido]],STOCK[],5,FALSE),"-")</f>
        <v>Camiseta corta de manga farol</v>
      </c>
      <c r="G393" s="11">
        <v>1</v>
      </c>
      <c r="H393" s="14">
        <v>10</v>
      </c>
      <c r="I393" s="14">
        <f>VENTAS[[#This Row],[Cantidad]]*VENTAS[[#This Row],[Precio Venta]]</f>
        <v>10</v>
      </c>
      <c r="J393" s="14">
        <f>IF(VENTAS[[#This Row],[Nombre del Gestor]]&gt;1,VENTAS[[#This Row],[Total]]*10%,0)</f>
        <v>0</v>
      </c>
      <c r="K393" s="14">
        <f>IFERROR(VLOOKUP(VENTAS[[#This Row],[Código del producto Vendido]],STOCK[],16,FALSE)*VENTAS[[#This Row],[Cantidad]]+VLOOKUP(VENTAS[[#This Row],[Código del producto Vendido]],STOCK[],19,FALSE)*VENTAS[[#This Row],[Cantidad]],VENTAS[[#This Row],[Total]])</f>
        <v>5.735</v>
      </c>
      <c r="L393" s="14">
        <f>VENTAS[[#This Row],[Total]]-VENTAS[[#This Row],[Comisión 10%]]-VENTAS[[#This Row],[Costo SIN Comision]]</f>
        <v>4.265</v>
      </c>
      <c r="M393" s="14"/>
    </row>
    <row r="394" ht="20" hidden="1" customHeight="1" spans="1:13">
      <c r="A394" s="41"/>
      <c r="B394" s="11"/>
      <c r="C394" s="11"/>
      <c r="D394" s="11"/>
      <c r="E394" s="11" t="s">
        <v>510</v>
      </c>
      <c r="F394" s="11" t="str">
        <f>IFERROR(VLOOKUP(VENTAS[[#This Row],[Código del producto Vendido]],STOCK[],5,FALSE),"-")</f>
        <v>Set 3 piezas bikini</v>
      </c>
      <c r="G394" s="11">
        <v>1</v>
      </c>
      <c r="H394" s="14">
        <v>24</v>
      </c>
      <c r="I394" s="14">
        <f>VENTAS[[#This Row],[Cantidad]]*VENTAS[[#This Row],[Precio Venta]]</f>
        <v>24</v>
      </c>
      <c r="J394" s="14">
        <f>IF(VENTAS[[#This Row],[Nombre del Gestor]]&gt;1,VENTAS[[#This Row],[Total]]*10%,0)</f>
        <v>0</v>
      </c>
      <c r="K394" s="14">
        <f>IFERROR(VLOOKUP(VENTAS[[#This Row],[Código del producto Vendido]],STOCK[],16,FALSE)*VENTAS[[#This Row],[Cantidad]]+VLOOKUP(VENTAS[[#This Row],[Código del producto Vendido]],STOCK[],19,FALSE)*VENTAS[[#This Row],[Cantidad]],VENTAS[[#This Row],[Total]])</f>
        <v>16.0444444444444</v>
      </c>
      <c r="L394" s="14">
        <f>VENTAS[[#This Row],[Total]]-VENTAS[[#This Row],[Comisión 10%]]-VENTAS[[#This Row],[Costo SIN Comision]]</f>
        <v>7.9555555555556</v>
      </c>
      <c r="M394" s="14"/>
    </row>
    <row r="395" ht="20" hidden="1" customHeight="1" spans="1:13">
      <c r="A395" s="42"/>
      <c r="B395" s="11"/>
      <c r="C395" s="11"/>
      <c r="D395" s="11"/>
      <c r="E395" s="11" t="s">
        <v>77</v>
      </c>
      <c r="F395" s="11" t="str">
        <f>IFERROR(VLOOKUP(VENTAS[[#This Row],[Código del producto Vendido]],STOCK[],5,FALSE),"-")</f>
        <v>Pareo pantalón de malla</v>
      </c>
      <c r="G395" s="11">
        <v>1</v>
      </c>
      <c r="H395" s="14">
        <v>15</v>
      </c>
      <c r="I395" s="14">
        <f>VENTAS[[#This Row],[Cantidad]]*VENTAS[[#This Row],[Precio Venta]]</f>
        <v>15</v>
      </c>
      <c r="J395" s="14">
        <f>IF(VENTAS[[#This Row],[Nombre del Gestor]]&gt;1,VENTAS[[#This Row],[Total]]*10%,0)</f>
        <v>0</v>
      </c>
      <c r="K395" s="14">
        <f>IFERROR(VLOOKUP(VENTAS[[#This Row],[Código del producto Vendido]],STOCK[],16,FALSE)*VENTAS[[#This Row],[Cantidad]]+VLOOKUP(VENTAS[[#This Row],[Código del producto Vendido]],STOCK[],19,FALSE)*VENTAS[[#This Row],[Cantidad]],VENTAS[[#This Row],[Total]])</f>
        <v>9.36055555555556</v>
      </c>
      <c r="L395" s="14">
        <f>VENTAS[[#This Row],[Total]]-VENTAS[[#This Row],[Comisión 10%]]-VENTAS[[#This Row],[Costo SIN Comision]]</f>
        <v>5.63944444444444</v>
      </c>
      <c r="M395" s="14"/>
    </row>
    <row r="396" ht="20" hidden="1" customHeight="1" spans="1:13">
      <c r="A396" s="41"/>
      <c r="B396" s="11"/>
      <c r="C396" s="11"/>
      <c r="D396" s="11"/>
      <c r="E396" s="11" t="s">
        <v>89</v>
      </c>
      <c r="F396" s="11" t="str">
        <f>IFERROR(VLOOKUP(VENTAS[[#This Row],[Código del producto Vendido]],STOCK[],5,FALSE),"-")</f>
        <v>Bikini Elegante con Herrajes</v>
      </c>
      <c r="G396" s="11">
        <v>1</v>
      </c>
      <c r="H396" s="14">
        <v>18</v>
      </c>
      <c r="I396" s="14">
        <f>VENTAS[[#This Row],[Cantidad]]*VENTAS[[#This Row],[Precio Venta]]</f>
        <v>18</v>
      </c>
      <c r="J396" s="14">
        <f>IF(VENTAS[[#This Row],[Nombre del Gestor]]&gt;1,VENTAS[[#This Row],[Total]]*10%,0)</f>
        <v>0</v>
      </c>
      <c r="K396" s="14">
        <f>IFERROR(VLOOKUP(VENTAS[[#This Row],[Código del producto Vendido]],STOCK[],16,FALSE)*VENTAS[[#This Row],[Cantidad]]+VLOOKUP(VENTAS[[#This Row],[Código del producto Vendido]],STOCK[],19,FALSE)*VENTAS[[#This Row],[Cantidad]],VENTAS[[#This Row],[Total]])</f>
        <v>12.6972222222222</v>
      </c>
      <c r="L396" s="14">
        <f>VENTAS[[#This Row],[Total]]-VENTAS[[#This Row],[Comisión 10%]]-VENTAS[[#This Row],[Costo SIN Comision]]</f>
        <v>5.30277777777778</v>
      </c>
      <c r="M396" s="14"/>
    </row>
    <row r="397" ht="20" hidden="1" customHeight="1" spans="1:13">
      <c r="A397" s="42"/>
      <c r="B397" s="11"/>
      <c r="C397" s="11" t="s">
        <v>4138</v>
      </c>
      <c r="D397" s="11"/>
      <c r="E397" s="11" t="s">
        <v>428</v>
      </c>
      <c r="F397" s="11" t="str">
        <f>IFERROR(VLOOKUP(VENTAS[[#This Row],[Código del producto Vendido]],STOCK[],5,FALSE),"-")</f>
        <v>Mono Bohemio con cinturón </v>
      </c>
      <c r="G397" s="11">
        <v>1</v>
      </c>
      <c r="H397" s="14">
        <v>15</v>
      </c>
      <c r="I397" s="14">
        <f>VENTAS[[#This Row],[Cantidad]]*VENTAS[[#This Row],[Precio Venta]]</f>
        <v>15</v>
      </c>
      <c r="J397" s="14">
        <f>IF(VENTAS[[#This Row],[Nombre del Gestor]]&gt;1,VENTAS[[#This Row],[Total]]*10%,0)</f>
        <v>0</v>
      </c>
      <c r="K397" s="14">
        <f>IFERROR(VLOOKUP(VENTAS[[#This Row],[Código del producto Vendido]],STOCK[],16,FALSE)*VENTAS[[#This Row],[Cantidad]]+VLOOKUP(VENTAS[[#This Row],[Código del producto Vendido]],STOCK[],19,FALSE)*VENTAS[[#This Row],[Cantidad]],VENTAS[[#This Row],[Total]])</f>
        <v>14.7022222222222</v>
      </c>
      <c r="L397" s="14">
        <f>VENTAS[[#This Row],[Total]]-VENTAS[[#This Row],[Comisión 10%]]-VENTAS[[#This Row],[Costo SIN Comision]]</f>
        <v>0.297777777777799</v>
      </c>
      <c r="M397" s="14"/>
    </row>
    <row r="398" ht="20" hidden="1" customHeight="1" spans="1:13">
      <c r="A398" s="41" t="s">
        <v>4139</v>
      </c>
      <c r="B398" s="11"/>
      <c r="C398" s="11"/>
      <c r="D398" s="11"/>
      <c r="E398" s="11" t="s">
        <v>1113</v>
      </c>
      <c r="F398" s="11" t="str">
        <f>IFERROR(VLOOKUP(VENTAS[[#This Row],[Código del producto Vendido]],STOCK[],5,FALSE),"-")</f>
        <v>Bolso de mimbre</v>
      </c>
      <c r="G398" s="11">
        <v>1</v>
      </c>
      <c r="H398" s="14">
        <v>12</v>
      </c>
      <c r="I398" s="14">
        <f>VENTAS[[#This Row],[Cantidad]]*VENTAS[[#This Row],[Precio Venta]]</f>
        <v>12</v>
      </c>
      <c r="J398" s="14">
        <f>IF(VENTAS[[#This Row],[Nombre del Gestor]]&gt;1,VENTAS[[#This Row],[Total]]*10%,0)</f>
        <v>0</v>
      </c>
      <c r="K398" s="14">
        <f>IFERROR(VLOOKUP(VENTAS[[#This Row],[Código del producto Vendido]],STOCK[],16,FALSE)*VENTAS[[#This Row],[Cantidad]]+VLOOKUP(VENTAS[[#This Row],[Código del producto Vendido]],STOCK[],19,FALSE)*VENTAS[[#This Row],[Cantidad]],VENTAS[[#This Row],[Total]])</f>
        <v>11.8286764705882</v>
      </c>
      <c r="L398" s="14">
        <f>VENTAS[[#This Row],[Total]]-VENTAS[[#This Row],[Comisión 10%]]-VENTAS[[#This Row],[Costo SIN Comision]]</f>
        <v>0.171323529411758</v>
      </c>
      <c r="M398" s="14"/>
    </row>
    <row r="399" ht="20" hidden="1" customHeight="1" spans="1:13">
      <c r="A399" s="42" t="s">
        <v>4139</v>
      </c>
      <c r="B399" s="11"/>
      <c r="C399" s="11"/>
      <c r="D399" s="11"/>
      <c r="E399" s="11" t="s">
        <v>927</v>
      </c>
      <c r="F399" s="11" t="str">
        <f>IFERROR(VLOOKUP(VENTAS[[#This Row],[Código del producto Vendido]],STOCK[],5,FALSE),"-")</f>
        <v>Pantaloneta Roja</v>
      </c>
      <c r="G399" s="11">
        <v>1</v>
      </c>
      <c r="H399" s="14">
        <v>20</v>
      </c>
      <c r="I399" s="14">
        <f>VENTAS[[#This Row],[Cantidad]]*VENTAS[[#This Row],[Precio Venta]]</f>
        <v>20</v>
      </c>
      <c r="J399" s="14">
        <f>IF(VENTAS[[#This Row],[Nombre del Gestor]]&gt;1,VENTAS[[#This Row],[Total]]*10%,0)</f>
        <v>0</v>
      </c>
      <c r="K399" s="14">
        <f>IFERROR(VLOOKUP(VENTAS[[#This Row],[Código del producto Vendido]],STOCK[],16,FALSE)*VENTAS[[#This Row],[Cantidad]]+VLOOKUP(VENTAS[[#This Row],[Código del producto Vendido]],STOCK[],19,FALSE)*VENTAS[[#This Row],[Cantidad]],VENTAS[[#This Row],[Total]])</f>
        <v>11.6095454545454</v>
      </c>
      <c r="L399" s="14">
        <f>VENTAS[[#This Row],[Total]]-VENTAS[[#This Row],[Comisión 10%]]-VENTAS[[#This Row],[Costo SIN Comision]]</f>
        <v>8.39045454545455</v>
      </c>
      <c r="M399" s="14"/>
    </row>
    <row r="400" ht="20" hidden="1" customHeight="1" spans="1:13">
      <c r="A400" s="41" t="s">
        <v>4139</v>
      </c>
      <c r="B400" s="11"/>
      <c r="C400" s="11"/>
      <c r="D400" s="11"/>
      <c r="E400" s="11" t="s">
        <v>412</v>
      </c>
      <c r="F400" s="11" t="str">
        <f>IFERROR(VLOOKUP(VENTAS[[#This Row],[Código del producto Vendido]],STOCK[],5,FALSE),"-")</f>
        <v>Bikini Floral</v>
      </c>
      <c r="G400" s="11">
        <v>1</v>
      </c>
      <c r="H400" s="14">
        <v>22</v>
      </c>
      <c r="I400" s="14">
        <f>VENTAS[[#This Row],[Cantidad]]*VENTAS[[#This Row],[Precio Venta]]</f>
        <v>22</v>
      </c>
      <c r="J400" s="14">
        <f>IF(VENTAS[[#This Row],[Nombre del Gestor]]&gt;1,VENTAS[[#This Row],[Total]]*10%,0)</f>
        <v>0</v>
      </c>
      <c r="K400" s="14">
        <f>IFERROR(VLOOKUP(VENTAS[[#This Row],[Código del producto Vendido]],STOCK[],16,FALSE)*VENTAS[[#This Row],[Cantidad]]+VLOOKUP(VENTAS[[#This Row],[Código del producto Vendido]],STOCK[],19,FALSE)*VENTAS[[#This Row],[Cantidad]],VENTAS[[#This Row],[Total]])</f>
        <v>13.9444444444444</v>
      </c>
      <c r="L400" s="14">
        <f>VENTAS[[#This Row],[Total]]-VENTAS[[#This Row],[Comisión 10%]]-VENTAS[[#This Row],[Costo SIN Comision]]</f>
        <v>8.0555555555556</v>
      </c>
      <c r="M400" s="14"/>
    </row>
    <row r="401" ht="20" hidden="1" customHeight="1" spans="1:13">
      <c r="A401" s="42" t="s">
        <v>4139</v>
      </c>
      <c r="B401" s="11"/>
      <c r="C401" s="11"/>
      <c r="D401" s="11"/>
      <c r="E401" s="11" t="s">
        <v>1106</v>
      </c>
      <c r="F401" s="11" t="str">
        <f>IFERROR(VLOOKUP(VENTAS[[#This Row],[Código del producto Vendido]],STOCK[],5,FALSE),"-")</f>
        <v>Mono Oblicuo con bolsillo</v>
      </c>
      <c r="G401" s="11">
        <v>1</v>
      </c>
      <c r="H401" s="14">
        <v>22</v>
      </c>
      <c r="I401" s="14">
        <f>VENTAS[[#This Row],[Cantidad]]*VENTAS[[#This Row],[Precio Venta]]</f>
        <v>22</v>
      </c>
      <c r="J401" s="14">
        <f>IF(VENTAS[[#This Row],[Nombre del Gestor]]&gt;1,VENTAS[[#This Row],[Total]]*10%,0)</f>
        <v>0</v>
      </c>
      <c r="K401" s="14">
        <f>IFERROR(VLOOKUP(VENTAS[[#This Row],[Código del producto Vendido]],STOCK[],16,FALSE)*VENTAS[[#This Row],[Cantidad]]+VLOOKUP(VENTAS[[#This Row],[Código del producto Vendido]],STOCK[],19,FALSE)*VENTAS[[#This Row],[Cantidad]],VENTAS[[#This Row],[Total]])</f>
        <v>14.5485294117647</v>
      </c>
      <c r="L401" s="14">
        <f>VENTAS[[#This Row],[Total]]-VENTAS[[#This Row],[Comisión 10%]]-VENTAS[[#This Row],[Costo SIN Comision]]</f>
        <v>7.45147058823529</v>
      </c>
      <c r="M401" s="14"/>
    </row>
    <row r="402" ht="20" hidden="1" customHeight="1" spans="1:13">
      <c r="A402" s="41" t="s">
        <v>4139</v>
      </c>
      <c r="B402" s="11"/>
      <c r="C402" s="11"/>
      <c r="D402" s="11"/>
      <c r="E402" s="11" t="s">
        <v>301</v>
      </c>
      <c r="F402" s="11" t="str">
        <f>IFERROR(VLOOKUP(VENTAS[[#This Row],[Código del producto Vendido]],STOCK[],5,FALSE),"-")</f>
        <v>Jumpsuit palazzo de tie dye</v>
      </c>
      <c r="G402" s="11">
        <v>1</v>
      </c>
      <c r="H402" s="14">
        <v>30</v>
      </c>
      <c r="I402" s="14">
        <f>VENTAS[[#This Row],[Cantidad]]*VENTAS[[#This Row],[Precio Venta]]</f>
        <v>30</v>
      </c>
      <c r="J402" s="14">
        <f>IF(VENTAS[[#This Row],[Nombre del Gestor]]&gt;1,VENTAS[[#This Row],[Total]]*10%,0)</f>
        <v>0</v>
      </c>
      <c r="K402" s="14">
        <f>IFERROR(VLOOKUP(VENTAS[[#This Row],[Código del producto Vendido]],STOCK[],16,FALSE)*VENTAS[[#This Row],[Cantidad]]+VLOOKUP(VENTAS[[#This Row],[Código del producto Vendido]],STOCK[],19,FALSE)*VENTAS[[#This Row],[Cantidad]],VENTAS[[#This Row],[Total]])</f>
        <v>16.3333333333333</v>
      </c>
      <c r="L402" s="14">
        <f>VENTAS[[#This Row],[Total]]-VENTAS[[#This Row],[Comisión 10%]]-VENTAS[[#This Row],[Costo SIN Comision]]</f>
        <v>13.6666666666667</v>
      </c>
      <c r="M402" s="14"/>
    </row>
    <row r="403" ht="20" hidden="1" customHeight="1" spans="1:13">
      <c r="A403" s="42" t="s">
        <v>4139</v>
      </c>
      <c r="B403" s="11"/>
      <c r="C403" s="11" t="s">
        <v>4140</v>
      </c>
      <c r="D403" s="11"/>
      <c r="E403" s="11" t="s">
        <v>305</v>
      </c>
      <c r="F403" s="11" t="str">
        <f>IFERROR(VLOOKUP(VENTAS[[#This Row],[Código del producto Vendido]],STOCK[],5,FALSE),"-")</f>
        <v>Conjunto short, camisa y top</v>
      </c>
      <c r="G403" s="11">
        <v>1</v>
      </c>
      <c r="H403" s="14">
        <v>16.83</v>
      </c>
      <c r="I403" s="14">
        <f>VENTAS[[#This Row],[Cantidad]]*VENTAS[[#This Row],[Precio Venta]]</f>
        <v>16.83</v>
      </c>
      <c r="J403" s="14">
        <f>IF(VENTAS[[#This Row],[Nombre del Gestor]]&gt;1,VENTAS[[#This Row],[Total]]*10%,0)</f>
        <v>0</v>
      </c>
      <c r="K403" s="14">
        <f>IFERROR(VLOOKUP(VENTAS[[#This Row],[Código del producto Vendido]],STOCK[],16,FALSE)*VENTAS[[#This Row],[Cantidad]]+VLOOKUP(VENTAS[[#This Row],[Código del producto Vendido]],STOCK[],19,FALSE)*VENTAS[[#This Row],[Cantidad]],VENTAS[[#This Row],[Total]])</f>
        <v>16.8333333333333</v>
      </c>
      <c r="L403" s="14">
        <f>VENTAS[[#This Row],[Total]]-VENTAS[[#This Row],[Comisión 10%]]-VENTAS[[#This Row],[Costo SIN Comision]]</f>
        <v>-0.00333333333330188</v>
      </c>
      <c r="M403" s="14"/>
    </row>
    <row r="404" ht="20" hidden="1" customHeight="1" spans="1:13">
      <c r="A404" s="41" t="s">
        <v>4139</v>
      </c>
      <c r="B404" s="11"/>
      <c r="C404" s="11"/>
      <c r="D404" s="11"/>
      <c r="E404" s="11" t="s">
        <v>863</v>
      </c>
      <c r="F404" s="11" t="str">
        <f>IFERROR(VLOOKUP(VENTAS[[#This Row],[Código del producto Vendido]],STOCK[],5,FALSE),"-")</f>
        <v>Bikini Rosa canalé</v>
      </c>
      <c r="G404" s="11">
        <v>1</v>
      </c>
      <c r="H404" s="14">
        <v>20</v>
      </c>
      <c r="I404" s="14">
        <f>VENTAS[[#This Row],[Cantidad]]*VENTAS[[#This Row],[Precio Venta]]</f>
        <v>20</v>
      </c>
      <c r="J404" s="14">
        <f>IF(VENTAS[[#This Row],[Nombre del Gestor]]&gt;1,VENTAS[[#This Row],[Total]]*10%,0)</f>
        <v>0</v>
      </c>
      <c r="K404" s="14">
        <f>IFERROR(VLOOKUP(VENTAS[[#This Row],[Código del producto Vendido]],STOCK[],16,FALSE)*VENTAS[[#This Row],[Cantidad]]+VLOOKUP(VENTAS[[#This Row],[Código del producto Vendido]],STOCK[],19,FALSE)*VENTAS[[#This Row],[Cantidad]],VENTAS[[#This Row],[Total]])</f>
        <v>13.4444444444444</v>
      </c>
      <c r="L404" s="14">
        <f>VENTAS[[#This Row],[Total]]-VENTAS[[#This Row],[Comisión 10%]]-VENTAS[[#This Row],[Costo SIN Comision]]</f>
        <v>6.5555555555556</v>
      </c>
      <c r="M404" s="14"/>
    </row>
    <row r="405" ht="20" hidden="1" customHeight="1" spans="1:13">
      <c r="A405" s="42" t="s">
        <v>4139</v>
      </c>
      <c r="B405" s="11"/>
      <c r="C405" s="11"/>
      <c r="D405" s="11"/>
      <c r="E405" s="11" t="s">
        <v>1172</v>
      </c>
      <c r="F405" s="11" t="str">
        <f>IFERROR(VLOOKUP(VENTAS[[#This Row],[Código del producto Vendido]],STOCK[],5,FALSE),"-")</f>
        <v>Pullover Dazy cuello redondo Blanco</v>
      </c>
      <c r="G405" s="11">
        <v>1</v>
      </c>
      <c r="H405" s="14">
        <v>14</v>
      </c>
      <c r="I405" s="14">
        <f>VENTAS[[#This Row],[Cantidad]]*VENTAS[[#This Row],[Precio Venta]]</f>
        <v>14</v>
      </c>
      <c r="J405" s="14">
        <f>IF(VENTAS[[#This Row],[Nombre del Gestor]]&gt;1,VENTAS[[#This Row],[Total]]*10%,0)</f>
        <v>0</v>
      </c>
      <c r="K405" s="14">
        <f>IFERROR(VLOOKUP(VENTAS[[#This Row],[Código del producto Vendido]],STOCK[],16,FALSE)*VENTAS[[#This Row],[Cantidad]]+VLOOKUP(VENTAS[[#This Row],[Código del producto Vendido]],STOCK[],19,FALSE)*VENTAS[[#This Row],[Cantidad]],VENTAS[[#This Row],[Total]])</f>
        <v>8.61</v>
      </c>
      <c r="L405" s="14">
        <f>VENTAS[[#This Row],[Total]]-VENTAS[[#This Row],[Comisión 10%]]-VENTAS[[#This Row],[Costo SIN Comision]]</f>
        <v>5.39</v>
      </c>
      <c r="M405" s="14"/>
    </row>
    <row r="406" ht="20" hidden="1" customHeight="1" spans="1:13">
      <c r="A406" s="41" t="s">
        <v>4139</v>
      </c>
      <c r="B406" s="11"/>
      <c r="C406" s="11" t="s">
        <v>4141</v>
      </c>
      <c r="D406" s="11"/>
      <c r="E406" s="11" t="s">
        <v>1160</v>
      </c>
      <c r="F406" s="11" t="str">
        <f>IFERROR(VLOOKUP(VENTAS[[#This Row],[Código del producto Vendido]],STOCK[],5,FALSE),"-")</f>
        <v>Pullover negro cuello redondo</v>
      </c>
      <c r="G406" s="11">
        <v>1</v>
      </c>
      <c r="H406" s="14">
        <v>14</v>
      </c>
      <c r="I406" s="14">
        <f>VENTAS[[#This Row],[Cantidad]]*VENTAS[[#This Row],[Precio Venta]]</f>
        <v>14</v>
      </c>
      <c r="J406" s="14">
        <f>IF(VENTAS[[#This Row],[Nombre del Gestor]]&gt;1,VENTAS[[#This Row],[Total]]*10%,0)</f>
        <v>0</v>
      </c>
      <c r="K406" s="14">
        <f>IFERROR(VLOOKUP(VENTAS[[#This Row],[Código del producto Vendido]],STOCK[],16,FALSE)*VENTAS[[#This Row],[Cantidad]]+VLOOKUP(VENTAS[[#This Row],[Código del producto Vendido]],STOCK[],19,FALSE)*VENTAS[[#This Row],[Cantidad]],VENTAS[[#This Row],[Total]])</f>
        <v>8.53</v>
      </c>
      <c r="L406" s="14">
        <f>VENTAS[[#This Row],[Total]]-VENTAS[[#This Row],[Comisión 10%]]-VENTAS[[#This Row],[Costo SIN Comision]]</f>
        <v>5.47</v>
      </c>
      <c r="M406" s="14"/>
    </row>
    <row r="407" ht="20" hidden="1" customHeight="1" spans="1:13">
      <c r="A407" s="42" t="s">
        <v>4139</v>
      </c>
      <c r="B407" s="11"/>
      <c r="C407" s="11" t="s">
        <v>4141</v>
      </c>
      <c r="D407" s="11"/>
      <c r="E407" s="11" t="s">
        <v>1233</v>
      </c>
      <c r="F407" s="11" t="str">
        <f>IFERROR(VLOOKUP(VENTAS[[#This Row],[Código del producto Vendido]],STOCK[],5,FALSE),"-")</f>
        <v>Short elegante de pierna ancha con doblez </v>
      </c>
      <c r="G407" s="11">
        <v>1</v>
      </c>
      <c r="H407" s="14">
        <v>20</v>
      </c>
      <c r="I407" s="14">
        <f>VENTAS[[#This Row],[Cantidad]]*VENTAS[[#This Row],[Precio Venta]]</f>
        <v>20</v>
      </c>
      <c r="J407" s="14">
        <f>IF(VENTAS[[#This Row],[Nombre del Gestor]]&gt;1,VENTAS[[#This Row],[Total]]*10%,0)</f>
        <v>0</v>
      </c>
      <c r="K407" s="14">
        <f>IFERROR(VLOOKUP(VENTAS[[#This Row],[Código del producto Vendido]],STOCK[],16,FALSE)*VENTAS[[#This Row],[Cantidad]]+VLOOKUP(VENTAS[[#This Row],[Código del producto Vendido]],STOCK[],19,FALSE)*VENTAS[[#This Row],[Cantidad]],VENTAS[[#This Row],[Total]])</f>
        <v>14.37</v>
      </c>
      <c r="L407" s="14">
        <f>VENTAS[[#This Row],[Total]]-VENTAS[[#This Row],[Comisión 10%]]-VENTAS[[#This Row],[Costo SIN Comision]]</f>
        <v>5.63</v>
      </c>
      <c r="M407" s="14"/>
    </row>
    <row r="408" ht="20" hidden="1" customHeight="1" spans="1:13">
      <c r="A408" s="41" t="s">
        <v>4139</v>
      </c>
      <c r="B408" s="11"/>
      <c r="C408" s="11" t="s">
        <v>4141</v>
      </c>
      <c r="D408" s="11"/>
      <c r="E408" s="11" t="s">
        <v>1237</v>
      </c>
      <c r="F408" s="11" t="str">
        <f>IFERROR(VLOOKUP(VENTAS[[#This Row],[Código del producto Vendido]],STOCK[],5,FALSE),"-")</f>
        <v>Cinturón de hebilla dorada</v>
      </c>
      <c r="G408" s="11">
        <v>1</v>
      </c>
      <c r="H408" s="14">
        <v>12</v>
      </c>
      <c r="I408" s="14">
        <f>VENTAS[[#This Row],[Cantidad]]*VENTAS[[#This Row],[Precio Venta]]</f>
        <v>12</v>
      </c>
      <c r="J408" s="14">
        <f>IF(VENTAS[[#This Row],[Nombre del Gestor]]&gt;1,VENTAS[[#This Row],[Total]]*10%,0)</f>
        <v>0</v>
      </c>
      <c r="K408" s="14">
        <f>IFERROR(VLOOKUP(VENTAS[[#This Row],[Código del producto Vendido]],STOCK[],16,FALSE)*VENTAS[[#This Row],[Cantidad]]+VLOOKUP(VENTAS[[#This Row],[Código del producto Vendido]],STOCK[],19,FALSE)*VENTAS[[#This Row],[Cantidad]],VENTAS[[#This Row],[Total]])</f>
        <v>5.17</v>
      </c>
      <c r="L408" s="14">
        <f>VENTAS[[#This Row],[Total]]-VENTAS[[#This Row],[Comisión 10%]]-VENTAS[[#This Row],[Costo SIN Comision]]</f>
        <v>6.83</v>
      </c>
      <c r="M408" s="14"/>
    </row>
    <row r="409" ht="20" hidden="1" customHeight="1" spans="1:13">
      <c r="A409" s="42" t="s">
        <v>4139</v>
      </c>
      <c r="B409" s="11"/>
      <c r="C409" s="11" t="s">
        <v>4141</v>
      </c>
      <c r="D409" s="11"/>
      <c r="E409" s="11" t="s">
        <v>1241</v>
      </c>
      <c r="F409" s="11" t="str">
        <f>IFERROR(VLOOKUP(VENTAS[[#This Row],[Código del producto Vendido]],STOCK[],5,FALSE),"-")</f>
        <v>Cinturón negro con hebilla dorada</v>
      </c>
      <c r="G409" s="11">
        <v>1</v>
      </c>
      <c r="H409" s="14">
        <v>12</v>
      </c>
      <c r="I409" s="14">
        <f>VENTAS[[#This Row],[Cantidad]]*VENTAS[[#This Row],[Precio Venta]]</f>
        <v>12</v>
      </c>
      <c r="J409" s="14">
        <f>IF(VENTAS[[#This Row],[Nombre del Gestor]]&gt;1,VENTAS[[#This Row],[Total]]*10%,0)</f>
        <v>0</v>
      </c>
      <c r="K409" s="14">
        <f>IFERROR(VLOOKUP(VENTAS[[#This Row],[Código del producto Vendido]],STOCK[],16,FALSE)*VENTAS[[#This Row],[Cantidad]]+VLOOKUP(VENTAS[[#This Row],[Código del producto Vendido]],STOCK[],19,FALSE)*VENTAS[[#This Row],[Cantidad]],VENTAS[[#This Row],[Total]])</f>
        <v>4.61</v>
      </c>
      <c r="L409" s="14">
        <f>VENTAS[[#This Row],[Total]]-VENTAS[[#This Row],[Comisión 10%]]-VENTAS[[#This Row],[Costo SIN Comision]]</f>
        <v>7.39</v>
      </c>
      <c r="M409" s="14"/>
    </row>
    <row r="410" ht="20" hidden="1" customHeight="1" spans="1:13">
      <c r="A410" s="41" t="s">
        <v>4139</v>
      </c>
      <c r="B410" s="11"/>
      <c r="C410" s="11" t="s">
        <v>4142</v>
      </c>
      <c r="D410" s="11"/>
      <c r="E410" s="11" t="s">
        <v>1265</v>
      </c>
      <c r="F410" s="11" t="str">
        <f>IFERROR(VLOOKUP(VENTAS[[#This Row],[Código del producto Vendido]],STOCK[],5,FALSE),"-")</f>
        <v>Pantaloneta negra con abertura</v>
      </c>
      <c r="G410" s="11">
        <v>1</v>
      </c>
      <c r="H410" s="14">
        <v>23</v>
      </c>
      <c r="I410" s="14">
        <f>VENTAS[[#This Row],[Cantidad]]*VENTAS[[#This Row],[Precio Venta]]</f>
        <v>23</v>
      </c>
      <c r="J410" s="14">
        <f>IF(VENTAS[[#This Row],[Nombre del Gestor]]&gt;1,VENTAS[[#This Row],[Total]]*10%,0)</f>
        <v>0</v>
      </c>
      <c r="K410" s="14">
        <f>IFERROR(VLOOKUP(VENTAS[[#This Row],[Código del producto Vendido]],STOCK[],16,FALSE)*VENTAS[[#This Row],[Cantidad]]+VLOOKUP(VENTAS[[#This Row],[Código del producto Vendido]],STOCK[],19,FALSE)*VENTAS[[#This Row],[Cantidad]],VENTAS[[#This Row],[Total]])</f>
        <v>15.22</v>
      </c>
      <c r="L410" s="14">
        <f>VENTAS[[#This Row],[Total]]-VENTAS[[#This Row],[Comisión 10%]]-VENTAS[[#This Row],[Costo SIN Comision]]</f>
        <v>7.78</v>
      </c>
      <c r="M410" s="14"/>
    </row>
    <row r="411" ht="20" hidden="1" customHeight="1" spans="1:13">
      <c r="A411" s="42" t="s">
        <v>4139</v>
      </c>
      <c r="B411" s="11"/>
      <c r="C411" s="11" t="s">
        <v>4142</v>
      </c>
      <c r="D411" s="11"/>
      <c r="E411" s="11" t="s">
        <v>1267</v>
      </c>
      <c r="F411" s="11" t="str">
        <f>IFERROR(VLOOKUP(VENTAS[[#This Row],[Código del producto Vendido]],STOCK[],5,FALSE),"-")</f>
        <v>Top asimétrico blanco</v>
      </c>
      <c r="G411" s="11">
        <v>1</v>
      </c>
      <c r="H411" s="14">
        <v>12</v>
      </c>
      <c r="I411" s="14">
        <f>VENTAS[[#This Row],[Cantidad]]*VENTAS[[#This Row],[Precio Venta]]</f>
        <v>12</v>
      </c>
      <c r="J411" s="14">
        <f>IF(VENTAS[[#This Row],[Nombre del Gestor]]&gt;1,VENTAS[[#This Row],[Total]]*10%,0)</f>
        <v>0</v>
      </c>
      <c r="K411" s="14">
        <f>IFERROR(VLOOKUP(VENTAS[[#This Row],[Código del producto Vendido]],STOCK[],16,FALSE)*VENTAS[[#This Row],[Cantidad]]+VLOOKUP(VENTAS[[#This Row],[Código del producto Vendido]],STOCK[],19,FALSE)*VENTAS[[#This Row],[Cantidad]],VENTAS[[#This Row],[Total]])</f>
        <v>5.77</v>
      </c>
      <c r="L411" s="14">
        <f>VENTAS[[#This Row],[Total]]-VENTAS[[#This Row],[Comisión 10%]]-VENTAS[[#This Row],[Costo SIN Comision]]</f>
        <v>6.23</v>
      </c>
      <c r="M411" s="14"/>
    </row>
    <row r="412" ht="20" hidden="1" customHeight="1" spans="1:13">
      <c r="A412" s="41" t="s">
        <v>4139</v>
      </c>
      <c r="B412" s="11"/>
      <c r="C412" s="11" t="s">
        <v>4142</v>
      </c>
      <c r="D412" s="11"/>
      <c r="E412" s="11" t="s">
        <v>1288</v>
      </c>
      <c r="F412" s="11" t="str">
        <f>IFERROR(VLOOKUP(VENTAS[[#This Row],[Código del producto Vendido]],STOCK[],5,FALSE),"-")</f>
        <v>Pantalón rosado fuccia</v>
      </c>
      <c r="G412" s="11">
        <v>1</v>
      </c>
      <c r="H412" s="14">
        <v>30</v>
      </c>
      <c r="I412" s="14">
        <f>VENTAS[[#This Row],[Cantidad]]*VENTAS[[#This Row],[Precio Venta]]</f>
        <v>30</v>
      </c>
      <c r="J412" s="14">
        <f>IF(VENTAS[[#This Row],[Nombre del Gestor]]&gt;1,VENTAS[[#This Row],[Total]]*10%,0)</f>
        <v>0</v>
      </c>
      <c r="K412" s="14">
        <f>IFERROR(VLOOKUP(VENTAS[[#This Row],[Código del producto Vendido]],STOCK[],16,FALSE)*VENTAS[[#This Row],[Cantidad]]+VLOOKUP(VENTAS[[#This Row],[Código del producto Vendido]],STOCK[],19,FALSE)*VENTAS[[#This Row],[Cantidad]],VENTAS[[#This Row],[Total]])</f>
        <v>20.78</v>
      </c>
      <c r="L412" s="14">
        <f>VENTAS[[#This Row],[Total]]-VENTAS[[#This Row],[Comisión 10%]]-VENTAS[[#This Row],[Costo SIN Comision]]</f>
        <v>9.22</v>
      </c>
      <c r="M412" s="14"/>
    </row>
    <row r="413" ht="20" hidden="1" customHeight="1" spans="1:13">
      <c r="A413" s="42" t="s">
        <v>4139</v>
      </c>
      <c r="B413" s="11"/>
      <c r="C413" s="11" t="s">
        <v>4142</v>
      </c>
      <c r="D413" s="11"/>
      <c r="E413" s="11" t="s">
        <v>4143</v>
      </c>
      <c r="F413" s="11" t="str">
        <f>IFERROR(VLOOKUP(VENTAS[[#This Row],[Código del producto Vendido]],STOCK[],5,FALSE),"-")</f>
        <v>-</v>
      </c>
      <c r="G413" s="11">
        <v>1</v>
      </c>
      <c r="H413" s="14">
        <v>30</v>
      </c>
      <c r="I413" s="14">
        <f>VENTAS[[#This Row],[Cantidad]]*VENTAS[[#This Row],[Precio Venta]]</f>
        <v>30</v>
      </c>
      <c r="J413" s="14">
        <f>IF(VENTAS[[#This Row],[Nombre del Gestor]]&gt;1,VENTAS[[#This Row],[Total]]*10%,0)</f>
        <v>0</v>
      </c>
      <c r="K413" s="14">
        <f>IFERROR(VLOOKUP(VENTAS[[#This Row],[Código del producto Vendido]],STOCK[],16,FALSE)*VENTAS[[#This Row],[Cantidad]]+VLOOKUP(VENTAS[[#This Row],[Código del producto Vendido]],STOCK[],19,FALSE)*VENTAS[[#This Row],[Cantidad]],VENTAS[[#This Row],[Total]])</f>
        <v>30</v>
      </c>
      <c r="L413" s="14">
        <f>VENTAS[[#This Row],[Total]]-VENTAS[[#This Row],[Comisión 10%]]-VENTAS[[#This Row],[Costo SIN Comision]]</f>
        <v>0</v>
      </c>
      <c r="M413" s="14"/>
    </row>
    <row r="414" ht="20" hidden="1" customHeight="1" spans="1:13">
      <c r="A414" s="41" t="s">
        <v>4139</v>
      </c>
      <c r="B414" s="11"/>
      <c r="C414" s="11" t="s">
        <v>4142</v>
      </c>
      <c r="D414" s="11"/>
      <c r="E414" s="11" t="s">
        <v>963</v>
      </c>
      <c r="F414" s="11" t="str">
        <f>IFERROR(VLOOKUP(VENTAS[[#This Row],[Código del producto Vendido]],STOCK[],5,FALSE),"-")</f>
        <v>Pantalón Business Básico</v>
      </c>
      <c r="G414" s="11">
        <v>1</v>
      </c>
      <c r="H414" s="14">
        <v>30</v>
      </c>
      <c r="I414" s="14">
        <f>VENTAS[[#This Row],[Cantidad]]*VENTAS[[#This Row],[Precio Venta]]</f>
        <v>30</v>
      </c>
      <c r="J414" s="14">
        <f>IF(VENTAS[[#This Row],[Nombre del Gestor]]&gt;1,VENTAS[[#This Row],[Total]]*10%,0)</f>
        <v>0</v>
      </c>
      <c r="K414" s="14">
        <f>IFERROR(VLOOKUP(VENTAS[[#This Row],[Código del producto Vendido]],STOCK[],16,FALSE)*VENTAS[[#This Row],[Cantidad]]+VLOOKUP(VENTAS[[#This Row],[Código del producto Vendido]],STOCK[],19,FALSE)*VENTAS[[#This Row],[Cantidad]],VENTAS[[#This Row],[Total]])</f>
        <v>21.3722727272727</v>
      </c>
      <c r="L414" s="14">
        <f>VENTAS[[#This Row],[Total]]-VENTAS[[#This Row],[Comisión 10%]]-VENTAS[[#This Row],[Costo SIN Comision]]</f>
        <v>8.6277272727273</v>
      </c>
      <c r="M414" s="14"/>
    </row>
    <row r="415" ht="20" hidden="1" customHeight="1" spans="1:13">
      <c r="A415" s="42" t="s">
        <v>4139</v>
      </c>
      <c r="B415" s="11"/>
      <c r="C415" s="11" t="s">
        <v>4142</v>
      </c>
      <c r="D415" s="11"/>
      <c r="E415" s="11" t="s">
        <v>432</v>
      </c>
      <c r="F415" s="11" t="str">
        <f>IFERROR(VLOOKUP(VENTAS[[#This Row],[Código del producto Vendido]],STOCK[],5,FALSE),"-")</f>
        <v>Vestido con cordón de espalda cruzada</v>
      </c>
      <c r="G415" s="11">
        <v>1</v>
      </c>
      <c r="H415" s="14">
        <v>28</v>
      </c>
      <c r="I415" s="14">
        <f>VENTAS[[#This Row],[Cantidad]]*VENTAS[[#This Row],[Precio Venta]]</f>
        <v>28</v>
      </c>
      <c r="J415" s="14">
        <f>IF(VENTAS[[#This Row],[Nombre del Gestor]]&gt;1,VENTAS[[#This Row],[Total]]*10%,0)</f>
        <v>0</v>
      </c>
      <c r="K415" s="14">
        <f>IFERROR(VLOOKUP(VENTAS[[#This Row],[Código del producto Vendido]],STOCK[],16,FALSE)*VENTAS[[#This Row],[Cantidad]]+VLOOKUP(VENTAS[[#This Row],[Código del producto Vendido]],STOCK[],19,FALSE)*VENTAS[[#This Row],[Cantidad]],VENTAS[[#This Row],[Total]])</f>
        <v>15.9077777777778</v>
      </c>
      <c r="L415" s="14">
        <f>VENTAS[[#This Row],[Total]]-VENTAS[[#This Row],[Comisión 10%]]-VENTAS[[#This Row],[Costo SIN Comision]]</f>
        <v>12.0922222222222</v>
      </c>
      <c r="M415" s="14"/>
    </row>
    <row r="416" ht="20" hidden="1" customHeight="1" spans="1:13">
      <c r="A416" s="41" t="s">
        <v>4139</v>
      </c>
      <c r="B416" s="11"/>
      <c r="C416" s="11" t="s">
        <v>4144</v>
      </c>
      <c r="D416" s="11"/>
      <c r="E416" s="11" t="s">
        <v>229</v>
      </c>
      <c r="F416" s="11" t="str">
        <f>IFERROR(VLOOKUP(VENTAS[[#This Row],[Código del producto Vendido]],STOCK[],5,FALSE),"-")</f>
        <v>Pantalón pierna ancha con cinturón</v>
      </c>
      <c r="G416" s="11">
        <v>1</v>
      </c>
      <c r="H416" s="14">
        <v>25</v>
      </c>
      <c r="I416" s="14">
        <f>VENTAS[[#This Row],[Cantidad]]*VENTAS[[#This Row],[Precio Venta]]</f>
        <v>25</v>
      </c>
      <c r="J416" s="14">
        <f>IF(VENTAS[[#This Row],[Nombre del Gestor]]&gt;1,VENTAS[[#This Row],[Total]]*10%,0)</f>
        <v>0</v>
      </c>
      <c r="K416" s="14">
        <f>IFERROR(VLOOKUP(VENTAS[[#This Row],[Código del producto Vendido]],STOCK[],16,FALSE)*VENTAS[[#This Row],[Cantidad]]+VLOOKUP(VENTAS[[#This Row],[Código del producto Vendido]],STOCK[],19,FALSE)*VENTAS[[#This Row],[Cantidad]],VENTAS[[#This Row],[Total]])</f>
        <v>13.9444444444444</v>
      </c>
      <c r="L416" s="14">
        <f>VENTAS[[#This Row],[Total]]-VENTAS[[#This Row],[Comisión 10%]]-VENTAS[[#This Row],[Costo SIN Comision]]</f>
        <v>11.0555555555556</v>
      </c>
      <c r="M416" s="14"/>
    </row>
    <row r="417" ht="20" hidden="1" customHeight="1" spans="1:13">
      <c r="A417" s="42" t="s">
        <v>4145</v>
      </c>
      <c r="B417" s="11"/>
      <c r="C417" s="11" t="s">
        <v>4144</v>
      </c>
      <c r="D417" s="11"/>
      <c r="E417" s="11" t="s">
        <v>1052</v>
      </c>
      <c r="F417" s="11" t="str">
        <f>IFERROR(VLOOKUP(VENTAS[[#This Row],[Código del producto Vendido]],STOCK[],5,FALSE),"-")</f>
        <v>Pantaloneta Camel</v>
      </c>
      <c r="G417" s="11">
        <v>1</v>
      </c>
      <c r="H417" s="14">
        <v>30</v>
      </c>
      <c r="I417" s="14">
        <f>VENTAS[[#This Row],[Cantidad]]*VENTAS[[#This Row],[Precio Venta]]</f>
        <v>30</v>
      </c>
      <c r="J417" s="14">
        <f>IF(VENTAS[[#This Row],[Nombre del Gestor]]&gt;1,VENTAS[[#This Row],[Total]]*10%,0)</f>
        <v>0</v>
      </c>
      <c r="K417" s="14">
        <f>IFERROR(VLOOKUP(VENTAS[[#This Row],[Código del producto Vendido]],STOCK[],16,FALSE)*VENTAS[[#This Row],[Cantidad]]+VLOOKUP(VENTAS[[#This Row],[Código del producto Vendido]],STOCK[],19,FALSE)*VENTAS[[#This Row],[Cantidad]],VENTAS[[#This Row],[Total]])</f>
        <v>18.6477272727273</v>
      </c>
      <c r="L417" s="14">
        <f>VENTAS[[#This Row],[Total]]-VENTAS[[#This Row],[Comisión 10%]]-VENTAS[[#This Row],[Costo SIN Comision]]</f>
        <v>11.3522727272727</v>
      </c>
      <c r="M417" s="14"/>
    </row>
    <row r="418" ht="20" hidden="1" customHeight="1" spans="1:13">
      <c r="A418" s="41" t="s">
        <v>4145</v>
      </c>
      <c r="B418" s="11"/>
      <c r="C418" s="11" t="s">
        <v>4142</v>
      </c>
      <c r="D418" s="11"/>
      <c r="E418" s="11" t="s">
        <v>1202</v>
      </c>
      <c r="F418" s="11" t="str">
        <f>IFERROR(VLOOKUP(VENTAS[[#This Row],[Código del producto Vendido]],STOCK[],5,FALSE),"-")</f>
        <v>Camisa Blanca</v>
      </c>
      <c r="G418" s="11">
        <v>1</v>
      </c>
      <c r="H418" s="14">
        <v>20</v>
      </c>
      <c r="I418" s="14">
        <f>VENTAS[[#This Row],[Cantidad]]*VENTAS[[#This Row],[Precio Venta]]</f>
        <v>20</v>
      </c>
      <c r="J418" s="14">
        <f>IF(VENTAS[[#This Row],[Nombre del Gestor]]&gt;1,VENTAS[[#This Row],[Total]]*10%,0)</f>
        <v>0</v>
      </c>
      <c r="K418" s="14">
        <f>IFERROR(VLOOKUP(VENTAS[[#This Row],[Código del producto Vendido]],STOCK[],16,FALSE)*VENTAS[[#This Row],[Cantidad]]+VLOOKUP(VENTAS[[#This Row],[Código del producto Vendido]],STOCK[],19,FALSE)*VENTAS[[#This Row],[Cantidad]],VENTAS[[#This Row],[Total]])</f>
        <v>12.9</v>
      </c>
      <c r="L418" s="14">
        <f>VENTAS[[#This Row],[Total]]-VENTAS[[#This Row],[Comisión 10%]]-VENTAS[[#This Row],[Costo SIN Comision]]</f>
        <v>7.1</v>
      </c>
      <c r="M418" s="14"/>
    </row>
    <row r="419" ht="20" hidden="1" customHeight="1" spans="1:13">
      <c r="A419" s="42" t="s">
        <v>4145</v>
      </c>
      <c r="B419" s="11"/>
      <c r="C419" s="11" t="s">
        <v>4106</v>
      </c>
      <c r="D419" s="11"/>
      <c r="E419" s="11" t="s">
        <v>1204</v>
      </c>
      <c r="F419" s="11" t="str">
        <f>IFERROR(VLOOKUP(VENTAS[[#This Row],[Código del producto Vendido]],STOCK[],5,FALSE),"-")</f>
        <v>Camisa Blanca</v>
      </c>
      <c r="G419" s="11">
        <v>1</v>
      </c>
      <c r="H419" s="14">
        <v>20</v>
      </c>
      <c r="I419" s="14">
        <f>VENTAS[[#This Row],[Cantidad]]*VENTAS[[#This Row],[Precio Venta]]</f>
        <v>20</v>
      </c>
      <c r="J419" s="14">
        <f>IF(VENTAS[[#This Row],[Nombre del Gestor]]&gt;1,VENTAS[[#This Row],[Total]]*10%,0)</f>
        <v>0</v>
      </c>
      <c r="K419" s="14">
        <f>IFERROR(VLOOKUP(VENTAS[[#This Row],[Código del producto Vendido]],STOCK[],16,FALSE)*VENTAS[[#This Row],[Cantidad]]+VLOOKUP(VENTAS[[#This Row],[Código del producto Vendido]],STOCK[],19,FALSE)*VENTAS[[#This Row],[Cantidad]],VENTAS[[#This Row],[Total]])</f>
        <v>12.9</v>
      </c>
      <c r="L419" s="14">
        <f>VENTAS[[#This Row],[Total]]-VENTAS[[#This Row],[Comisión 10%]]-VENTAS[[#This Row],[Costo SIN Comision]]</f>
        <v>7.1</v>
      </c>
      <c r="M419" s="14"/>
    </row>
    <row r="420" ht="20" hidden="1" customHeight="1" spans="1:13">
      <c r="A420" s="41" t="s">
        <v>4145</v>
      </c>
      <c r="B420" s="11"/>
      <c r="C420" s="11" t="s">
        <v>4106</v>
      </c>
      <c r="D420" s="11"/>
      <c r="E420" s="11" t="s">
        <v>1184</v>
      </c>
      <c r="F420" s="11" t="str">
        <f>IFERROR(VLOOKUP(VENTAS[[#This Row],[Código del producto Vendido]],STOCK[],5,FALSE),"-")</f>
        <v>Short de mezclilla clara con doblez</v>
      </c>
      <c r="G420" s="11">
        <v>1</v>
      </c>
      <c r="H420" s="14">
        <v>25</v>
      </c>
      <c r="I420" s="14">
        <f>VENTAS[[#This Row],[Cantidad]]*VENTAS[[#This Row],[Precio Venta]]</f>
        <v>25</v>
      </c>
      <c r="J420" s="14">
        <f>IF(VENTAS[[#This Row],[Nombre del Gestor]]&gt;1,VENTAS[[#This Row],[Total]]*10%,0)</f>
        <v>0</v>
      </c>
      <c r="K420" s="14">
        <f>IFERROR(VLOOKUP(VENTAS[[#This Row],[Código del producto Vendido]],STOCK[],16,FALSE)*VENTAS[[#This Row],[Cantidad]]+VLOOKUP(VENTAS[[#This Row],[Código del producto Vendido]],STOCK[],19,FALSE)*VENTAS[[#This Row],[Cantidad]],VENTAS[[#This Row],[Total]])</f>
        <v>14.29</v>
      </c>
      <c r="L420" s="14">
        <f>VENTAS[[#This Row],[Total]]-VENTAS[[#This Row],[Comisión 10%]]-VENTAS[[#This Row],[Costo SIN Comision]]</f>
        <v>10.71</v>
      </c>
      <c r="M420" s="14"/>
    </row>
    <row r="421" ht="20" hidden="1" customHeight="1" spans="1:13">
      <c r="A421" s="42" t="s">
        <v>4145</v>
      </c>
      <c r="B421" s="11"/>
      <c r="C421" s="11" t="s">
        <v>4142</v>
      </c>
      <c r="D421" s="11"/>
      <c r="E421" s="11" t="s">
        <v>1123</v>
      </c>
      <c r="F421" s="11" t="str">
        <f>IFERROR(VLOOKUP(VENTAS[[#This Row],[Código del producto Vendido]],STOCK[],5,FALSE),"-")</f>
        <v>Set de lencería de encaje</v>
      </c>
      <c r="G421" s="11">
        <v>1</v>
      </c>
      <c r="H421" s="14">
        <v>15</v>
      </c>
      <c r="I421" s="14">
        <f>VENTAS[[#This Row],[Cantidad]]*VENTAS[[#This Row],[Precio Venta]]</f>
        <v>15</v>
      </c>
      <c r="J421" s="14">
        <f>IF(VENTAS[[#This Row],[Nombre del Gestor]]&gt;1,VENTAS[[#This Row],[Total]]*10%,0)</f>
        <v>0</v>
      </c>
      <c r="K421" s="14">
        <f>IFERROR(VLOOKUP(VENTAS[[#This Row],[Código del producto Vendido]],STOCK[],16,FALSE)*VENTAS[[#This Row],[Cantidad]]+VLOOKUP(VENTAS[[#This Row],[Código del producto Vendido]],STOCK[],19,FALSE)*VENTAS[[#This Row],[Cantidad]],VENTAS[[#This Row],[Total]])</f>
        <v>7.10882352941176</v>
      </c>
      <c r="L421" s="14">
        <f>VENTAS[[#This Row],[Total]]-VENTAS[[#This Row],[Comisión 10%]]-VENTAS[[#This Row],[Costo SIN Comision]]</f>
        <v>7.89117647058824</v>
      </c>
      <c r="M421" s="14"/>
    </row>
    <row r="422" ht="20" hidden="1" customHeight="1" spans="1:13">
      <c r="A422" s="41" t="s">
        <v>4145</v>
      </c>
      <c r="B422" s="11"/>
      <c r="C422" s="11" t="s">
        <v>4106</v>
      </c>
      <c r="D422" s="11"/>
      <c r="E422" s="11" t="s">
        <v>1007</v>
      </c>
      <c r="F422" s="11" t="str">
        <f>IFERROR(VLOOKUP(VENTAS[[#This Row],[Código del producto Vendido]],STOCK[],5,FALSE),"-")</f>
        <v>Bañador una pieza con estampado de planta cremallera</v>
      </c>
      <c r="G422" s="11">
        <v>1</v>
      </c>
      <c r="H422" s="14">
        <v>25</v>
      </c>
      <c r="I422" s="14">
        <f>VENTAS[[#This Row],[Cantidad]]*VENTAS[[#This Row],[Precio Venta]]</f>
        <v>25</v>
      </c>
      <c r="J422" s="14">
        <f>IF(VENTAS[[#This Row],[Nombre del Gestor]]&gt;1,VENTAS[[#This Row],[Total]]*10%,0)</f>
        <v>0</v>
      </c>
      <c r="K422" s="14">
        <f>IFERROR(VLOOKUP(VENTAS[[#This Row],[Código del producto Vendido]],STOCK[],16,FALSE)*VENTAS[[#This Row],[Cantidad]]+VLOOKUP(VENTAS[[#This Row],[Código del producto Vendido]],STOCK[],19,FALSE)*VENTAS[[#This Row],[Cantidad]],VENTAS[[#This Row],[Total]])</f>
        <v>14.6454545454545</v>
      </c>
      <c r="L422" s="14">
        <f>VENTAS[[#This Row],[Total]]-VENTAS[[#This Row],[Comisión 10%]]-VENTAS[[#This Row],[Costo SIN Comision]]</f>
        <v>10.3545454545455</v>
      </c>
      <c r="M422" s="14"/>
    </row>
    <row r="423" ht="20" hidden="1" customHeight="1" spans="1:13">
      <c r="A423" s="42" t="s">
        <v>4145</v>
      </c>
      <c r="B423" s="11"/>
      <c r="C423" s="11" t="s">
        <v>4107</v>
      </c>
      <c r="D423" s="11"/>
      <c r="E423" s="11" t="s">
        <v>1253</v>
      </c>
      <c r="F423" s="11" t="str">
        <f>IFERROR(VLOOKUP(VENTAS[[#This Row],[Código del producto Vendido]],STOCK[],5,FALSE),"-")</f>
        <v>Pantaloneta verde</v>
      </c>
      <c r="G423" s="11">
        <v>1</v>
      </c>
      <c r="H423" s="14">
        <v>18.52</v>
      </c>
      <c r="I423" s="14">
        <f>VENTAS[[#This Row],[Cantidad]]*VENTAS[[#This Row],[Precio Venta]]</f>
        <v>18.52</v>
      </c>
      <c r="J423" s="14">
        <f>IF(VENTAS[[#This Row],[Nombre del Gestor]]&gt;1,VENTAS[[#This Row],[Total]]*10%,0)</f>
        <v>0</v>
      </c>
      <c r="K423" s="14">
        <f>IFERROR(VLOOKUP(VENTAS[[#This Row],[Código del producto Vendido]],STOCK[],16,FALSE)*VENTAS[[#This Row],[Cantidad]]+VLOOKUP(VENTAS[[#This Row],[Código del producto Vendido]],STOCK[],19,FALSE)*VENTAS[[#This Row],[Cantidad]],VENTAS[[#This Row],[Total]])</f>
        <v>18.3</v>
      </c>
      <c r="L423" s="14">
        <f>VENTAS[[#This Row],[Total]]-VENTAS[[#This Row],[Comisión 10%]]-VENTAS[[#This Row],[Costo SIN Comision]]</f>
        <v>0.219999999999999</v>
      </c>
      <c r="M423" s="14"/>
    </row>
    <row r="424" ht="20" hidden="1" customHeight="1" spans="1:13">
      <c r="A424" s="41" t="s">
        <v>4145</v>
      </c>
      <c r="B424" s="11"/>
      <c r="C424" s="11" t="s">
        <v>4142</v>
      </c>
      <c r="D424" s="11"/>
      <c r="E424" s="11" t="s">
        <v>1271</v>
      </c>
      <c r="F424" s="11" t="str">
        <f>IFERROR(VLOOKUP(VENTAS[[#This Row],[Código del producto Vendido]],STOCK[],5,FALSE),"-")</f>
        <v>Top blanco cuello V con encaje</v>
      </c>
      <c r="G424" s="11">
        <v>1</v>
      </c>
      <c r="H424" s="14">
        <v>12</v>
      </c>
      <c r="I424" s="14">
        <f>VENTAS[[#This Row],[Cantidad]]*VENTAS[[#This Row],[Precio Venta]]</f>
        <v>12</v>
      </c>
      <c r="J424" s="14">
        <f>IF(VENTAS[[#This Row],[Nombre del Gestor]]&gt;1,VENTAS[[#This Row],[Total]]*10%,0)</f>
        <v>0</v>
      </c>
      <c r="K424" s="14">
        <f>IFERROR(VLOOKUP(VENTAS[[#This Row],[Código del producto Vendido]],STOCK[],16,FALSE)*VENTAS[[#This Row],[Cantidad]]+VLOOKUP(VENTAS[[#This Row],[Código del producto Vendido]],STOCK[],19,FALSE)*VENTAS[[#This Row],[Cantidad]],VENTAS[[#This Row],[Total]])</f>
        <v>7.97</v>
      </c>
      <c r="L424" s="14">
        <f>VENTAS[[#This Row],[Total]]-VENTAS[[#This Row],[Comisión 10%]]-VENTAS[[#This Row],[Costo SIN Comision]]</f>
        <v>4.03</v>
      </c>
      <c r="M424" s="14"/>
    </row>
    <row r="425" ht="20" hidden="1" customHeight="1" spans="1:13">
      <c r="A425" s="42" t="s">
        <v>4145</v>
      </c>
      <c r="B425" s="11"/>
      <c r="C425" s="11" t="s">
        <v>4142</v>
      </c>
      <c r="D425" s="11"/>
      <c r="E425" s="11" t="s">
        <v>1279</v>
      </c>
      <c r="F425" s="11" t="str">
        <f>IFERROR(VLOOKUP(VENTAS[[#This Row],[Código del producto Vendido]],STOCK[],5,FALSE),"-")</f>
        <v>Top negro  cuello V con encaje</v>
      </c>
      <c r="G425" s="11">
        <v>1</v>
      </c>
      <c r="H425" s="14">
        <v>12</v>
      </c>
      <c r="I425" s="14">
        <f>VENTAS[[#This Row],[Cantidad]]*VENTAS[[#This Row],[Precio Venta]]</f>
        <v>12</v>
      </c>
      <c r="J425" s="14">
        <f>IF(VENTAS[[#This Row],[Nombre del Gestor]]&gt;1,VENTAS[[#This Row],[Total]]*10%,0)</f>
        <v>0</v>
      </c>
      <c r="K425" s="14">
        <f>IFERROR(VLOOKUP(VENTAS[[#This Row],[Código del producto Vendido]],STOCK[],16,FALSE)*VENTAS[[#This Row],[Cantidad]]+VLOOKUP(VENTAS[[#This Row],[Código del producto Vendido]],STOCK[],19,FALSE)*VENTAS[[#This Row],[Cantidad]],VENTAS[[#This Row],[Total]])</f>
        <v>8.09</v>
      </c>
      <c r="L425" s="14">
        <f>VENTAS[[#This Row],[Total]]-VENTAS[[#This Row],[Comisión 10%]]-VENTAS[[#This Row],[Costo SIN Comision]]</f>
        <v>3.91</v>
      </c>
      <c r="M425" s="14"/>
    </row>
    <row r="426" ht="20" hidden="1" customHeight="1" spans="1:13">
      <c r="A426" s="41" t="s">
        <v>4145</v>
      </c>
      <c r="B426" s="11"/>
      <c r="C426" s="11" t="s">
        <v>4142</v>
      </c>
      <c r="D426" s="11"/>
      <c r="E426" s="11" t="s">
        <v>1255</v>
      </c>
      <c r="F426" s="11" t="str">
        <f>IFERROR(VLOOKUP(VENTAS[[#This Row],[Código del producto Vendido]],STOCK[],5,FALSE),"-")</f>
        <v>Pantaloneta verde</v>
      </c>
      <c r="G426" s="11">
        <v>1</v>
      </c>
      <c r="H426" s="14">
        <v>25</v>
      </c>
      <c r="I426" s="14">
        <f>VENTAS[[#This Row],[Cantidad]]*VENTAS[[#This Row],[Precio Venta]]</f>
        <v>25</v>
      </c>
      <c r="J426" s="14">
        <f>IF(VENTAS[[#This Row],[Nombre del Gestor]]&gt;1,VENTAS[[#This Row],[Total]]*10%,0)</f>
        <v>0</v>
      </c>
      <c r="K426" s="14">
        <f>IFERROR(VLOOKUP(VENTAS[[#This Row],[Código del producto Vendido]],STOCK[],16,FALSE)*VENTAS[[#This Row],[Cantidad]]+VLOOKUP(VENTAS[[#This Row],[Código del producto Vendido]],STOCK[],19,FALSE)*VENTAS[[#This Row],[Cantidad]],VENTAS[[#This Row],[Total]])</f>
        <v>18.3</v>
      </c>
      <c r="L426" s="14">
        <f>VENTAS[[#This Row],[Total]]-VENTAS[[#This Row],[Comisión 10%]]-VENTAS[[#This Row],[Costo SIN Comision]]</f>
        <v>6.7</v>
      </c>
      <c r="M426" s="14"/>
    </row>
    <row r="427" ht="20" hidden="1" customHeight="1" spans="1:13">
      <c r="A427" s="42" t="s">
        <v>4145</v>
      </c>
      <c r="B427" s="11"/>
      <c r="C427" s="11" t="s">
        <v>4142</v>
      </c>
      <c r="D427" s="11"/>
      <c r="E427" s="11" t="s">
        <v>1102</v>
      </c>
      <c r="F427" s="11" t="str">
        <f>IFERROR(VLOOKUP(VENTAS[[#This Row],[Código del producto Vendido]],STOCK[],5,FALSE),"-")</f>
        <v>Sandalias crema</v>
      </c>
      <c r="G427" s="11">
        <v>1</v>
      </c>
      <c r="H427" s="14">
        <v>35</v>
      </c>
      <c r="I427" s="14">
        <f>VENTAS[[#This Row],[Cantidad]]*VENTAS[[#This Row],[Precio Venta]]</f>
        <v>35</v>
      </c>
      <c r="J427" s="14">
        <f>IF(VENTAS[[#This Row],[Nombre del Gestor]]&gt;1,VENTAS[[#This Row],[Total]]*10%,0)</f>
        <v>0</v>
      </c>
      <c r="K427" s="14">
        <f>IFERROR(VLOOKUP(VENTAS[[#This Row],[Código del producto Vendido]],STOCK[],16,FALSE)*VENTAS[[#This Row],[Cantidad]]+VLOOKUP(VENTAS[[#This Row],[Código del producto Vendido]],STOCK[],19,FALSE)*VENTAS[[#This Row],[Cantidad]],VENTAS[[#This Row],[Total]])</f>
        <v>26.8529411764706</v>
      </c>
      <c r="L427" s="14">
        <f>VENTAS[[#This Row],[Total]]-VENTAS[[#This Row],[Comisión 10%]]-VENTAS[[#This Row],[Costo SIN Comision]]</f>
        <v>8.1470588235294</v>
      </c>
      <c r="M427" s="14"/>
    </row>
    <row r="428" ht="20" hidden="1" customHeight="1" spans="1:13">
      <c r="A428" s="41" t="s">
        <v>4146</v>
      </c>
      <c r="B428" s="11"/>
      <c r="C428" s="11" t="s">
        <v>4147</v>
      </c>
      <c r="D428" s="11"/>
      <c r="E428" s="11" t="s">
        <v>1113</v>
      </c>
      <c r="F428" s="11" t="str">
        <f>IFERROR(VLOOKUP(VENTAS[[#This Row],[Código del producto Vendido]],STOCK[],5,FALSE),"-")</f>
        <v>Bolso de mimbre</v>
      </c>
      <c r="G428" s="11">
        <v>1</v>
      </c>
      <c r="H428" s="14">
        <v>12</v>
      </c>
      <c r="I428" s="14">
        <f>VENTAS[[#This Row],[Cantidad]]*VENTAS[[#This Row],[Precio Venta]]</f>
        <v>12</v>
      </c>
      <c r="J428" s="14">
        <f>IF(VENTAS[[#This Row],[Nombre del Gestor]]&gt;1,VENTAS[[#This Row],[Total]]*10%,0)</f>
        <v>0</v>
      </c>
      <c r="K428" s="14">
        <f>IFERROR(VLOOKUP(VENTAS[[#This Row],[Código del producto Vendido]],STOCK[],16,FALSE)*VENTAS[[#This Row],[Cantidad]]+VLOOKUP(VENTAS[[#This Row],[Código del producto Vendido]],STOCK[],19,FALSE)*VENTAS[[#This Row],[Cantidad]],VENTAS[[#This Row],[Total]])</f>
        <v>11.8286764705882</v>
      </c>
      <c r="L428" s="14">
        <f>VENTAS[[#This Row],[Total]]-VENTAS[[#This Row],[Comisión 10%]]-VENTAS[[#This Row],[Costo SIN Comision]]</f>
        <v>0.171323529411758</v>
      </c>
      <c r="M428" s="14"/>
    </row>
    <row r="429" ht="20" hidden="1" customHeight="1" spans="1:13">
      <c r="A429" s="42" t="s">
        <v>4146</v>
      </c>
      <c r="B429" s="11"/>
      <c r="C429" s="11" t="s">
        <v>4147</v>
      </c>
      <c r="D429" s="11"/>
      <c r="E429" s="11" t="s">
        <v>617</v>
      </c>
      <c r="F429" s="11" t="str">
        <f>IFERROR(VLOOKUP(VENTAS[[#This Row],[Código del producto Vendido]],STOCK[],5,FALSE),"-")</f>
        <v>Cinturón trenzado </v>
      </c>
      <c r="G429" s="11">
        <v>1</v>
      </c>
      <c r="H429" s="14">
        <v>10</v>
      </c>
      <c r="I429" s="14">
        <f>VENTAS[[#This Row],[Cantidad]]*VENTAS[[#This Row],[Precio Venta]]</f>
        <v>10</v>
      </c>
      <c r="J429" s="14">
        <f>IF(VENTAS[[#This Row],[Nombre del Gestor]]&gt;1,VENTAS[[#This Row],[Total]]*10%,0)</f>
        <v>0</v>
      </c>
      <c r="K429" s="14">
        <f>IFERROR(VLOOKUP(VENTAS[[#This Row],[Código del producto Vendido]],STOCK[],16,FALSE)*VENTAS[[#This Row],[Cantidad]]+VLOOKUP(VENTAS[[#This Row],[Código del producto Vendido]],STOCK[],19,FALSE)*VENTAS[[#This Row],[Cantidad]],VENTAS[[#This Row],[Total]])</f>
        <v>4.15</v>
      </c>
      <c r="L429" s="14">
        <f>VENTAS[[#This Row],[Total]]-VENTAS[[#This Row],[Comisión 10%]]-VENTAS[[#This Row],[Costo SIN Comision]]</f>
        <v>5.85</v>
      </c>
      <c r="M429" s="14"/>
    </row>
    <row r="430" ht="20" hidden="1" customHeight="1" spans="1:13">
      <c r="A430" s="41" t="s">
        <v>4148</v>
      </c>
      <c r="B430" s="11"/>
      <c r="C430" s="11" t="s">
        <v>4106</v>
      </c>
      <c r="D430" s="11"/>
      <c r="E430" s="11" t="s">
        <v>869</v>
      </c>
      <c r="F430" s="11" t="str">
        <f>IFERROR(VLOOKUP(VENTAS[[#This Row],[Código del producto Vendido]],STOCK[],5,FALSE),"-")</f>
        <v>Bikini push up</v>
      </c>
      <c r="G430" s="11">
        <v>1</v>
      </c>
      <c r="H430" s="14"/>
      <c r="I430" s="14">
        <f>VENTAS[[#This Row],[Cantidad]]*VENTAS[[#This Row],[Precio Venta]]</f>
        <v>0</v>
      </c>
      <c r="J430" s="14">
        <f>IF(VENTAS[[#This Row],[Nombre del Gestor]]&gt;1,VENTAS[[#This Row],[Total]]*10%,0)</f>
        <v>0</v>
      </c>
      <c r="K430" s="14">
        <f>IFERROR(VLOOKUP(VENTAS[[#This Row],[Código del producto Vendido]],STOCK[],16,FALSE)*VENTAS[[#This Row],[Cantidad]]+VLOOKUP(VENTAS[[#This Row],[Código del producto Vendido]],STOCK[],19,FALSE)*VENTAS[[#This Row],[Cantidad]],VENTAS[[#This Row],[Total]])</f>
        <v>10.3333333333333</v>
      </c>
      <c r="L430" s="14">
        <f>VENTAS[[#This Row],[Total]]-VENTAS[[#This Row],[Comisión 10%]]-VENTAS[[#This Row],[Costo SIN Comision]]</f>
        <v>-10.3333333333333</v>
      </c>
      <c r="M430" s="14"/>
    </row>
    <row r="431" ht="20" hidden="1" customHeight="1" spans="1:13">
      <c r="A431" s="41" t="s">
        <v>4149</v>
      </c>
      <c r="B431" s="11"/>
      <c r="C431" s="11" t="s">
        <v>4150</v>
      </c>
      <c r="D431" s="11"/>
      <c r="E431" s="11" t="s">
        <v>692</v>
      </c>
      <c r="F431" s="11" t="str">
        <f>IFERROR(VLOOKUP(VENTAS[[#This Row],[Código del producto Vendido]],STOCK[],5,FALSE),"-")</f>
        <v>Vestido con estampado de cereza</v>
      </c>
      <c r="G431" s="11">
        <v>1</v>
      </c>
      <c r="H431" s="14">
        <v>5</v>
      </c>
      <c r="I431" s="14">
        <f>VENTAS[[#This Row],[Cantidad]]*VENTAS[[#This Row],[Precio Venta]]</f>
        <v>5</v>
      </c>
      <c r="J431" s="14">
        <f>IF(VENTAS[[#This Row],[Nombre del Gestor]]&gt;1,VENTAS[[#This Row],[Total]]*10%,0)</f>
        <v>0</v>
      </c>
      <c r="K431" s="14">
        <f>IFERROR(VLOOKUP(VENTAS[[#This Row],[Código del producto Vendido]],STOCK[],16,FALSE)*VENTAS[[#This Row],[Cantidad]]+VLOOKUP(VENTAS[[#This Row],[Código del producto Vendido]],STOCK[],19,FALSE)*VENTAS[[#This Row],[Cantidad]],VENTAS[[#This Row],[Total]])</f>
        <v>6.88333333333333</v>
      </c>
      <c r="L431" s="14">
        <f>VENTAS[[#This Row],[Total]]-VENTAS[[#This Row],[Comisión 10%]]-VENTAS[[#This Row],[Costo SIN Comision]]</f>
        <v>-1.88333333333333</v>
      </c>
      <c r="M431" s="14"/>
    </row>
    <row r="432" ht="20" hidden="1" customHeight="1" spans="1:13">
      <c r="A432" s="42" t="s">
        <v>4149</v>
      </c>
      <c r="B432" s="11"/>
      <c r="C432" s="11" t="s">
        <v>4151</v>
      </c>
      <c r="D432" s="11"/>
      <c r="E432" s="11" t="s">
        <v>692</v>
      </c>
      <c r="F432" s="11" t="str">
        <f>IFERROR(VLOOKUP(VENTAS[[#This Row],[Código del producto Vendido]],STOCK[],5,FALSE),"-")</f>
        <v>Vestido con estampado de cereza</v>
      </c>
      <c r="G432" s="11">
        <v>1</v>
      </c>
      <c r="H432" s="14">
        <v>5</v>
      </c>
      <c r="I432" s="14">
        <f>VENTAS[[#This Row],[Cantidad]]*VENTAS[[#This Row],[Precio Venta]]</f>
        <v>5</v>
      </c>
      <c r="J432" s="14">
        <f>IF(VENTAS[[#This Row],[Nombre del Gestor]]&gt;1,VENTAS[[#This Row],[Total]]*10%,0)</f>
        <v>0</v>
      </c>
      <c r="K432" s="14">
        <f>IFERROR(VLOOKUP(VENTAS[[#This Row],[Código del producto Vendido]],STOCK[],16,FALSE)*VENTAS[[#This Row],[Cantidad]]+VLOOKUP(VENTAS[[#This Row],[Código del producto Vendido]],STOCK[],19,FALSE)*VENTAS[[#This Row],[Cantidad]],VENTAS[[#This Row],[Total]])</f>
        <v>6.88333333333333</v>
      </c>
      <c r="L432" s="14">
        <f>VENTAS[[#This Row],[Total]]-VENTAS[[#This Row],[Comisión 10%]]-VENTAS[[#This Row],[Costo SIN Comision]]</f>
        <v>-1.88333333333333</v>
      </c>
      <c r="M432" s="14"/>
    </row>
    <row r="433" ht="20" hidden="1" customHeight="1" spans="1:13">
      <c r="A433" s="41" t="s">
        <v>4149</v>
      </c>
      <c r="B433" s="11"/>
      <c r="C433" s="11" t="s">
        <v>4152</v>
      </c>
      <c r="D433" s="11"/>
      <c r="E433" s="11" t="s">
        <v>1293</v>
      </c>
      <c r="F433" s="11" t="str">
        <f>IFERROR(VLOOKUP(VENTAS[[#This Row],[Código del producto Vendido]],STOCK[],5,FALSE),"-")</f>
        <v>Jean skinny oscuro </v>
      </c>
      <c r="G433" s="11">
        <v>1</v>
      </c>
      <c r="H433" s="14">
        <v>35</v>
      </c>
      <c r="I433" s="14">
        <f>VENTAS[[#This Row],[Cantidad]]*VENTAS[[#This Row],[Precio Venta]]</f>
        <v>35</v>
      </c>
      <c r="J433" s="14">
        <f>IF(VENTAS[[#This Row],[Nombre del Gestor]]&gt;1,VENTAS[[#This Row],[Total]]*10%,0)</f>
        <v>0</v>
      </c>
      <c r="K433" s="14">
        <f>IFERROR(VLOOKUP(VENTAS[[#This Row],[Código del producto Vendido]],STOCK[],16,FALSE)*VENTAS[[#This Row],[Cantidad]]+VLOOKUP(VENTAS[[#This Row],[Código del producto Vendido]],STOCK[],19,FALSE)*VENTAS[[#This Row],[Cantidad]],VENTAS[[#This Row],[Total]])</f>
        <v>20.79</v>
      </c>
      <c r="L433" s="14">
        <f>VENTAS[[#This Row],[Total]]-VENTAS[[#This Row],[Comisión 10%]]-VENTAS[[#This Row],[Costo SIN Comision]]</f>
        <v>14.21</v>
      </c>
      <c r="M433" s="14"/>
    </row>
    <row r="434" ht="20" hidden="1" customHeight="1" spans="1:13">
      <c r="A434" s="42" t="s">
        <v>4149</v>
      </c>
      <c r="B434" s="11"/>
      <c r="C434" s="11" t="s">
        <v>4152</v>
      </c>
      <c r="D434" s="11"/>
      <c r="E434" s="11" t="s">
        <v>543</v>
      </c>
      <c r="F434" s="11" t="str">
        <f>IFERROR(VLOOKUP(VENTAS[[#This Row],[Código del producto Vendido]],STOCK[],5,FALSE),"-")</f>
        <v>Body de un hombro manga farol </v>
      </c>
      <c r="G434" s="11">
        <v>1</v>
      </c>
      <c r="H434" s="14">
        <v>14</v>
      </c>
      <c r="I434" s="14">
        <f>VENTAS[[#This Row],[Cantidad]]*VENTAS[[#This Row],[Precio Venta]]</f>
        <v>14</v>
      </c>
      <c r="J434" s="14">
        <f>IF(VENTAS[[#This Row],[Nombre del Gestor]]&gt;1,VENTAS[[#This Row],[Total]]*10%,0)</f>
        <v>0</v>
      </c>
      <c r="K434" s="14">
        <f>IFERROR(VLOOKUP(VENTAS[[#This Row],[Código del producto Vendido]],STOCK[],16,FALSE)*VENTAS[[#This Row],[Cantidad]]+VLOOKUP(VENTAS[[#This Row],[Código del producto Vendido]],STOCK[],19,FALSE)*VENTAS[[#This Row],[Cantidad]],VENTAS[[#This Row],[Total]])</f>
        <v>10.4044444444444</v>
      </c>
      <c r="L434" s="14">
        <f>VENTAS[[#This Row],[Total]]-VENTAS[[#This Row],[Comisión 10%]]-VENTAS[[#This Row],[Costo SIN Comision]]</f>
        <v>3.59555555555556</v>
      </c>
      <c r="M434" s="14"/>
    </row>
    <row r="435" ht="20" hidden="1" customHeight="1" spans="1:13">
      <c r="A435" s="41" t="s">
        <v>4149</v>
      </c>
      <c r="B435" s="11"/>
      <c r="C435" s="11" t="s">
        <v>4152</v>
      </c>
      <c r="D435" s="11"/>
      <c r="E435" s="11" t="s">
        <v>932</v>
      </c>
      <c r="F435" s="11" t="str">
        <f>IFERROR(VLOOKUP(VENTAS[[#This Row],[Código del producto Vendido]],STOCK[],5,FALSE),"-")</f>
        <v>Falda de trabajo</v>
      </c>
      <c r="G435" s="11">
        <v>1</v>
      </c>
      <c r="H435" s="14">
        <v>15</v>
      </c>
      <c r="I435" s="14">
        <f>VENTAS[[#This Row],[Cantidad]]*VENTAS[[#This Row],[Precio Venta]]</f>
        <v>15</v>
      </c>
      <c r="J435" s="14">
        <f>IF(VENTAS[[#This Row],[Nombre del Gestor]]&gt;1,VENTAS[[#This Row],[Total]]*10%,0)</f>
        <v>0</v>
      </c>
      <c r="K435" s="14">
        <f>IFERROR(VLOOKUP(VENTAS[[#This Row],[Código del producto Vendido]],STOCK[],16,FALSE)*VENTAS[[#This Row],[Cantidad]]+VLOOKUP(VENTAS[[#This Row],[Código del producto Vendido]],STOCK[],19,FALSE)*VENTAS[[#This Row],[Cantidad]],VENTAS[[#This Row],[Total]])</f>
        <v>7.83363636363636</v>
      </c>
      <c r="L435" s="14">
        <f>VENTAS[[#This Row],[Total]]-VENTAS[[#This Row],[Comisión 10%]]-VENTAS[[#This Row],[Costo SIN Comision]]</f>
        <v>7.16636363636364</v>
      </c>
      <c r="M435" s="14"/>
    </row>
    <row r="436" ht="20" hidden="1" customHeight="1" spans="1:13">
      <c r="A436" s="42" t="s">
        <v>4149</v>
      </c>
      <c r="B436" s="11"/>
      <c r="C436" s="11" t="s">
        <v>4152</v>
      </c>
      <c r="D436" s="11"/>
      <c r="E436" s="11" t="s">
        <v>741</v>
      </c>
      <c r="F436" s="11" t="str">
        <f>IFERROR(VLOOKUP(VENTAS[[#This Row],[Código del producto Vendido]],STOCK[],5,FALSE),"-")</f>
        <v>Sostén Push-up</v>
      </c>
      <c r="G436" s="11">
        <v>1</v>
      </c>
      <c r="H436" s="14">
        <v>15</v>
      </c>
      <c r="I436" s="14">
        <f>VENTAS[[#This Row],[Cantidad]]*VENTAS[[#This Row],[Precio Venta]]</f>
        <v>15</v>
      </c>
      <c r="J436" s="14">
        <f>IF(VENTAS[[#This Row],[Nombre del Gestor]]&gt;1,VENTAS[[#This Row],[Total]]*10%,0)</f>
        <v>0</v>
      </c>
      <c r="K436" s="14">
        <f>IFERROR(VLOOKUP(VENTAS[[#This Row],[Código del producto Vendido]],STOCK[],16,FALSE)*VENTAS[[#This Row],[Cantidad]]+VLOOKUP(VENTAS[[#This Row],[Código del producto Vendido]],STOCK[],19,FALSE)*VENTAS[[#This Row],[Cantidad]],VENTAS[[#This Row],[Total]])</f>
        <v>11.1333333333333</v>
      </c>
      <c r="L436" s="14">
        <f>VENTAS[[#This Row],[Total]]-VENTAS[[#This Row],[Comisión 10%]]-VENTAS[[#This Row],[Costo SIN Comision]]</f>
        <v>3.8666666666667</v>
      </c>
      <c r="M436" s="14"/>
    </row>
    <row r="437" ht="20" hidden="1" customHeight="1" spans="1:13">
      <c r="A437" s="41" t="s">
        <v>4149</v>
      </c>
      <c r="B437" s="11"/>
      <c r="C437" s="11" t="s">
        <v>4106</v>
      </c>
      <c r="D437" s="11"/>
      <c r="E437" s="11" t="s">
        <v>804</v>
      </c>
      <c r="F437" s="11" t="str">
        <f>IFERROR(VLOOKUP(VENTAS[[#This Row],[Código del producto Vendido]],STOCK[],5,FALSE),"-")</f>
        <v>Vestido slip satinado</v>
      </c>
      <c r="G437" s="11">
        <v>1</v>
      </c>
      <c r="H437" s="14">
        <v>0</v>
      </c>
      <c r="I437" s="14">
        <f>VENTAS[[#This Row],[Cantidad]]*VENTAS[[#This Row],[Precio Venta]]</f>
        <v>0</v>
      </c>
      <c r="J437" s="14">
        <f>IF(VENTAS[[#This Row],[Nombre del Gestor]]&gt;1,VENTAS[[#This Row],[Total]]*10%,0)</f>
        <v>0</v>
      </c>
      <c r="K437" s="14">
        <f>IFERROR(VLOOKUP(VENTAS[[#This Row],[Código del producto Vendido]],STOCK[],16,FALSE)*VENTAS[[#This Row],[Cantidad]]+VLOOKUP(VENTAS[[#This Row],[Código del producto Vendido]],STOCK[],19,FALSE)*VENTAS[[#This Row],[Cantidad]],VENTAS[[#This Row],[Total]])</f>
        <v>8.5</v>
      </c>
      <c r="L437" s="14">
        <f>VENTAS[[#This Row],[Total]]-VENTAS[[#This Row],[Comisión 10%]]-VENTAS[[#This Row],[Costo SIN Comision]]</f>
        <v>-8.5</v>
      </c>
      <c r="M437" s="14"/>
    </row>
    <row r="438" ht="20" hidden="1" customHeight="1" spans="1:13">
      <c r="A438" s="42" t="s">
        <v>4149</v>
      </c>
      <c r="B438" s="11"/>
      <c r="C438" s="11" t="s">
        <v>4106</v>
      </c>
      <c r="D438" s="11"/>
      <c r="E438" s="11" t="s">
        <v>642</v>
      </c>
      <c r="F438" s="11" t="str">
        <f>IFERROR(VLOOKUP(VENTAS[[#This Row],[Código del producto Vendido]],STOCK[],5,FALSE),"-")</f>
        <v>Vestido con estampado floral</v>
      </c>
      <c r="G438" s="11">
        <v>1</v>
      </c>
      <c r="H438" s="14">
        <v>15</v>
      </c>
      <c r="I438" s="14">
        <f>VENTAS[[#This Row],[Cantidad]]*VENTAS[[#This Row],[Precio Venta]]</f>
        <v>15</v>
      </c>
      <c r="J438" s="14">
        <f>IF(VENTAS[[#This Row],[Nombre del Gestor]]&gt;1,VENTAS[[#This Row],[Total]]*10%,0)</f>
        <v>0</v>
      </c>
      <c r="K438" s="14">
        <f>IFERROR(VLOOKUP(VENTAS[[#This Row],[Código del producto Vendido]],STOCK[],16,FALSE)*VENTAS[[#This Row],[Cantidad]]+VLOOKUP(VENTAS[[#This Row],[Código del producto Vendido]],STOCK[],19,FALSE)*VENTAS[[#This Row],[Cantidad]],VENTAS[[#This Row],[Total]])</f>
        <v>10.7222222222222</v>
      </c>
      <c r="L438" s="14">
        <f>VENTAS[[#This Row],[Total]]-VENTAS[[#This Row],[Comisión 10%]]-VENTAS[[#This Row],[Costo SIN Comision]]</f>
        <v>4.27777777777778</v>
      </c>
      <c r="M438" s="14"/>
    </row>
    <row r="439" ht="20" hidden="1" customHeight="1" spans="1:13">
      <c r="A439" s="41" t="s">
        <v>4149</v>
      </c>
      <c r="B439" s="11"/>
      <c r="C439" s="11" t="s">
        <v>4106</v>
      </c>
      <c r="D439" s="11"/>
      <c r="E439" s="11" t="s">
        <v>640</v>
      </c>
      <c r="F439" s="11" t="str">
        <f>IFERROR(VLOOKUP(VENTAS[[#This Row],[Código del producto Vendido]],STOCK[],5,FALSE),"-")</f>
        <v>Vestido con estampado floral</v>
      </c>
      <c r="G439" s="11">
        <v>3</v>
      </c>
      <c r="H439" s="14">
        <v>15</v>
      </c>
      <c r="I439" s="14">
        <f>VENTAS[[#This Row],[Cantidad]]*VENTAS[[#This Row],[Precio Venta]]</f>
        <v>45</v>
      </c>
      <c r="J439" s="14">
        <f>IF(VENTAS[[#This Row],[Nombre del Gestor]]&gt;1,VENTAS[[#This Row],[Total]]*10%,0)</f>
        <v>0</v>
      </c>
      <c r="K439" s="14">
        <f>IFERROR(VLOOKUP(VENTAS[[#This Row],[Código del producto Vendido]],STOCK[],16,FALSE)*VENTAS[[#This Row],[Cantidad]]+VLOOKUP(VENTAS[[#This Row],[Código del producto Vendido]],STOCK[],19,FALSE)*VENTAS[[#This Row],[Cantidad]],VENTAS[[#This Row],[Total]])</f>
        <v>32.1666666666667</v>
      </c>
      <c r="L439" s="14">
        <f>VENTAS[[#This Row],[Total]]-VENTAS[[#This Row],[Comisión 10%]]-VENTAS[[#This Row],[Costo SIN Comision]]</f>
        <v>12.8333333333333</v>
      </c>
      <c r="M439" s="14"/>
    </row>
    <row r="440" ht="20" hidden="1" customHeight="1" spans="1:13">
      <c r="A440" s="42" t="s">
        <v>4149</v>
      </c>
      <c r="B440" s="11"/>
      <c r="C440" s="11" t="s">
        <v>4106</v>
      </c>
      <c r="D440" s="11"/>
      <c r="E440" s="11" t="s">
        <v>634</v>
      </c>
      <c r="F440" s="11" t="str">
        <f>IFERROR(VLOOKUP(VENTAS[[#This Row],[Código del producto Vendido]],STOCK[],5,FALSE),"-")</f>
        <v>Vestido floral con abertura trasera</v>
      </c>
      <c r="G440" s="11">
        <v>3</v>
      </c>
      <c r="H440" s="14">
        <v>15</v>
      </c>
      <c r="I440" s="14">
        <f>VENTAS[[#This Row],[Cantidad]]*VENTAS[[#This Row],[Precio Venta]]</f>
        <v>45</v>
      </c>
      <c r="J440" s="14">
        <f>IF(VENTAS[[#This Row],[Nombre del Gestor]]&gt;1,VENTAS[[#This Row],[Total]]*10%,0)</f>
        <v>0</v>
      </c>
      <c r="K440" s="14">
        <f>IFERROR(VLOOKUP(VENTAS[[#This Row],[Código del producto Vendido]],STOCK[],16,FALSE)*VENTAS[[#This Row],[Cantidad]]+VLOOKUP(VENTAS[[#This Row],[Código del producto Vendido]],STOCK[],19,FALSE)*VENTAS[[#This Row],[Cantidad]],VENTAS[[#This Row],[Total]])</f>
        <v>32.1666666666667</v>
      </c>
      <c r="L440" s="14">
        <f>VENTAS[[#This Row],[Total]]-VENTAS[[#This Row],[Comisión 10%]]-VENTAS[[#This Row],[Costo SIN Comision]]</f>
        <v>12.8333333333333</v>
      </c>
      <c r="M440" s="14"/>
    </row>
    <row r="441" ht="20" hidden="1" customHeight="1" spans="1:13">
      <c r="A441" s="41" t="s">
        <v>4149</v>
      </c>
      <c r="B441" s="11"/>
      <c r="C441" s="11" t="s">
        <v>4106</v>
      </c>
      <c r="D441" s="11"/>
      <c r="E441" s="11" t="s">
        <v>631</v>
      </c>
      <c r="F441" s="11" t="str">
        <f>IFERROR(VLOOKUP(VENTAS[[#This Row],[Código del producto Vendido]],STOCK[],5,FALSE),"-")</f>
        <v>Vestido floral con abertura trasera</v>
      </c>
      <c r="G441" s="11">
        <v>2</v>
      </c>
      <c r="H441" s="14">
        <v>15</v>
      </c>
      <c r="I441" s="14">
        <f>VENTAS[[#This Row],[Cantidad]]*VENTAS[[#This Row],[Precio Venta]]</f>
        <v>30</v>
      </c>
      <c r="J441" s="14">
        <f>IF(VENTAS[[#This Row],[Nombre del Gestor]]&gt;1,VENTAS[[#This Row],[Total]]*10%,0)</f>
        <v>0</v>
      </c>
      <c r="K441" s="14">
        <f>IFERROR(VLOOKUP(VENTAS[[#This Row],[Código del producto Vendido]],STOCK[],16,FALSE)*VENTAS[[#This Row],[Cantidad]]+VLOOKUP(VENTAS[[#This Row],[Código del producto Vendido]],STOCK[],19,FALSE)*VENTAS[[#This Row],[Cantidad]],VENTAS[[#This Row],[Total]])</f>
        <v>21.4444444444444</v>
      </c>
      <c r="L441" s="14">
        <f>VENTAS[[#This Row],[Total]]-VENTAS[[#This Row],[Comisión 10%]]-VENTAS[[#This Row],[Costo SIN Comision]]</f>
        <v>8.55555555555556</v>
      </c>
      <c r="M441" s="14"/>
    </row>
    <row r="442" ht="20" hidden="1" customHeight="1" spans="1:13">
      <c r="A442" s="42" t="s">
        <v>4149</v>
      </c>
      <c r="B442" s="11"/>
      <c r="C442" s="11" t="s">
        <v>4106</v>
      </c>
      <c r="D442" s="11"/>
      <c r="E442" s="11" t="s">
        <v>635</v>
      </c>
      <c r="F442" s="11" t="str">
        <f>IFERROR(VLOOKUP(VENTAS[[#This Row],[Código del producto Vendido]],STOCK[],5,FALSE),"-")</f>
        <v>Vestido floral escote corazón</v>
      </c>
      <c r="G442" s="11">
        <v>2</v>
      </c>
      <c r="H442" s="14">
        <v>15</v>
      </c>
      <c r="I442" s="14">
        <f>VENTAS[[#This Row],[Cantidad]]*VENTAS[[#This Row],[Precio Venta]]</f>
        <v>30</v>
      </c>
      <c r="J442" s="14">
        <f>IF(VENTAS[[#This Row],[Nombre del Gestor]]&gt;1,VENTAS[[#This Row],[Total]]*10%,0)</f>
        <v>0</v>
      </c>
      <c r="K442" s="14">
        <f>IFERROR(VLOOKUP(VENTAS[[#This Row],[Código del producto Vendido]],STOCK[],16,FALSE)*VENTAS[[#This Row],[Cantidad]]+VLOOKUP(VENTAS[[#This Row],[Código del producto Vendido]],STOCK[],19,FALSE)*VENTAS[[#This Row],[Cantidad]],VENTAS[[#This Row],[Total]])</f>
        <v>21.4444444444444</v>
      </c>
      <c r="L442" s="14">
        <f>VENTAS[[#This Row],[Total]]-VENTAS[[#This Row],[Comisión 10%]]-VENTAS[[#This Row],[Costo SIN Comision]]</f>
        <v>8.55555555555556</v>
      </c>
      <c r="M442" s="14"/>
    </row>
    <row r="443" ht="20" hidden="1" customHeight="1" spans="1:13">
      <c r="A443" s="41" t="s">
        <v>4149</v>
      </c>
      <c r="B443" s="11"/>
      <c r="C443" s="11" t="s">
        <v>4106</v>
      </c>
      <c r="D443" s="11"/>
      <c r="E443" s="11" t="s">
        <v>637</v>
      </c>
      <c r="F443" s="11" t="str">
        <f>IFERROR(VLOOKUP(VENTAS[[#This Row],[Código del producto Vendido]],STOCK[],5,FALSE),"-")</f>
        <v>Vestido floral escote corazón</v>
      </c>
      <c r="G443" s="11">
        <v>1</v>
      </c>
      <c r="H443" s="14">
        <v>15</v>
      </c>
      <c r="I443" s="14">
        <f>VENTAS[[#This Row],[Cantidad]]*VENTAS[[#This Row],[Precio Venta]]</f>
        <v>15</v>
      </c>
      <c r="J443" s="14">
        <f>IF(VENTAS[[#This Row],[Nombre del Gestor]]&gt;1,VENTAS[[#This Row],[Total]]*10%,0)</f>
        <v>0</v>
      </c>
      <c r="K443" s="14">
        <f>IFERROR(VLOOKUP(VENTAS[[#This Row],[Código del producto Vendido]],STOCK[],16,FALSE)*VENTAS[[#This Row],[Cantidad]]+VLOOKUP(VENTAS[[#This Row],[Código del producto Vendido]],STOCK[],19,FALSE)*VENTAS[[#This Row],[Cantidad]],VENTAS[[#This Row],[Total]])</f>
        <v>10.7222222222222</v>
      </c>
      <c r="L443" s="14">
        <f>VENTAS[[#This Row],[Total]]-VENTAS[[#This Row],[Comisión 10%]]-VENTAS[[#This Row],[Costo SIN Comision]]</f>
        <v>4.27777777777778</v>
      </c>
      <c r="M443" s="14"/>
    </row>
    <row r="444" ht="20" hidden="1" customHeight="1" spans="1:13">
      <c r="A444" s="42" t="s">
        <v>4149</v>
      </c>
      <c r="B444" s="11"/>
      <c r="C444" s="11" t="s">
        <v>4106</v>
      </c>
      <c r="D444" s="11"/>
      <c r="E444" s="11" t="s">
        <v>605</v>
      </c>
      <c r="F444" s="11" t="str">
        <f>IFERROR(VLOOKUP(VENTAS[[#This Row],[Código del producto Vendido]],STOCK[],5,FALSE),"-")</f>
        <v>Vestido floral de mangas farol</v>
      </c>
      <c r="G444" s="11">
        <v>1</v>
      </c>
      <c r="H444" s="14">
        <v>20</v>
      </c>
      <c r="I444" s="14">
        <f>VENTAS[[#This Row],[Cantidad]]*VENTAS[[#This Row],[Precio Venta]]</f>
        <v>20</v>
      </c>
      <c r="J444" s="14">
        <f>IF(VENTAS[[#This Row],[Nombre del Gestor]]&gt;1,VENTAS[[#This Row],[Total]]*10%,0)</f>
        <v>0</v>
      </c>
      <c r="K444" s="14">
        <f>IFERROR(VLOOKUP(VENTAS[[#This Row],[Código del producto Vendido]],STOCK[],16,FALSE)*VENTAS[[#This Row],[Cantidad]]+VLOOKUP(VENTAS[[#This Row],[Código del producto Vendido]],STOCK[],19,FALSE)*VENTAS[[#This Row],[Cantidad]],VENTAS[[#This Row],[Total]])</f>
        <v>10.7222222222222</v>
      </c>
      <c r="L444" s="14">
        <f>VENTAS[[#This Row],[Total]]-VENTAS[[#This Row],[Comisión 10%]]-VENTAS[[#This Row],[Costo SIN Comision]]</f>
        <v>9.27777777777778</v>
      </c>
      <c r="M444" s="14"/>
    </row>
    <row r="445" ht="20" hidden="1" customHeight="1" spans="1:13">
      <c r="A445" s="41" t="s">
        <v>4149</v>
      </c>
      <c r="B445" s="11"/>
      <c r="C445" s="11" t="s">
        <v>4106</v>
      </c>
      <c r="D445" s="11"/>
      <c r="E445" s="43" t="s">
        <v>806</v>
      </c>
      <c r="F445" s="11" t="str">
        <f>IFERROR(VLOOKUP(VENTAS[[#This Row],[Código del producto Vendido]],STOCK[],5,FALSE),"-")</f>
        <v> Bañador espalda descubierta</v>
      </c>
      <c r="G445" s="11">
        <v>1</v>
      </c>
      <c r="H445" s="14">
        <v>20</v>
      </c>
      <c r="I445" s="14">
        <f>VENTAS[[#This Row],[Cantidad]]*VENTAS[[#This Row],[Precio Venta]]</f>
        <v>20</v>
      </c>
      <c r="J445" s="14">
        <f>IF(VENTAS[[#This Row],[Nombre del Gestor]]&gt;1,VENTAS[[#This Row],[Total]]*10%,0)</f>
        <v>0</v>
      </c>
      <c r="K445" s="14">
        <f>IFERROR(VLOOKUP(VENTAS[[#This Row],[Código del producto Vendido]],STOCK[],16,FALSE)*VENTAS[[#This Row],[Cantidad]]+VLOOKUP(VENTAS[[#This Row],[Código del producto Vendido]],STOCK[],19,FALSE)*VENTAS[[#This Row],[Cantidad]],VENTAS[[#This Row],[Total]])</f>
        <v>15.5555555555556</v>
      </c>
      <c r="L445" s="14">
        <f>VENTAS[[#This Row],[Total]]-VENTAS[[#This Row],[Comisión 10%]]-VENTAS[[#This Row],[Costo SIN Comision]]</f>
        <v>4.4444444444444</v>
      </c>
      <c r="M445" s="14"/>
    </row>
    <row r="446" ht="20" hidden="1" customHeight="1" spans="1:13">
      <c r="A446" s="42" t="s">
        <v>4149</v>
      </c>
      <c r="B446" s="11"/>
      <c r="C446" s="11" t="s">
        <v>4153</v>
      </c>
      <c r="D446" s="11"/>
      <c r="E446" s="11" t="s">
        <v>665</v>
      </c>
      <c r="F446" s="11" t="str">
        <f>IFERROR(VLOOKUP(VENTAS[[#This Row],[Código del producto Vendido]],STOCK[],5,FALSE),"-")</f>
        <v>Top Cruzado negro</v>
      </c>
      <c r="G446" s="11">
        <v>1</v>
      </c>
      <c r="H446" s="14">
        <v>9</v>
      </c>
      <c r="I446" s="14">
        <f>VENTAS[[#This Row],[Cantidad]]*VENTAS[[#This Row],[Precio Venta]]</f>
        <v>9</v>
      </c>
      <c r="J446" s="14">
        <f>IF(VENTAS[[#This Row],[Nombre del Gestor]]&gt;1,VENTAS[[#This Row],[Total]]*10%,0)</f>
        <v>0</v>
      </c>
      <c r="K446" s="14">
        <f>IFERROR(VLOOKUP(VENTAS[[#This Row],[Código del producto Vendido]],STOCK[],16,FALSE)*VENTAS[[#This Row],[Cantidad]]+VLOOKUP(VENTAS[[#This Row],[Código del producto Vendido]],STOCK[],19,FALSE)*VENTAS[[#This Row],[Cantidad]],VENTAS[[#This Row],[Total]])</f>
        <v>4.90166666666667</v>
      </c>
      <c r="L446" s="14">
        <f>VENTAS[[#This Row],[Total]]-VENTAS[[#This Row],[Comisión 10%]]-VENTAS[[#This Row],[Costo SIN Comision]]</f>
        <v>4.09833333333333</v>
      </c>
      <c r="M446" s="14"/>
    </row>
    <row r="447" ht="20" hidden="1" customHeight="1" spans="1:13">
      <c r="A447" s="42" t="s">
        <v>4149</v>
      </c>
      <c r="B447" s="11"/>
      <c r="C447" s="11" t="s">
        <v>4154</v>
      </c>
      <c r="D447" s="11"/>
      <c r="E447" s="11" t="s">
        <v>698</v>
      </c>
      <c r="F447" s="11" t="str">
        <f>IFERROR(VLOOKUP(VENTAS[[#This Row],[Código del producto Vendido]],STOCK[],5,FALSE),"-")</f>
        <v> Vestido ajustado con estampado de dragón</v>
      </c>
      <c r="G447" s="11">
        <v>1</v>
      </c>
      <c r="H447" s="14">
        <v>5</v>
      </c>
      <c r="I447" s="14">
        <f>VENTAS[[#This Row],[Cantidad]]*VENTAS[[#This Row],[Precio Venta]]</f>
        <v>5</v>
      </c>
      <c r="J447" s="14">
        <f>IF(VENTAS[[#This Row],[Nombre del Gestor]]&gt;1,VENTAS[[#This Row],[Total]]*10%,0)</f>
        <v>0</v>
      </c>
      <c r="K447" s="14">
        <f>IFERROR(VLOOKUP(VENTAS[[#This Row],[Código del producto Vendido]],STOCK[],16,FALSE)*VENTAS[[#This Row],[Cantidad]]+VLOOKUP(VENTAS[[#This Row],[Código del producto Vendido]],STOCK[],19,FALSE)*VENTAS[[#This Row],[Cantidad]],VENTAS[[#This Row],[Total]])</f>
        <v>7.10555555555556</v>
      </c>
      <c r="L447" s="14">
        <f>VENTAS[[#This Row],[Total]]-VENTAS[[#This Row],[Comisión 10%]]-VENTAS[[#This Row],[Costo SIN Comision]]</f>
        <v>-2.10555555555556</v>
      </c>
      <c r="M447" s="14"/>
    </row>
    <row r="448" ht="20" hidden="1" customHeight="1" spans="1:13">
      <c r="A448" s="41" t="s">
        <v>4149</v>
      </c>
      <c r="B448" s="11"/>
      <c r="C448" s="11" t="s">
        <v>4154</v>
      </c>
      <c r="D448" s="11"/>
      <c r="E448" s="11" t="s">
        <v>696</v>
      </c>
      <c r="F448" s="11" t="str">
        <f>IFERROR(VLOOKUP(VENTAS[[#This Row],[Código del producto Vendido]],STOCK[],5,FALSE),"-")</f>
        <v>Vestido slip cebra</v>
      </c>
      <c r="G448" s="11">
        <v>1</v>
      </c>
      <c r="H448" s="14">
        <v>5</v>
      </c>
      <c r="I448" s="14">
        <f>VENTAS[[#This Row],[Cantidad]]*VENTAS[[#This Row],[Precio Venta]]</f>
        <v>5</v>
      </c>
      <c r="J448" s="14">
        <f>IF(VENTAS[[#This Row],[Nombre del Gestor]]&gt;1,VENTAS[[#This Row],[Total]]*10%,0)</f>
        <v>0</v>
      </c>
      <c r="K448" s="14">
        <f>IFERROR(VLOOKUP(VENTAS[[#This Row],[Código del producto Vendido]],STOCK[],16,FALSE)*VENTAS[[#This Row],[Cantidad]]+VLOOKUP(VENTAS[[#This Row],[Código del producto Vendido]],STOCK[],19,FALSE)*VENTAS[[#This Row],[Cantidad]],VENTAS[[#This Row],[Total]])</f>
        <v>7.10555555555556</v>
      </c>
      <c r="L448" s="14">
        <f>VENTAS[[#This Row],[Total]]-VENTAS[[#This Row],[Comisión 10%]]-VENTAS[[#This Row],[Costo SIN Comision]]</f>
        <v>-2.10555555555556</v>
      </c>
      <c r="M448" s="14"/>
    </row>
    <row r="449" ht="20" hidden="1" customHeight="1" spans="1:13">
      <c r="A449" s="42" t="s">
        <v>4149</v>
      </c>
      <c r="B449" s="11"/>
      <c r="C449" s="11" t="s">
        <v>4151</v>
      </c>
      <c r="D449" s="11"/>
      <c r="E449" s="11" t="s">
        <v>694</v>
      </c>
      <c r="F449" s="11" t="str">
        <f>IFERROR(VLOOKUP(VENTAS[[#This Row],[Código del producto Vendido]],STOCK[],5,FALSE),"-")</f>
        <v>Vestido slip de rayas de cebra</v>
      </c>
      <c r="G449" s="11">
        <v>1</v>
      </c>
      <c r="H449" s="14">
        <v>5</v>
      </c>
      <c r="I449" s="14">
        <f>VENTAS[[#This Row],[Cantidad]]*VENTAS[[#This Row],[Precio Venta]]</f>
        <v>5</v>
      </c>
      <c r="J449" s="14">
        <f>IF(VENTAS[[#This Row],[Nombre del Gestor]]&gt;1,VENTAS[[#This Row],[Total]]*10%,0)</f>
        <v>0</v>
      </c>
      <c r="K449" s="14">
        <f>IFERROR(VLOOKUP(VENTAS[[#This Row],[Código del producto Vendido]],STOCK[],16,FALSE)*VENTAS[[#This Row],[Cantidad]]+VLOOKUP(VENTAS[[#This Row],[Código del producto Vendido]],STOCK[],19,FALSE)*VENTAS[[#This Row],[Cantidad]],VENTAS[[#This Row],[Total]])</f>
        <v>7.10555555555556</v>
      </c>
      <c r="L449" s="14">
        <f>VENTAS[[#This Row],[Total]]-VENTAS[[#This Row],[Comisión 10%]]-VENTAS[[#This Row],[Costo SIN Comision]]</f>
        <v>-2.10555555555556</v>
      </c>
      <c r="M449" s="14"/>
    </row>
    <row r="450" ht="20" hidden="1" customHeight="1" spans="1:13">
      <c r="A450" s="42" t="s">
        <v>4149</v>
      </c>
      <c r="B450" s="11"/>
      <c r="C450" s="11" t="s">
        <v>4155</v>
      </c>
      <c r="D450" s="11"/>
      <c r="E450" s="11" t="s">
        <v>4156</v>
      </c>
      <c r="F450" s="11" t="str">
        <f>IFERROR(VLOOKUP(VENTAS[[#This Row],[Código del producto Vendido]],STOCK[],5,FALSE),"-")</f>
        <v>-</v>
      </c>
      <c r="G450" s="11">
        <v>1</v>
      </c>
      <c r="H450" s="14">
        <v>20</v>
      </c>
      <c r="I450" s="14">
        <f>VENTAS[[#This Row],[Cantidad]]*VENTAS[[#This Row],[Precio Venta]]</f>
        <v>20</v>
      </c>
      <c r="J450" s="14">
        <f>IF(VENTAS[[#This Row],[Nombre del Gestor]]&gt;1,VENTAS[[#This Row],[Total]]*10%,0)</f>
        <v>0</v>
      </c>
      <c r="K450" s="14">
        <f>IFERROR(VLOOKUP(VENTAS[[#This Row],[Código del producto Vendido]],STOCK[],16,FALSE)*VENTAS[[#This Row],[Cantidad]]+VLOOKUP(VENTAS[[#This Row],[Código del producto Vendido]],STOCK[],19,FALSE)*VENTAS[[#This Row],[Cantidad]],VENTAS[[#This Row],[Total]])</f>
        <v>20</v>
      </c>
      <c r="L450" s="14">
        <f>VENTAS[[#This Row],[Total]]-VENTAS[[#This Row],[Comisión 10%]]-VENTAS[[#This Row],[Costo SIN Comision]]</f>
        <v>0</v>
      </c>
      <c r="M450" s="14"/>
    </row>
    <row r="451" ht="20" hidden="1" customHeight="1" spans="1:13">
      <c r="A451" s="41" t="s">
        <v>4149</v>
      </c>
      <c r="B451" s="11"/>
      <c r="C451" s="11" t="s">
        <v>4157</v>
      </c>
      <c r="D451" s="11"/>
      <c r="E451" s="11" t="s">
        <v>240</v>
      </c>
      <c r="F451" s="11" t="str">
        <f>IFERROR(VLOOKUP(VENTAS[[#This Row],[Código del producto Vendido]],STOCK[],5,FALSE),"-")</f>
        <v>Vestido tank tejido de canalé con cinturón</v>
      </c>
      <c r="G451" s="11">
        <v>1</v>
      </c>
      <c r="H451" s="14">
        <v>28</v>
      </c>
      <c r="I451" s="14">
        <f>VENTAS[[#This Row],[Cantidad]]*VENTAS[[#This Row],[Precio Venta]]</f>
        <v>28</v>
      </c>
      <c r="J451" s="14">
        <f>IF(VENTAS[[#This Row],[Nombre del Gestor]]&gt;1,VENTAS[[#This Row],[Total]]*10%,0)</f>
        <v>0</v>
      </c>
      <c r="K451" s="14">
        <f>IFERROR(VLOOKUP(VENTAS[[#This Row],[Código del producto Vendido]],STOCK[],16,FALSE)*VENTAS[[#This Row],[Cantidad]]+VLOOKUP(VENTAS[[#This Row],[Código del producto Vendido]],STOCK[],19,FALSE)*VENTAS[[#This Row],[Cantidad]],VENTAS[[#This Row],[Total]])</f>
        <v>17.6377777777778</v>
      </c>
      <c r="L451" s="14">
        <f>VENTAS[[#This Row],[Total]]-VENTAS[[#This Row],[Comisión 10%]]-VENTAS[[#This Row],[Costo SIN Comision]]</f>
        <v>10.3622222222222</v>
      </c>
      <c r="M451" s="14"/>
    </row>
    <row r="452" ht="20" hidden="1" customHeight="1" spans="1:13">
      <c r="A452" s="42" t="s">
        <v>4149</v>
      </c>
      <c r="B452" s="11"/>
      <c r="C452" s="11" t="s">
        <v>4150</v>
      </c>
      <c r="D452" s="11"/>
      <c r="E452" s="11" t="s">
        <v>718</v>
      </c>
      <c r="F452" s="11" t="str">
        <f>IFERROR(VLOOKUP(VENTAS[[#This Row],[Código del producto Vendido]],STOCK[],5,FALSE),"-")</f>
        <v>Vestido bodycon</v>
      </c>
      <c r="G452" s="11">
        <v>1</v>
      </c>
      <c r="H452" s="14">
        <v>5</v>
      </c>
      <c r="I452" s="14">
        <f>VENTAS[[#This Row],[Cantidad]]*VENTAS[[#This Row],[Precio Venta]]</f>
        <v>5</v>
      </c>
      <c r="J452" s="14">
        <f>IF(VENTAS[[#This Row],[Nombre del Gestor]]&gt;1,VENTAS[[#This Row],[Total]]*10%,0)</f>
        <v>0</v>
      </c>
      <c r="K452" s="14">
        <f>IFERROR(VLOOKUP(VENTAS[[#This Row],[Código del producto Vendido]],STOCK[],16,FALSE)*VENTAS[[#This Row],[Cantidad]]+VLOOKUP(VENTAS[[#This Row],[Código del producto Vendido]],STOCK[],19,FALSE)*VENTAS[[#This Row],[Cantidad]],VENTAS[[#This Row],[Total]])</f>
        <v>5.72222222222222</v>
      </c>
      <c r="L452" s="14">
        <f>VENTAS[[#This Row],[Total]]-VENTAS[[#This Row],[Comisión 10%]]-VENTAS[[#This Row],[Costo SIN Comision]]</f>
        <v>-0.72222222222222</v>
      </c>
      <c r="M452" s="14"/>
    </row>
    <row r="453" ht="20" hidden="1" customHeight="1" spans="1:13">
      <c r="A453" s="41" t="s">
        <v>4149</v>
      </c>
      <c r="B453" s="11"/>
      <c r="C453" s="11" t="s">
        <v>4158</v>
      </c>
      <c r="D453" s="11"/>
      <c r="E453" s="11" t="s">
        <v>694</v>
      </c>
      <c r="F453" s="11" t="str">
        <f>IFERROR(VLOOKUP(VENTAS[[#This Row],[Código del producto Vendido]],STOCK[],5,FALSE),"-")</f>
        <v>Vestido slip de rayas de cebra</v>
      </c>
      <c r="G453" s="11">
        <v>1</v>
      </c>
      <c r="H453" s="14">
        <v>5</v>
      </c>
      <c r="I453" s="14">
        <f>VENTAS[[#This Row],[Cantidad]]*VENTAS[[#This Row],[Precio Venta]]</f>
        <v>5</v>
      </c>
      <c r="J453" s="14">
        <f>IF(VENTAS[[#This Row],[Nombre del Gestor]]&gt;1,VENTAS[[#This Row],[Total]]*10%,0)</f>
        <v>0</v>
      </c>
      <c r="K453" s="14">
        <f>IFERROR(VLOOKUP(VENTAS[[#This Row],[Código del producto Vendido]],STOCK[],16,FALSE)*VENTAS[[#This Row],[Cantidad]]+VLOOKUP(VENTAS[[#This Row],[Código del producto Vendido]],STOCK[],19,FALSE)*VENTAS[[#This Row],[Cantidad]],VENTAS[[#This Row],[Total]])</f>
        <v>7.10555555555556</v>
      </c>
      <c r="L453" s="14">
        <f>VENTAS[[#This Row],[Total]]-VENTAS[[#This Row],[Comisión 10%]]-VENTAS[[#This Row],[Costo SIN Comision]]</f>
        <v>-2.10555555555556</v>
      </c>
      <c r="M453" s="14"/>
    </row>
    <row r="454" ht="20" hidden="1" customHeight="1" spans="1:13">
      <c r="A454" s="42" t="s">
        <v>4149</v>
      </c>
      <c r="B454" s="11"/>
      <c r="C454" s="11" t="s">
        <v>4158</v>
      </c>
      <c r="D454" s="11"/>
      <c r="E454" s="11" t="s">
        <v>698</v>
      </c>
      <c r="F454" s="11" t="str">
        <f>IFERROR(VLOOKUP(VENTAS[[#This Row],[Código del producto Vendido]],STOCK[],5,FALSE),"-")</f>
        <v> Vestido ajustado con estampado de dragón</v>
      </c>
      <c r="G454" s="11">
        <v>1</v>
      </c>
      <c r="H454" s="14">
        <v>5</v>
      </c>
      <c r="I454" s="14">
        <f>VENTAS[[#This Row],[Cantidad]]*VENTAS[[#This Row],[Precio Venta]]</f>
        <v>5</v>
      </c>
      <c r="J454" s="14">
        <f>IF(VENTAS[[#This Row],[Nombre del Gestor]]&gt;1,VENTAS[[#This Row],[Total]]*10%,0)</f>
        <v>0</v>
      </c>
      <c r="K454" s="14">
        <f>IFERROR(VLOOKUP(VENTAS[[#This Row],[Código del producto Vendido]],STOCK[],16,FALSE)*VENTAS[[#This Row],[Cantidad]]+VLOOKUP(VENTAS[[#This Row],[Código del producto Vendido]],STOCK[],19,FALSE)*VENTAS[[#This Row],[Cantidad]],VENTAS[[#This Row],[Total]])</f>
        <v>7.10555555555556</v>
      </c>
      <c r="L454" s="14">
        <f>VENTAS[[#This Row],[Total]]-VENTAS[[#This Row],[Comisión 10%]]-VENTAS[[#This Row],[Costo SIN Comision]]</f>
        <v>-2.10555555555556</v>
      </c>
      <c r="M454" s="14"/>
    </row>
    <row r="455" ht="20" hidden="1" customHeight="1" spans="1:13">
      <c r="A455" s="41">
        <v>45138</v>
      </c>
      <c r="B455" s="11"/>
      <c r="C455" s="11" t="s">
        <v>4151</v>
      </c>
      <c r="D455" s="11"/>
      <c r="E455" s="11" t="s">
        <v>721</v>
      </c>
      <c r="F455" s="11" t="str">
        <f>IFERROR(VLOOKUP(VENTAS[[#This Row],[Código del producto Vendido]],STOCK[],5,FALSE),"-")</f>
        <v>Top acanalado sin mangas</v>
      </c>
      <c r="G455" s="11">
        <v>1</v>
      </c>
      <c r="H455" s="14">
        <v>10</v>
      </c>
      <c r="I455" s="14">
        <f>VENTAS[[#This Row],[Cantidad]]*VENTAS[[#This Row],[Precio Venta]]</f>
        <v>10</v>
      </c>
      <c r="J455" s="14">
        <f>IF(VENTAS[[#This Row],[Nombre del Gestor]]&gt;1,VENTAS[[#This Row],[Total]]*10%,0)</f>
        <v>0</v>
      </c>
      <c r="K455" s="14">
        <f>IFERROR(VLOOKUP(VENTAS[[#This Row],[Código del producto Vendido]],STOCK[],16,FALSE)*VENTAS[[#This Row],[Cantidad]]+VLOOKUP(VENTAS[[#This Row],[Código del producto Vendido]],STOCK[],19,FALSE)*VENTAS[[#This Row],[Cantidad]],VENTAS[[#This Row],[Total]])</f>
        <v>5.02222222222222</v>
      </c>
      <c r="L455" s="14">
        <f>VENTAS[[#This Row],[Total]]-VENTAS[[#This Row],[Comisión 10%]]-VENTAS[[#This Row],[Costo SIN Comision]]</f>
        <v>4.97777777777778</v>
      </c>
      <c r="M455" s="14"/>
    </row>
    <row r="456" ht="20" hidden="1" customHeight="1" spans="1:13">
      <c r="A456" s="42"/>
      <c r="B456" s="11"/>
      <c r="C456" s="11"/>
      <c r="D456" s="11"/>
      <c r="E456" s="11" t="s">
        <v>410</v>
      </c>
      <c r="F456" s="11" t="str">
        <f>IFERROR(VLOOKUP(VENTAS[[#This Row],[Código del producto Vendido]],STOCK[],5,FALSE),"-")</f>
        <v>Bañador una pieza de color combinado </v>
      </c>
      <c r="G456" s="11">
        <v>1</v>
      </c>
      <c r="H456" s="14">
        <v>20</v>
      </c>
      <c r="I456" s="14">
        <f>VENTAS[[#This Row],[Cantidad]]*VENTAS[[#This Row],[Precio Venta]]</f>
        <v>20</v>
      </c>
      <c r="J456" s="14">
        <f>IF(VENTAS[[#This Row],[Nombre del Gestor]]&gt;1,VENTAS[[#This Row],[Total]]*10%,0)</f>
        <v>0</v>
      </c>
      <c r="K456" s="14">
        <f>IFERROR(VLOOKUP(VENTAS[[#This Row],[Código del producto Vendido]],STOCK[],16,FALSE)*VENTAS[[#This Row],[Cantidad]]+VLOOKUP(VENTAS[[#This Row],[Código del producto Vendido]],STOCK[],19,FALSE)*VENTAS[[#This Row],[Cantidad]],VENTAS[[#This Row],[Total]])</f>
        <v>9.66666666666667</v>
      </c>
      <c r="L456" s="14">
        <f>VENTAS[[#This Row],[Total]]-VENTAS[[#This Row],[Comisión 10%]]-VENTAS[[#This Row],[Costo SIN Comision]]</f>
        <v>10.3333333333333</v>
      </c>
      <c r="M456" s="14"/>
    </row>
    <row r="457" ht="20" hidden="1" customHeight="1" spans="1:13">
      <c r="A457" s="41" t="s">
        <v>4159</v>
      </c>
      <c r="B457" s="11"/>
      <c r="C457" s="11"/>
      <c r="D457" s="11"/>
      <c r="E457" s="11" t="s">
        <v>457</v>
      </c>
      <c r="F457" s="11" t="str">
        <f>IFERROR(VLOOKUP(VENTAS[[#This Row],[Código del producto Vendido]],STOCK[],5,FALSE),"-")</f>
        <v>Bolso pequeño guateado con perla artificial</v>
      </c>
      <c r="G457" s="11">
        <v>1</v>
      </c>
      <c r="H457" s="14">
        <v>15</v>
      </c>
      <c r="I457" s="14">
        <f>VENTAS[[#This Row],[Cantidad]]*VENTAS[[#This Row],[Precio Venta]]</f>
        <v>15</v>
      </c>
      <c r="J457" s="14">
        <f>IF(VENTAS[[#This Row],[Nombre del Gestor]]&gt;1,VENTAS[[#This Row],[Total]]*10%,0)</f>
        <v>0</v>
      </c>
      <c r="K457" s="14">
        <f>IFERROR(VLOOKUP(VENTAS[[#This Row],[Código del producto Vendido]],STOCK[],16,FALSE)*VENTAS[[#This Row],[Cantidad]]+VLOOKUP(VENTAS[[#This Row],[Código del producto Vendido]],STOCK[],19,FALSE)*VENTAS[[#This Row],[Cantidad]],VENTAS[[#This Row],[Total]])</f>
        <v>9.55</v>
      </c>
      <c r="L457" s="14">
        <f>VENTAS[[#This Row],[Total]]-VENTAS[[#This Row],[Comisión 10%]]-VENTAS[[#This Row],[Costo SIN Comision]]</f>
        <v>5.45</v>
      </c>
      <c r="M457" s="14"/>
    </row>
    <row r="458" ht="20" hidden="1" customHeight="1" spans="1:13">
      <c r="A458" s="42" t="s">
        <v>4160</v>
      </c>
      <c r="B458" s="11"/>
      <c r="C458" s="11" t="s">
        <v>4161</v>
      </c>
      <c r="D458" s="11"/>
      <c r="E458" s="11" t="s">
        <v>66</v>
      </c>
      <c r="F458" s="11" t="str">
        <f>IFERROR(VLOOKUP(VENTAS[[#This Row],[Código del producto Vendido]],STOCK[],5,FALSE),"-")</f>
        <v>Bañador Elegante con Lazo</v>
      </c>
      <c r="G458" s="11">
        <v>1</v>
      </c>
      <c r="H458" s="14">
        <v>20</v>
      </c>
      <c r="I458" s="14">
        <f>VENTAS[[#This Row],[Cantidad]]*VENTAS[[#This Row],[Precio Venta]]</f>
        <v>20</v>
      </c>
      <c r="J458" s="14">
        <f>IF(VENTAS[[#This Row],[Nombre del Gestor]]&gt;1,VENTAS[[#This Row],[Total]]*10%,0)</f>
        <v>0</v>
      </c>
      <c r="K458" s="14">
        <f>IFERROR(VLOOKUP(VENTAS[[#This Row],[Código del producto Vendido]],STOCK[],16,FALSE)*VENTAS[[#This Row],[Cantidad]]+VLOOKUP(VENTAS[[#This Row],[Código del producto Vendido]],STOCK[],19,FALSE)*VENTAS[[#This Row],[Cantidad]],VENTAS[[#This Row],[Total]])</f>
        <v>11.9716666666667</v>
      </c>
      <c r="L458" s="14">
        <f>VENTAS[[#This Row],[Total]]-VENTAS[[#This Row],[Comisión 10%]]-VENTAS[[#This Row],[Costo SIN Comision]]</f>
        <v>8.02833333333333</v>
      </c>
      <c r="M458" s="14"/>
    </row>
    <row r="459" ht="20" hidden="1" customHeight="1" spans="1:13">
      <c r="A459" s="41" t="s">
        <v>4160</v>
      </c>
      <c r="B459" s="11"/>
      <c r="C459" s="11" t="s">
        <v>4162</v>
      </c>
      <c r="D459" s="11"/>
      <c r="E459" s="11" t="s">
        <v>941</v>
      </c>
      <c r="F459" s="11" t="str">
        <f>IFERROR(VLOOKUP(VENTAS[[#This Row],[Código del producto Vendido]],STOCK[],5,FALSE),"-")</f>
        <v>Vestido Tropical</v>
      </c>
      <c r="G459" s="11">
        <v>1</v>
      </c>
      <c r="H459" s="14">
        <v>30</v>
      </c>
      <c r="I459" s="14">
        <f>VENTAS[[#This Row],[Cantidad]]*VENTAS[[#This Row],[Precio Venta]]</f>
        <v>30</v>
      </c>
      <c r="J459" s="14">
        <f>IF(VENTAS[[#This Row],[Nombre del Gestor]]&gt;1,VENTAS[[#This Row],[Total]]*10%,0)</f>
        <v>0</v>
      </c>
      <c r="K459" s="14">
        <f>IFERROR(VLOOKUP(VENTAS[[#This Row],[Código del producto Vendido]],STOCK[],16,FALSE)*VENTAS[[#This Row],[Cantidad]]+VLOOKUP(VENTAS[[#This Row],[Código del producto Vendido]],STOCK[],19,FALSE)*VENTAS[[#This Row],[Cantidad]],VENTAS[[#This Row],[Total]])</f>
        <v>19.0186363636364</v>
      </c>
      <c r="L459" s="14">
        <f>VENTAS[[#This Row],[Total]]-VENTAS[[#This Row],[Comisión 10%]]-VENTAS[[#This Row],[Costo SIN Comision]]</f>
        <v>10.9813636363636</v>
      </c>
      <c r="M459" s="14"/>
    </row>
    <row r="460" ht="20" hidden="1" customHeight="1" spans="1:13">
      <c r="A460" s="42" t="s">
        <v>4160</v>
      </c>
      <c r="B460" s="11"/>
      <c r="C460" s="11" t="s">
        <v>4162</v>
      </c>
      <c r="D460" s="11"/>
      <c r="E460" s="11" t="s">
        <v>530</v>
      </c>
      <c r="F460" s="11" t="str">
        <f>IFERROR(VLOOKUP(VENTAS[[#This Row],[Código del producto Vendido]],STOCK[],5,FALSE),"-")</f>
        <v>Esponja de maquillaje </v>
      </c>
      <c r="G460" s="11">
        <v>1</v>
      </c>
      <c r="H460" s="14">
        <v>1</v>
      </c>
      <c r="I460" s="14">
        <f>VENTAS[[#This Row],[Cantidad]]*VENTAS[[#This Row],[Precio Venta]]</f>
        <v>1</v>
      </c>
      <c r="J460" s="14">
        <f>IF(VENTAS[[#This Row],[Nombre del Gestor]]&gt;1,VENTAS[[#This Row],[Total]]*10%,0)</f>
        <v>0</v>
      </c>
      <c r="K460" s="14">
        <f>IFERROR(VLOOKUP(VENTAS[[#This Row],[Código del producto Vendido]],STOCK[],16,FALSE)*VENTAS[[#This Row],[Cantidad]]+VLOOKUP(VENTAS[[#This Row],[Código del producto Vendido]],STOCK[],19,FALSE)*VENTAS[[#This Row],[Cantidad]],VENTAS[[#This Row],[Total]])</f>
        <v>0.436111111111111</v>
      </c>
      <c r="L460" s="14">
        <f>VENTAS[[#This Row],[Total]]-VENTAS[[#This Row],[Comisión 10%]]-VENTAS[[#This Row],[Costo SIN Comision]]</f>
        <v>0.563888888888889</v>
      </c>
      <c r="M460" s="14"/>
    </row>
    <row r="461" ht="20" hidden="1" customHeight="1" spans="1:13">
      <c r="A461" s="41" t="s">
        <v>4163</v>
      </c>
      <c r="B461" s="11"/>
      <c r="C461" s="11" t="s">
        <v>4164</v>
      </c>
      <c r="D461" s="11"/>
      <c r="E461" s="11" t="s">
        <v>1187</v>
      </c>
      <c r="F461" s="11" t="str">
        <f>IFERROR(VLOOKUP(VENTAS[[#This Row],[Código del producto Vendido]],STOCK[],5,FALSE),"-")</f>
        <v>Top healter en capas color beige</v>
      </c>
      <c r="G461" s="11">
        <v>1</v>
      </c>
      <c r="H461" s="14">
        <v>17</v>
      </c>
      <c r="I461" s="14">
        <f>VENTAS[[#This Row],[Cantidad]]*VENTAS[[#This Row],[Precio Venta]]</f>
        <v>17</v>
      </c>
      <c r="J461" s="14">
        <f>IF(VENTAS[[#This Row],[Nombre del Gestor]]&gt;1,VENTAS[[#This Row],[Total]]*10%,0)</f>
        <v>0</v>
      </c>
      <c r="K461" s="14">
        <f>IFERROR(VLOOKUP(VENTAS[[#This Row],[Código del producto Vendido]],STOCK[],16,FALSE)*VENTAS[[#This Row],[Cantidad]]+VLOOKUP(VENTAS[[#This Row],[Código del producto Vendido]],STOCK[],19,FALSE)*VENTAS[[#This Row],[Cantidad]],VENTAS[[#This Row],[Total]])</f>
        <v>12.75</v>
      </c>
      <c r="L461" s="14">
        <f>VENTAS[[#This Row],[Total]]-VENTAS[[#This Row],[Comisión 10%]]-VENTAS[[#This Row],[Costo SIN Comision]]</f>
        <v>4.25</v>
      </c>
      <c r="M461" s="14"/>
    </row>
    <row r="462" ht="20" hidden="1" customHeight="1" spans="1:13">
      <c r="A462" s="42" t="s">
        <v>4163</v>
      </c>
      <c r="B462" s="11"/>
      <c r="C462" s="11" t="s">
        <v>4165</v>
      </c>
      <c r="D462" s="11"/>
      <c r="E462" s="11" t="s">
        <v>852</v>
      </c>
      <c r="F462" s="11" t="str">
        <f>IFERROR(VLOOKUP(VENTAS[[#This Row],[Código del producto Vendido]],STOCK[],5,FALSE),"-")</f>
        <v>Vestido esmeralda</v>
      </c>
      <c r="G462" s="11">
        <v>1</v>
      </c>
      <c r="H462" s="14">
        <v>20</v>
      </c>
      <c r="I462" s="14">
        <f>VENTAS[[#This Row],[Cantidad]]*VENTAS[[#This Row],[Precio Venta]]</f>
        <v>20</v>
      </c>
      <c r="J462" s="14">
        <f>IF(VENTAS[[#This Row],[Nombre del Gestor]]&gt;1,VENTAS[[#This Row],[Total]]*10%,0)</f>
        <v>0</v>
      </c>
      <c r="K462" s="14">
        <f>IFERROR(VLOOKUP(VENTAS[[#This Row],[Código del producto Vendido]],STOCK[],16,FALSE)*VENTAS[[#This Row],[Cantidad]]+VLOOKUP(VENTAS[[#This Row],[Código del producto Vendido]],STOCK[],19,FALSE)*VENTAS[[#This Row],[Cantidad]],VENTAS[[#This Row],[Total]])</f>
        <v>16.7777777777778</v>
      </c>
      <c r="L462" s="14">
        <f>VENTAS[[#This Row],[Total]]-VENTAS[[#This Row],[Comisión 10%]]-VENTAS[[#This Row],[Costo SIN Comision]]</f>
        <v>3.2222222222222</v>
      </c>
      <c r="M462" s="14"/>
    </row>
    <row r="463" ht="20" hidden="1" customHeight="1" spans="1:13">
      <c r="A463" s="41" t="s">
        <v>4166</v>
      </c>
      <c r="B463" s="11"/>
      <c r="C463" s="11" t="s">
        <v>4167</v>
      </c>
      <c r="D463" s="11"/>
      <c r="E463" s="11" t="s">
        <v>457</v>
      </c>
      <c r="F463" s="11" t="str">
        <f>IFERROR(VLOOKUP(VENTAS[[#This Row],[Código del producto Vendido]],STOCK[],5,FALSE),"-")</f>
        <v>Bolso pequeño guateado con perla artificial</v>
      </c>
      <c r="G463" s="11">
        <v>1</v>
      </c>
      <c r="H463" s="14">
        <v>15</v>
      </c>
      <c r="I463" s="14">
        <f>VENTAS[[#This Row],[Cantidad]]*VENTAS[[#This Row],[Precio Venta]]</f>
        <v>15</v>
      </c>
      <c r="J463" s="14">
        <f>IF(VENTAS[[#This Row],[Nombre del Gestor]]&gt;1,VENTAS[[#This Row],[Total]]*10%,0)</f>
        <v>0</v>
      </c>
      <c r="K463" s="14">
        <f>IFERROR(VLOOKUP(VENTAS[[#This Row],[Código del producto Vendido]],STOCK[],16,FALSE)*VENTAS[[#This Row],[Cantidad]]+VLOOKUP(VENTAS[[#This Row],[Código del producto Vendido]],STOCK[],19,FALSE)*VENTAS[[#This Row],[Cantidad]],VENTAS[[#This Row],[Total]])</f>
        <v>9.55</v>
      </c>
      <c r="L463" s="14">
        <f>VENTAS[[#This Row],[Total]]-VENTAS[[#This Row],[Comisión 10%]]-VENTAS[[#This Row],[Costo SIN Comision]]</f>
        <v>5.45</v>
      </c>
      <c r="M463" s="14"/>
    </row>
    <row r="464" ht="20" hidden="1" customHeight="1" spans="1:13">
      <c r="A464" s="42" t="s">
        <v>4166</v>
      </c>
      <c r="B464" s="11" t="s">
        <v>4168</v>
      </c>
      <c r="C464" s="11" t="s">
        <v>4089</v>
      </c>
      <c r="D464" s="11"/>
      <c r="E464" s="11" t="s">
        <v>905</v>
      </c>
      <c r="F464" s="11" t="str">
        <f>IFERROR(VLOOKUP(VENTAS[[#This Row],[Código del producto Vendido]],STOCK[],5,FALSE),"-")</f>
        <v>Maxi Vestido Fruncido</v>
      </c>
      <c r="G464" s="11">
        <v>1</v>
      </c>
      <c r="H464" s="14">
        <v>33</v>
      </c>
      <c r="I464" s="14">
        <f>VENTAS[[#This Row],[Cantidad]]*VENTAS[[#This Row],[Precio Venta]]</f>
        <v>33</v>
      </c>
      <c r="J464" s="14">
        <f>IF(VENTAS[[#This Row],[Nombre del Gestor]]&gt;1,VENTAS[[#This Row],[Total]]*10%,0)</f>
        <v>0</v>
      </c>
      <c r="K464" s="14">
        <f>IFERROR(VLOOKUP(VENTAS[[#This Row],[Código del producto Vendido]],STOCK[],16,FALSE)*VENTAS[[#This Row],[Cantidad]]+VLOOKUP(VENTAS[[#This Row],[Código del producto Vendido]],STOCK[],19,FALSE)*VENTAS[[#This Row],[Cantidad]],VENTAS[[#This Row],[Total]])</f>
        <v>21.4563636363636</v>
      </c>
      <c r="L464" s="14">
        <f>VENTAS[[#This Row],[Total]]-VENTAS[[#This Row],[Comisión 10%]]-VENTAS[[#This Row],[Costo SIN Comision]]</f>
        <v>11.5436363636364</v>
      </c>
      <c r="M464" s="14"/>
    </row>
    <row r="465" ht="20" hidden="1" customHeight="1" spans="1:13">
      <c r="A465" s="41" t="s">
        <v>4166</v>
      </c>
      <c r="B465" s="11" t="s">
        <v>4168</v>
      </c>
      <c r="C465" s="11" t="s">
        <v>4089</v>
      </c>
      <c r="D465" s="11"/>
      <c r="E465" s="11" t="s">
        <v>1013</v>
      </c>
      <c r="F465" s="11" t="str">
        <f>IFERROR(VLOOKUP(VENTAS[[#This Row],[Código del producto Vendido]],STOCK[],5,FALSE),"-")</f>
        <v>Maxi Vestido con Bolsillo</v>
      </c>
      <c r="G465" s="11">
        <v>1</v>
      </c>
      <c r="H465" s="14">
        <v>33</v>
      </c>
      <c r="I465" s="14">
        <f>VENTAS[[#This Row],[Cantidad]]*VENTAS[[#This Row],[Precio Venta]]</f>
        <v>33</v>
      </c>
      <c r="J465" s="14">
        <f>IF(VENTAS[[#This Row],[Nombre del Gestor]]&gt;1,VENTAS[[#This Row],[Total]]*10%,0)</f>
        <v>0</v>
      </c>
      <c r="K465" s="14">
        <f>IFERROR(VLOOKUP(VENTAS[[#This Row],[Código del producto Vendido]],STOCK[],16,FALSE)*VENTAS[[#This Row],[Cantidad]]+VLOOKUP(VENTAS[[#This Row],[Código del producto Vendido]],STOCK[],19,FALSE)*VENTAS[[#This Row],[Cantidad]],VENTAS[[#This Row],[Total]])</f>
        <v>22.1920454545455</v>
      </c>
      <c r="L465" s="14">
        <f>VENTAS[[#This Row],[Total]]-VENTAS[[#This Row],[Comisión 10%]]-VENTAS[[#This Row],[Costo SIN Comision]]</f>
        <v>10.8079545454545</v>
      </c>
      <c r="M465" s="14"/>
    </row>
    <row r="466" ht="20" hidden="1" customHeight="1" spans="1:13">
      <c r="A466" s="42" t="s">
        <v>4166</v>
      </c>
      <c r="B466" s="11"/>
      <c r="C466" s="11" t="s">
        <v>4169</v>
      </c>
      <c r="D466" s="11"/>
      <c r="E466" s="11" t="s">
        <v>718</v>
      </c>
      <c r="F466" s="11" t="str">
        <f>IFERROR(VLOOKUP(VENTAS[[#This Row],[Código del producto Vendido]],STOCK[],5,FALSE),"-")</f>
        <v>Vestido bodycon</v>
      </c>
      <c r="G466" s="11">
        <v>1</v>
      </c>
      <c r="H466" s="14">
        <v>12</v>
      </c>
      <c r="I466" s="14">
        <f>VENTAS[[#This Row],[Cantidad]]*VENTAS[[#This Row],[Precio Venta]]</f>
        <v>12</v>
      </c>
      <c r="J466" s="14">
        <f>IF(VENTAS[[#This Row],[Nombre del Gestor]]&gt;1,VENTAS[[#This Row],[Total]]*10%,0)</f>
        <v>0</v>
      </c>
      <c r="K466" s="14">
        <f>IFERROR(VLOOKUP(VENTAS[[#This Row],[Código del producto Vendido]],STOCK[],16,FALSE)*VENTAS[[#This Row],[Cantidad]]+VLOOKUP(VENTAS[[#This Row],[Código del producto Vendido]],STOCK[],19,FALSE)*VENTAS[[#This Row],[Cantidad]],VENTAS[[#This Row],[Total]])</f>
        <v>5.72222222222222</v>
      </c>
      <c r="L466" s="14">
        <f>VENTAS[[#This Row],[Total]]-VENTAS[[#This Row],[Comisión 10%]]-VENTAS[[#This Row],[Costo SIN Comision]]</f>
        <v>6.27777777777778</v>
      </c>
      <c r="M466" s="14"/>
    </row>
    <row r="467" ht="20" hidden="1" customHeight="1" spans="1:13">
      <c r="A467" s="41" t="s">
        <v>4166</v>
      </c>
      <c r="B467" s="11" t="s">
        <v>4170</v>
      </c>
      <c r="C467" s="11" t="s">
        <v>4171</v>
      </c>
      <c r="D467" s="11"/>
      <c r="E467" s="11" t="s">
        <v>31</v>
      </c>
      <c r="F467" s="11" t="str">
        <f>IFERROR(VLOOKUP(VENTAS[[#This Row],[Código del producto Vendido]],STOCK[],5,FALSE),"-")</f>
        <v>Pareo falda </v>
      </c>
      <c r="G467" s="11">
        <v>1</v>
      </c>
      <c r="H467" s="14">
        <v>6</v>
      </c>
      <c r="I467" s="14">
        <f>VENTAS[[#This Row],[Cantidad]]*VENTAS[[#This Row],[Precio Venta]]</f>
        <v>6</v>
      </c>
      <c r="J467" s="14">
        <f>IF(VENTAS[[#This Row],[Nombre del Gestor]]&gt;1,VENTAS[[#This Row],[Total]]*10%,0)</f>
        <v>0</v>
      </c>
      <c r="K467" s="14">
        <f>IFERROR(VLOOKUP(VENTAS[[#This Row],[Código del producto Vendido]],STOCK[],16,FALSE)*VENTAS[[#This Row],[Cantidad]]+VLOOKUP(VENTAS[[#This Row],[Código del producto Vendido]],STOCK[],19,FALSE)*VENTAS[[#This Row],[Cantidad]],VENTAS[[#This Row],[Total]])</f>
        <v>4.33722222222222</v>
      </c>
      <c r="L467" s="14">
        <f>VENTAS[[#This Row],[Total]]-VENTAS[[#This Row],[Comisión 10%]]-VENTAS[[#This Row],[Costo SIN Comision]]</f>
        <v>1.66277777777778</v>
      </c>
      <c r="M467" s="14"/>
    </row>
    <row r="468" ht="20" hidden="1" customHeight="1" spans="1:13">
      <c r="A468" s="42" t="s">
        <v>4166</v>
      </c>
      <c r="B468" s="11"/>
      <c r="C468" s="11" t="s">
        <v>4171</v>
      </c>
      <c r="D468" s="11"/>
      <c r="E468" s="11" t="s">
        <v>75</v>
      </c>
      <c r="F468" s="11" t="str">
        <f>IFERROR(VLOOKUP(VENTAS[[#This Row],[Código del producto Vendido]],STOCK[],5,FALSE),"-")</f>
        <v>Bañador floral </v>
      </c>
      <c r="G468" s="11">
        <v>1</v>
      </c>
      <c r="H468" s="14">
        <v>28</v>
      </c>
      <c r="I468" s="14">
        <f>VENTAS[[#This Row],[Cantidad]]*VENTAS[[#This Row],[Precio Venta]]</f>
        <v>28</v>
      </c>
      <c r="J468" s="14">
        <f>IF(VENTAS[[#This Row],[Nombre del Gestor]]&gt;1,VENTAS[[#This Row],[Total]]*10%,0)</f>
        <v>0</v>
      </c>
      <c r="K468" s="14">
        <f>IFERROR(VLOOKUP(VENTAS[[#This Row],[Código del producto Vendido]],STOCK[],16,FALSE)*VENTAS[[#This Row],[Cantidad]]+VLOOKUP(VENTAS[[#This Row],[Código del producto Vendido]],STOCK[],19,FALSE)*VENTAS[[#This Row],[Cantidad]],VENTAS[[#This Row],[Total]])</f>
        <v>18.0538888888889</v>
      </c>
      <c r="L468" s="14">
        <f>VENTAS[[#This Row],[Total]]-VENTAS[[#This Row],[Comisión 10%]]-VENTAS[[#This Row],[Costo SIN Comision]]</f>
        <v>9.9461111111111</v>
      </c>
      <c r="M468" s="14"/>
    </row>
    <row r="469" ht="20" hidden="1" customHeight="1" spans="1:13">
      <c r="A469" s="41" t="s">
        <v>4166</v>
      </c>
      <c r="B469" s="11"/>
      <c r="C469" s="11" t="s">
        <v>4171</v>
      </c>
      <c r="D469" s="11"/>
      <c r="E469" s="11" t="s">
        <v>806</v>
      </c>
      <c r="F469" s="11" t="str">
        <f>IFERROR(VLOOKUP(VENTAS[[#This Row],[Código del producto Vendido]],STOCK[],5,FALSE),"-")</f>
        <v> Bañador espalda descubierta</v>
      </c>
      <c r="G469" s="11">
        <v>1</v>
      </c>
      <c r="H469" s="14">
        <v>20</v>
      </c>
      <c r="I469" s="14">
        <f>VENTAS[[#This Row],[Cantidad]]*VENTAS[[#This Row],[Precio Venta]]</f>
        <v>20</v>
      </c>
      <c r="J469" s="14">
        <f>IF(VENTAS[[#This Row],[Nombre del Gestor]]&gt;1,VENTAS[[#This Row],[Total]]*10%,0)</f>
        <v>0</v>
      </c>
      <c r="K469" s="14">
        <f>IFERROR(VLOOKUP(VENTAS[[#This Row],[Código del producto Vendido]],STOCK[],16,FALSE)*VENTAS[[#This Row],[Cantidad]]+VLOOKUP(VENTAS[[#This Row],[Código del producto Vendido]],STOCK[],19,FALSE)*VENTAS[[#This Row],[Cantidad]],VENTAS[[#This Row],[Total]])</f>
        <v>15.5555555555556</v>
      </c>
      <c r="L469" s="14">
        <f>VENTAS[[#This Row],[Total]]-VENTAS[[#This Row],[Comisión 10%]]-VENTAS[[#This Row],[Costo SIN Comision]]</f>
        <v>4.4444444444444</v>
      </c>
      <c r="M469" s="14"/>
    </row>
    <row r="470" ht="20" hidden="1" customHeight="1" spans="1:13">
      <c r="A470" s="42" t="s">
        <v>4166</v>
      </c>
      <c r="B470" s="11"/>
      <c r="C470" s="11" t="s">
        <v>4172</v>
      </c>
      <c r="D470" s="11"/>
      <c r="E470" s="11" t="s">
        <v>102</v>
      </c>
      <c r="F470" s="11" t="str">
        <f>IFERROR(VLOOKUP(VENTAS[[#This Row],[Código del producto Vendido]],STOCK[],5,FALSE),"-")</f>
        <v>Pareo pantalón de malla</v>
      </c>
      <c r="G470" s="11">
        <v>1</v>
      </c>
      <c r="H470" s="14">
        <v>15</v>
      </c>
      <c r="I470" s="14">
        <f>VENTAS[[#This Row],[Cantidad]]*VENTAS[[#This Row],[Precio Venta]]</f>
        <v>15</v>
      </c>
      <c r="J470" s="14">
        <f>IF(VENTAS[[#This Row],[Nombre del Gestor]]&gt;1,VENTAS[[#This Row],[Total]]*10%,0)</f>
        <v>0</v>
      </c>
      <c r="K470" s="14">
        <f>IFERROR(VLOOKUP(VENTAS[[#This Row],[Código del producto Vendido]],STOCK[],16,FALSE)*VENTAS[[#This Row],[Cantidad]]+VLOOKUP(VENTAS[[#This Row],[Código del producto Vendido]],STOCK[],19,FALSE)*VENTAS[[#This Row],[Cantidad]],VENTAS[[#This Row],[Total]])</f>
        <v>9.78555555555556</v>
      </c>
      <c r="L470" s="14">
        <f>VENTAS[[#This Row],[Total]]-VENTAS[[#This Row],[Comisión 10%]]-VENTAS[[#This Row],[Costo SIN Comision]]</f>
        <v>5.21444444444444</v>
      </c>
      <c r="M470" s="14"/>
    </row>
    <row r="471" ht="20" hidden="1" customHeight="1" spans="1:13">
      <c r="A471" s="41" t="s">
        <v>4166</v>
      </c>
      <c r="B471" s="11"/>
      <c r="C471" s="11" t="s">
        <v>4173</v>
      </c>
      <c r="D471" s="11"/>
      <c r="E471" s="11" t="s">
        <v>635</v>
      </c>
      <c r="F471" s="11" t="str">
        <f>IFERROR(VLOOKUP(VENTAS[[#This Row],[Código del producto Vendido]],STOCK[],5,FALSE),"-")</f>
        <v>Vestido floral escote corazón</v>
      </c>
      <c r="G471" s="11">
        <v>1</v>
      </c>
      <c r="H471" s="14">
        <v>18</v>
      </c>
      <c r="I471" s="14">
        <f>VENTAS[[#This Row],[Cantidad]]*VENTAS[[#This Row],[Precio Venta]]</f>
        <v>18</v>
      </c>
      <c r="J471" s="14">
        <f>IF(VENTAS[[#This Row],[Nombre del Gestor]]&gt;1,VENTAS[[#This Row],[Total]]*10%,0)</f>
        <v>0</v>
      </c>
      <c r="K471" s="14">
        <f>IFERROR(VLOOKUP(VENTAS[[#This Row],[Código del producto Vendido]],STOCK[],16,FALSE)*VENTAS[[#This Row],[Cantidad]]+VLOOKUP(VENTAS[[#This Row],[Código del producto Vendido]],STOCK[],19,FALSE)*VENTAS[[#This Row],[Cantidad]],VENTAS[[#This Row],[Total]])</f>
        <v>10.7222222222222</v>
      </c>
      <c r="L471" s="14">
        <f>VENTAS[[#This Row],[Total]]-VENTAS[[#This Row],[Comisión 10%]]-VENTAS[[#This Row],[Costo SIN Comision]]</f>
        <v>7.27777777777778</v>
      </c>
      <c r="M471" s="14"/>
    </row>
    <row r="472" ht="20" hidden="1" customHeight="1" spans="1:13">
      <c r="A472" s="42" t="s">
        <v>4174</v>
      </c>
      <c r="B472" s="11"/>
      <c r="C472" s="11" t="s">
        <v>4175</v>
      </c>
      <c r="D472" s="11"/>
      <c r="E472" s="11" t="s">
        <v>1285</v>
      </c>
      <c r="F472" s="11" t="str">
        <f>IFERROR(VLOOKUP(VENTAS[[#This Row],[Código del producto Vendido]],STOCK[],5,FALSE),"-")</f>
        <v>Pantalón de corte recto</v>
      </c>
      <c r="G472" s="11">
        <v>1</v>
      </c>
      <c r="H472" s="14">
        <v>30</v>
      </c>
      <c r="I472" s="14">
        <f>VENTAS[[#This Row],[Cantidad]]*VENTAS[[#This Row],[Precio Venta]]</f>
        <v>30</v>
      </c>
      <c r="J472" s="14">
        <f>IF(VENTAS[[#This Row],[Nombre del Gestor]]&gt;1,VENTAS[[#This Row],[Total]]*10%,0)</f>
        <v>0</v>
      </c>
      <c r="K472" s="14">
        <f>IFERROR(VLOOKUP(VENTAS[[#This Row],[Código del producto Vendido]],STOCK[],16,FALSE)*VENTAS[[#This Row],[Cantidad]]+VLOOKUP(VENTAS[[#This Row],[Código del producto Vendido]],STOCK[],19,FALSE)*VENTAS[[#This Row],[Cantidad]],VENTAS[[#This Row],[Total]])</f>
        <v>20.78</v>
      </c>
      <c r="L472" s="14">
        <f>VENTAS[[#This Row],[Total]]-VENTAS[[#This Row],[Comisión 10%]]-VENTAS[[#This Row],[Costo SIN Comision]]</f>
        <v>9.22</v>
      </c>
      <c r="M472" s="14"/>
    </row>
    <row r="473" ht="20" hidden="1" customHeight="1" spans="1:13">
      <c r="A473" s="41" t="s">
        <v>4174</v>
      </c>
      <c r="B473" s="11"/>
      <c r="C473" s="11" t="s">
        <v>4176</v>
      </c>
      <c r="D473" s="11"/>
      <c r="E473" s="11" t="s">
        <v>1297</v>
      </c>
      <c r="F473" s="11" t="str">
        <f>IFERROR(VLOOKUP(VENTAS[[#This Row],[Código del producto Vendido]],STOCK[],5,FALSE),"-")</f>
        <v>Pantaloneta con cinturón</v>
      </c>
      <c r="G473" s="11">
        <v>1</v>
      </c>
      <c r="H473" s="14">
        <v>26</v>
      </c>
      <c r="I473" s="14">
        <f>VENTAS[[#This Row],[Cantidad]]*VENTAS[[#This Row],[Precio Venta]]</f>
        <v>26</v>
      </c>
      <c r="J473" s="14">
        <f>IF(VENTAS[[#This Row],[Nombre del Gestor]]&gt;1,VENTAS[[#This Row],[Total]]*10%,0)</f>
        <v>0</v>
      </c>
      <c r="K473" s="14">
        <f>IFERROR(VLOOKUP(VENTAS[[#This Row],[Código del producto Vendido]],STOCK[],16,FALSE)*VENTAS[[#This Row],[Cantidad]]+VLOOKUP(VENTAS[[#This Row],[Código del producto Vendido]],STOCK[],19,FALSE)*VENTAS[[#This Row],[Cantidad]],VENTAS[[#This Row],[Total]])</f>
        <v>18</v>
      </c>
      <c r="L473" s="14">
        <f>VENTAS[[#This Row],[Total]]-VENTAS[[#This Row],[Comisión 10%]]-VENTAS[[#This Row],[Costo SIN Comision]]</f>
        <v>8</v>
      </c>
      <c r="M473" s="14"/>
    </row>
    <row r="474" ht="20" hidden="1" customHeight="1" spans="1:13">
      <c r="A474" s="42" t="s">
        <v>4174</v>
      </c>
      <c r="B474" s="11"/>
      <c r="C474" s="11" t="s">
        <v>4176</v>
      </c>
      <c r="D474" s="11"/>
      <c r="E474" s="11" t="s">
        <v>1218</v>
      </c>
      <c r="F474" s="11" t="str">
        <f>IFERROR(VLOOKUP(VENTAS[[#This Row],[Código del producto Vendido]],STOCK[],5,FALSE),"-")</f>
        <v>Pullover negro cuello redondo</v>
      </c>
      <c r="G474" s="11">
        <v>1</v>
      </c>
      <c r="H474" s="14">
        <v>13</v>
      </c>
      <c r="I474" s="14">
        <f>VENTAS[[#This Row],[Cantidad]]*VENTAS[[#This Row],[Precio Venta]]</f>
        <v>13</v>
      </c>
      <c r="J474" s="14">
        <f>IF(VENTAS[[#This Row],[Nombre del Gestor]]&gt;1,VENTAS[[#This Row],[Total]]*10%,0)</f>
        <v>0</v>
      </c>
      <c r="K474" s="14">
        <f>IFERROR(VLOOKUP(VENTAS[[#This Row],[Código del producto Vendido]],STOCK[],16,FALSE)*VENTAS[[#This Row],[Cantidad]]+VLOOKUP(VENTAS[[#This Row],[Código del producto Vendido]],STOCK[],19,FALSE)*VENTAS[[#This Row],[Cantidad]],VENTAS[[#This Row],[Total]])</f>
        <v>8.53</v>
      </c>
      <c r="L474" s="14">
        <f>VENTAS[[#This Row],[Total]]-VENTAS[[#This Row],[Comisión 10%]]-VENTAS[[#This Row],[Costo SIN Comision]]</f>
        <v>4.47</v>
      </c>
      <c r="M474" s="14"/>
    </row>
    <row r="475" ht="20" hidden="1" customHeight="1" spans="1:13">
      <c r="A475" s="41" t="s">
        <v>4177</v>
      </c>
      <c r="B475" s="11"/>
      <c r="C475" s="11" t="s">
        <v>4178</v>
      </c>
      <c r="D475" s="11"/>
      <c r="E475" s="11" t="s">
        <v>1112</v>
      </c>
      <c r="F475" s="11" t="str">
        <f>IFERROR(VLOOKUP(VENTAS[[#This Row],[Código del producto Vendido]],STOCK[],5,FALSE),"-")</f>
        <v>Jumpsuit culotte</v>
      </c>
      <c r="G475" s="11">
        <v>1</v>
      </c>
      <c r="H475" s="14">
        <v>22</v>
      </c>
      <c r="I475" s="14">
        <f>VENTAS[[#This Row],[Cantidad]]*VENTAS[[#This Row],[Precio Venta]]</f>
        <v>22</v>
      </c>
      <c r="J475" s="14">
        <f>IF(VENTAS[[#This Row],[Nombre del Gestor]]&gt;1,VENTAS[[#This Row],[Total]]*10%,0)</f>
        <v>0</v>
      </c>
      <c r="K475" s="14">
        <f>IFERROR(VLOOKUP(VENTAS[[#This Row],[Código del producto Vendido]],STOCK[],16,FALSE)*VENTAS[[#This Row],[Cantidad]]+VLOOKUP(VENTAS[[#This Row],[Código del producto Vendido]],STOCK[],19,FALSE)*VENTAS[[#This Row],[Cantidad]],VENTAS[[#This Row],[Total]])</f>
        <v>18.4279411764706</v>
      </c>
      <c r="L475" s="14">
        <f>VENTAS[[#This Row],[Total]]-VENTAS[[#This Row],[Comisión 10%]]-VENTAS[[#This Row],[Costo SIN Comision]]</f>
        <v>3.5720588235294</v>
      </c>
      <c r="M475" s="14"/>
    </row>
    <row r="476" ht="20" hidden="1" customHeight="1" spans="1:13">
      <c r="A476" s="42" t="s">
        <v>4177</v>
      </c>
      <c r="B476" s="11"/>
      <c r="C476" s="11" t="s">
        <v>4178</v>
      </c>
      <c r="D476" s="11"/>
      <c r="E476" s="11" t="s">
        <v>1106</v>
      </c>
      <c r="F476" s="11" t="str">
        <f>IFERROR(VLOOKUP(VENTAS[[#This Row],[Código del producto Vendido]],STOCK[],5,FALSE),"-")</f>
        <v>Mono Oblicuo con bolsillo</v>
      </c>
      <c r="G476" s="11">
        <v>1</v>
      </c>
      <c r="H476" s="14">
        <v>19</v>
      </c>
      <c r="I476" s="14">
        <f>VENTAS[[#This Row],[Cantidad]]*VENTAS[[#This Row],[Precio Venta]]</f>
        <v>19</v>
      </c>
      <c r="J476" s="14">
        <f>IF(VENTAS[[#This Row],[Nombre del Gestor]]&gt;1,VENTAS[[#This Row],[Total]]*10%,0)</f>
        <v>0</v>
      </c>
      <c r="K476" s="14">
        <f>IFERROR(VLOOKUP(VENTAS[[#This Row],[Código del producto Vendido]],STOCK[],16,FALSE)*VENTAS[[#This Row],[Cantidad]]+VLOOKUP(VENTAS[[#This Row],[Código del producto Vendido]],STOCK[],19,FALSE)*VENTAS[[#This Row],[Cantidad]],VENTAS[[#This Row],[Total]])</f>
        <v>14.5485294117647</v>
      </c>
      <c r="L476" s="14">
        <f>VENTAS[[#This Row],[Total]]-VENTAS[[#This Row],[Comisión 10%]]-VENTAS[[#This Row],[Costo SIN Comision]]</f>
        <v>4.45147058823529</v>
      </c>
      <c r="M476" s="14"/>
    </row>
    <row r="477" ht="20" hidden="1" customHeight="1" spans="1:13">
      <c r="A477" s="41" t="s">
        <v>4177</v>
      </c>
      <c r="B477" s="11"/>
      <c r="C477" s="11" t="s">
        <v>4103</v>
      </c>
      <c r="D477" s="11"/>
      <c r="E477" s="11" t="s">
        <v>1257</v>
      </c>
      <c r="F477" s="11" t="str">
        <f>IFERROR(VLOOKUP(VENTAS[[#This Row],[Código del producto Vendido]],STOCK[],5,FALSE),"-")</f>
        <v>Maxi vestido playero rojo</v>
      </c>
      <c r="G477" s="11">
        <v>1</v>
      </c>
      <c r="H477" s="14">
        <v>35</v>
      </c>
      <c r="I477" s="14">
        <f>VENTAS[[#This Row],[Cantidad]]*VENTAS[[#This Row],[Precio Venta]]</f>
        <v>35</v>
      </c>
      <c r="J477" s="14">
        <f>IF(VENTAS[[#This Row],[Nombre del Gestor]]&gt;1,VENTAS[[#This Row],[Total]]*10%,0)</f>
        <v>0</v>
      </c>
      <c r="K477" s="14">
        <f>IFERROR(VLOOKUP(VENTAS[[#This Row],[Código del producto Vendido]],STOCK[],16,FALSE)*VENTAS[[#This Row],[Cantidad]]+VLOOKUP(VENTAS[[#This Row],[Código del producto Vendido]],STOCK[],19,FALSE)*VENTAS[[#This Row],[Cantidad]],VENTAS[[#This Row],[Total]])</f>
        <v>23.42</v>
      </c>
      <c r="L477" s="14">
        <f>VENTAS[[#This Row],[Total]]-VENTAS[[#This Row],[Comisión 10%]]-VENTAS[[#This Row],[Costo SIN Comision]]</f>
        <v>11.58</v>
      </c>
      <c r="M477" s="14"/>
    </row>
    <row r="478" ht="20" hidden="1" customHeight="1" spans="1:13">
      <c r="A478" s="42" t="s">
        <v>4177</v>
      </c>
      <c r="B478" s="11"/>
      <c r="C478" s="11" t="s">
        <v>4176</v>
      </c>
      <c r="D478" s="11"/>
      <c r="E478" s="11" t="s">
        <v>219</v>
      </c>
      <c r="F478" s="11" t="str">
        <f>IFERROR(VLOOKUP(VENTAS[[#This Row],[Código del producto Vendido]],STOCK[],5,FALSE),"-")</f>
        <v>Camisetaen contraste tejido canalé</v>
      </c>
      <c r="G478" s="11">
        <v>1</v>
      </c>
      <c r="H478" s="14">
        <v>14</v>
      </c>
      <c r="I478" s="14">
        <f>VENTAS[[#This Row],[Cantidad]]*VENTAS[[#This Row],[Precio Venta]]</f>
        <v>14</v>
      </c>
      <c r="J478" s="14">
        <f>IF(VENTAS[[#This Row],[Nombre del Gestor]]&gt;1,VENTAS[[#This Row],[Total]]*10%,0)</f>
        <v>0</v>
      </c>
      <c r="K478" s="14">
        <f>IFERROR(VLOOKUP(VENTAS[[#This Row],[Código del producto Vendido]],STOCK[],16,FALSE)*VENTAS[[#This Row],[Cantidad]]+VLOOKUP(VENTAS[[#This Row],[Código del producto Vendido]],STOCK[],19,FALSE)*VENTAS[[#This Row],[Cantidad]],VENTAS[[#This Row],[Total]])</f>
        <v>8.85777777777778</v>
      </c>
      <c r="L478" s="14">
        <f>VENTAS[[#This Row],[Total]]-VENTAS[[#This Row],[Comisión 10%]]-VENTAS[[#This Row],[Costo SIN Comision]]</f>
        <v>5.14222222222222</v>
      </c>
      <c r="M478" s="14"/>
    </row>
    <row r="479" ht="20" hidden="1" customHeight="1" spans="1:13">
      <c r="A479" s="41" t="s">
        <v>4177</v>
      </c>
      <c r="B479" s="11"/>
      <c r="C479" s="11" t="s">
        <v>4179</v>
      </c>
      <c r="D479" s="11"/>
      <c r="E479" s="11" t="s">
        <v>31</v>
      </c>
      <c r="F479" s="11" t="str">
        <f>IFERROR(VLOOKUP(VENTAS[[#This Row],[Código del producto Vendido]],STOCK[],5,FALSE),"-")</f>
        <v>Pareo falda </v>
      </c>
      <c r="G479" s="11">
        <v>1</v>
      </c>
      <c r="H479" s="14">
        <v>8</v>
      </c>
      <c r="I479" s="14">
        <f>VENTAS[[#This Row],[Cantidad]]*VENTAS[[#This Row],[Precio Venta]]</f>
        <v>8</v>
      </c>
      <c r="J479" s="14">
        <f>IF(VENTAS[[#This Row],[Nombre del Gestor]]&gt;1,VENTAS[[#This Row],[Total]]*10%,0)</f>
        <v>0</v>
      </c>
      <c r="K479" s="14">
        <f>IFERROR(VLOOKUP(VENTAS[[#This Row],[Código del producto Vendido]],STOCK[],16,FALSE)*VENTAS[[#This Row],[Cantidad]]+VLOOKUP(VENTAS[[#This Row],[Código del producto Vendido]],STOCK[],19,FALSE)*VENTAS[[#This Row],[Cantidad]],VENTAS[[#This Row],[Total]])</f>
        <v>4.33722222222222</v>
      </c>
      <c r="L479" s="14">
        <f>VENTAS[[#This Row],[Total]]-VENTAS[[#This Row],[Comisión 10%]]-VENTAS[[#This Row],[Costo SIN Comision]]</f>
        <v>3.66277777777778</v>
      </c>
      <c r="M479" s="14"/>
    </row>
    <row r="480" ht="20" hidden="1" customHeight="1" spans="1:13">
      <c r="A480" s="42" t="s">
        <v>4180</v>
      </c>
      <c r="B480" s="11"/>
      <c r="C480" s="11" t="s">
        <v>4181</v>
      </c>
      <c r="D480" s="11"/>
      <c r="E480" s="11" t="s">
        <v>1205</v>
      </c>
      <c r="F480" s="11" t="str">
        <f>IFERROR(VLOOKUP(VENTAS[[#This Row],[Código del producto Vendido]],STOCK[],5,FALSE),"-")</f>
        <v>Camisa Blanca</v>
      </c>
      <c r="G480" s="11">
        <v>1</v>
      </c>
      <c r="H480" s="14">
        <v>20</v>
      </c>
      <c r="I480" s="14">
        <f>VENTAS[[#This Row],[Cantidad]]*VENTAS[[#This Row],[Precio Venta]]</f>
        <v>20</v>
      </c>
      <c r="J480" s="14">
        <f>IF(VENTAS[[#This Row],[Nombre del Gestor]]&gt;1,VENTAS[[#This Row],[Total]]*10%,0)</f>
        <v>0</v>
      </c>
      <c r="K480" s="14">
        <f>IFERROR(VLOOKUP(VENTAS[[#This Row],[Código del producto Vendido]],STOCK[],16,FALSE)*VENTAS[[#This Row],[Cantidad]]+VLOOKUP(VENTAS[[#This Row],[Código del producto Vendido]],STOCK[],19,FALSE)*VENTAS[[#This Row],[Cantidad]],VENTAS[[#This Row],[Total]])</f>
        <v>12.9</v>
      </c>
      <c r="L480" s="14">
        <f>VENTAS[[#This Row],[Total]]-VENTAS[[#This Row],[Comisión 10%]]-VENTAS[[#This Row],[Costo SIN Comision]]</f>
        <v>7.1</v>
      </c>
      <c r="M480" s="14"/>
    </row>
    <row r="481" ht="20" hidden="1" customHeight="1" spans="1:13">
      <c r="A481" s="41" t="s">
        <v>4180</v>
      </c>
      <c r="B481" s="11"/>
      <c r="C481" s="11" t="s">
        <v>4182</v>
      </c>
      <c r="D481" s="11"/>
      <c r="E481" s="11" t="s">
        <v>246</v>
      </c>
      <c r="F481" s="11" t="str">
        <f>IFERROR(VLOOKUP(VENTAS[[#This Row],[Código del producto Vendido]],STOCK[],5,FALSE),"-")</f>
        <v>Top de mangas anchas y lentejuelas amarillo</v>
      </c>
      <c r="G481" s="11">
        <v>0</v>
      </c>
      <c r="H481" s="14">
        <v>0</v>
      </c>
      <c r="I481" s="14">
        <f>VENTAS[[#This Row],[Cantidad]]*VENTAS[[#This Row],[Precio Venta]]</f>
        <v>0</v>
      </c>
      <c r="J481" s="14">
        <f>IF(VENTAS[[#This Row],[Nombre del Gestor]]&gt;1,VENTAS[[#This Row],[Total]]*10%,0)</f>
        <v>0</v>
      </c>
      <c r="K481" s="14">
        <f>IFERROR(VLOOKUP(VENTAS[[#This Row],[Código del producto Vendido]],STOCK[],16,FALSE)*VENTAS[[#This Row],[Cantidad]]+VLOOKUP(VENTAS[[#This Row],[Código del producto Vendido]],STOCK[],19,FALSE)*VENTAS[[#This Row],[Cantidad]],VENTAS[[#This Row],[Total]])</f>
        <v>0</v>
      </c>
      <c r="L481" s="14">
        <f>VENTAS[[#This Row],[Total]]-VENTAS[[#This Row],[Comisión 10%]]-VENTAS[[#This Row],[Costo SIN Comision]]</f>
        <v>0</v>
      </c>
      <c r="M481" s="14"/>
    </row>
    <row r="482" ht="20" hidden="1" customHeight="1" spans="1:13">
      <c r="A482" s="42" t="s">
        <v>4180</v>
      </c>
      <c r="B482" s="11"/>
      <c r="C482" s="11" t="s">
        <v>4087</v>
      </c>
      <c r="D482" s="11"/>
      <c r="E482" s="11" t="s">
        <v>450</v>
      </c>
      <c r="F482" s="11" t="str">
        <f>IFERROR(VLOOKUP(VENTAS[[#This Row],[Código del producto Vendido]],STOCK[],5,FALSE),"-")</f>
        <v>Bañador estampado de planta</v>
      </c>
      <c r="G482" s="11">
        <v>1</v>
      </c>
      <c r="H482" s="14">
        <v>25</v>
      </c>
      <c r="I482" s="14">
        <f>VENTAS[[#This Row],[Cantidad]]*VENTAS[[#This Row],[Precio Venta]]</f>
        <v>25</v>
      </c>
      <c r="J482" s="14">
        <f>IF(VENTAS[[#This Row],[Nombre del Gestor]]&gt;1,VENTAS[[#This Row],[Total]]*10%,0)</f>
        <v>0</v>
      </c>
      <c r="K482" s="14">
        <f>IFERROR(VLOOKUP(VENTAS[[#This Row],[Código del producto Vendido]],STOCK[],16,FALSE)*VENTAS[[#This Row],[Cantidad]]+VLOOKUP(VENTAS[[#This Row],[Código del producto Vendido]],STOCK[],19,FALSE)*VENTAS[[#This Row],[Cantidad]],VENTAS[[#This Row],[Total]])</f>
        <v>13.4166666666667</v>
      </c>
      <c r="L482" s="14">
        <f>VENTAS[[#This Row],[Total]]-VENTAS[[#This Row],[Comisión 10%]]-VENTAS[[#This Row],[Costo SIN Comision]]</f>
        <v>11.5833333333333</v>
      </c>
      <c r="M482" s="14"/>
    </row>
    <row r="483" ht="20" hidden="1" customHeight="1" spans="1:13">
      <c r="A483" s="41" t="s">
        <v>4180</v>
      </c>
      <c r="B483" s="11"/>
      <c r="C483" s="11" t="s">
        <v>4183</v>
      </c>
      <c r="D483" s="11"/>
      <c r="E483" s="11" t="s">
        <v>757</v>
      </c>
      <c r="F483" s="11" t="str">
        <f>IFERROR(VLOOKUP(VENTAS[[#This Row],[Código del producto Vendido]],STOCK[],5,FALSE),"-")</f>
        <v>Sandalias Trenzadas</v>
      </c>
      <c r="G483" s="11">
        <v>1</v>
      </c>
      <c r="H483" s="14">
        <v>35</v>
      </c>
      <c r="I483" s="14">
        <f>VENTAS[[#This Row],[Cantidad]]*VENTAS[[#This Row],[Precio Venta]]</f>
        <v>35</v>
      </c>
      <c r="J483" s="14">
        <f>IF(VENTAS[[#This Row],[Nombre del Gestor]]&gt;1,VENTAS[[#This Row],[Total]]*10%,0)</f>
        <v>0</v>
      </c>
      <c r="K483" s="14">
        <f>IFERROR(VLOOKUP(VENTAS[[#This Row],[Código del producto Vendido]],STOCK[],16,FALSE)*VENTAS[[#This Row],[Cantidad]]+VLOOKUP(VENTAS[[#This Row],[Código del producto Vendido]],STOCK[],19,FALSE)*VENTAS[[#This Row],[Cantidad]],VENTAS[[#This Row],[Total]])</f>
        <v>27</v>
      </c>
      <c r="L483" s="14">
        <f>VENTAS[[#This Row],[Total]]-VENTAS[[#This Row],[Comisión 10%]]-VENTAS[[#This Row],[Costo SIN Comision]]</f>
        <v>8</v>
      </c>
      <c r="M483" s="14"/>
    </row>
    <row r="484" ht="20" hidden="1" customHeight="1" spans="1:13">
      <c r="A484" s="42" t="s">
        <v>4180</v>
      </c>
      <c r="B484" s="11"/>
      <c r="C484" s="11" t="s">
        <v>4176</v>
      </c>
      <c r="D484" s="11"/>
      <c r="E484" s="11" t="s">
        <v>1244</v>
      </c>
      <c r="F484" s="11" t="str">
        <f>IFERROR(VLOOKUP(VENTAS[[#This Row],[Código del producto Vendido]],STOCK[],5,FALSE),"-")</f>
        <v>Pantalón Corte Recto</v>
      </c>
      <c r="G484" s="11">
        <v>1</v>
      </c>
      <c r="H484" s="14">
        <v>30</v>
      </c>
      <c r="I484" s="14">
        <f>VENTAS[[#This Row],[Cantidad]]*VENTAS[[#This Row],[Precio Venta]]</f>
        <v>30</v>
      </c>
      <c r="J484" s="14">
        <f>IF(VENTAS[[#This Row],[Nombre del Gestor]]&gt;1,VENTAS[[#This Row],[Total]]*10%,0)</f>
        <v>0</v>
      </c>
      <c r="K484" s="14">
        <f>IFERROR(VLOOKUP(VENTAS[[#This Row],[Código del producto Vendido]],STOCK[],16,FALSE)*VENTAS[[#This Row],[Cantidad]]+VLOOKUP(VENTAS[[#This Row],[Código del producto Vendido]],STOCK[],19,FALSE)*VENTAS[[#This Row],[Cantidad]],VENTAS[[#This Row],[Total]])</f>
        <v>20.78</v>
      </c>
      <c r="L484" s="14">
        <f>VENTAS[[#This Row],[Total]]-VENTAS[[#This Row],[Comisión 10%]]-VENTAS[[#This Row],[Costo SIN Comision]]</f>
        <v>9.22</v>
      </c>
      <c r="M484" s="14"/>
    </row>
    <row r="485" ht="20" hidden="1" customHeight="1" spans="1:13">
      <c r="A485" s="41" t="s">
        <v>4180</v>
      </c>
      <c r="B485" s="11"/>
      <c r="C485" s="11" t="s">
        <v>4184</v>
      </c>
      <c r="D485" s="11"/>
      <c r="E485" s="11" t="s">
        <v>1025</v>
      </c>
      <c r="F485" s="11" t="str">
        <f>IFERROR(VLOOKUP(VENTAS[[#This Row],[Código del producto Vendido]],STOCK[],5,FALSE),"-")</f>
        <v>Falda Margarita</v>
      </c>
      <c r="G485" s="11">
        <v>1</v>
      </c>
      <c r="H485" s="14">
        <v>20</v>
      </c>
      <c r="I485" s="14">
        <f>VENTAS[[#This Row],[Cantidad]]*VENTAS[[#This Row],[Precio Venta]]</f>
        <v>20</v>
      </c>
      <c r="J485" s="14">
        <f>IF(VENTAS[[#This Row],[Nombre del Gestor]]&gt;1,VENTAS[[#This Row],[Total]]*10%,0)</f>
        <v>0</v>
      </c>
      <c r="K485" s="14">
        <f>IFERROR(VLOOKUP(VENTAS[[#This Row],[Código del producto Vendido]],STOCK[],16,FALSE)*VENTAS[[#This Row],[Cantidad]]+VLOOKUP(VENTAS[[#This Row],[Código del producto Vendido]],STOCK[],19,FALSE)*VENTAS[[#This Row],[Cantidad]],VENTAS[[#This Row],[Total]])</f>
        <v>8.105</v>
      </c>
      <c r="L485" s="14">
        <f>VENTAS[[#This Row],[Total]]-VENTAS[[#This Row],[Comisión 10%]]-VENTAS[[#This Row],[Costo SIN Comision]]</f>
        <v>11.895</v>
      </c>
      <c r="M485" s="14"/>
    </row>
    <row r="486" ht="20" hidden="1" customHeight="1" spans="1:13">
      <c r="A486" s="42" t="s">
        <v>4180</v>
      </c>
      <c r="B486" s="11"/>
      <c r="C486" s="11" t="s">
        <v>4185</v>
      </c>
      <c r="D486" s="11"/>
      <c r="E486" s="11" t="s">
        <v>1021</v>
      </c>
      <c r="F486" s="11" t="str">
        <f>IFERROR(VLOOKUP(VENTAS[[#This Row],[Código del producto Vendido]],STOCK[],5,FALSE),"-")</f>
        <v>Falda margarita de corte A</v>
      </c>
      <c r="G486" s="11">
        <v>1</v>
      </c>
      <c r="H486" s="14">
        <v>20</v>
      </c>
      <c r="I486" s="14">
        <f>VENTAS[[#This Row],[Cantidad]]*VENTAS[[#This Row],[Precio Venta]]</f>
        <v>20</v>
      </c>
      <c r="J486" s="14">
        <f>IF(VENTAS[[#This Row],[Nombre del Gestor]]&gt;1,VENTAS[[#This Row],[Total]]*10%,0)</f>
        <v>0</v>
      </c>
      <c r="K486" s="14">
        <f>IFERROR(VLOOKUP(VENTAS[[#This Row],[Código del producto Vendido]],STOCK[],16,FALSE)*VENTAS[[#This Row],[Cantidad]]+VLOOKUP(VENTAS[[#This Row],[Código del producto Vendido]],STOCK[],19,FALSE)*VENTAS[[#This Row],[Cantidad]],VENTAS[[#This Row],[Total]])</f>
        <v>8.105</v>
      </c>
      <c r="L486" s="14">
        <f>VENTAS[[#This Row],[Total]]-VENTAS[[#This Row],[Comisión 10%]]-VENTAS[[#This Row],[Costo SIN Comision]]</f>
        <v>11.895</v>
      </c>
      <c r="M486" s="14"/>
    </row>
    <row r="487" ht="20" hidden="1" customHeight="1" spans="1:13">
      <c r="A487" s="41" t="s">
        <v>4180</v>
      </c>
      <c r="B487" s="11"/>
      <c r="C487" s="11" t="s">
        <v>4185</v>
      </c>
      <c r="D487" s="11"/>
      <c r="E487" s="11" t="s">
        <v>1283</v>
      </c>
      <c r="F487" s="11" t="str">
        <f>IFERROR(VLOOKUP(VENTAS[[#This Row],[Código del producto Vendido]],STOCK[],5,FALSE),"-")</f>
        <v>Pantalón beige de pierna ancha</v>
      </c>
      <c r="G487" s="11">
        <v>1</v>
      </c>
      <c r="H487" s="14">
        <v>30</v>
      </c>
      <c r="I487" s="14">
        <f>VENTAS[[#This Row],[Cantidad]]*VENTAS[[#This Row],[Precio Venta]]</f>
        <v>30</v>
      </c>
      <c r="J487" s="14">
        <f>IF(VENTAS[[#This Row],[Nombre del Gestor]]&gt;1,VENTAS[[#This Row],[Total]]*10%,0)</f>
        <v>0</v>
      </c>
      <c r="K487" s="14">
        <f>IFERROR(VLOOKUP(VENTAS[[#This Row],[Código del producto Vendido]],STOCK[],16,FALSE)*VENTAS[[#This Row],[Cantidad]]+VLOOKUP(VENTAS[[#This Row],[Código del producto Vendido]],STOCK[],19,FALSE)*VENTAS[[#This Row],[Cantidad]],VENTAS[[#This Row],[Total]])</f>
        <v>20.78</v>
      </c>
      <c r="L487" s="14">
        <f>VENTAS[[#This Row],[Total]]-VENTAS[[#This Row],[Comisión 10%]]-VENTAS[[#This Row],[Costo SIN Comision]]</f>
        <v>9.22</v>
      </c>
      <c r="M487" s="14"/>
    </row>
    <row r="488" ht="20" hidden="1" customHeight="1" spans="1:13">
      <c r="A488" s="42" t="s">
        <v>4180</v>
      </c>
      <c r="B488" s="11"/>
      <c r="C488" s="11" t="s">
        <v>4185</v>
      </c>
      <c r="D488" s="11"/>
      <c r="E488" s="11" t="s">
        <v>1273</v>
      </c>
      <c r="F488" s="11" t="str">
        <f>IFERROR(VLOOKUP(VENTAS[[#This Row],[Código del producto Vendido]],STOCK[],5,FALSE),"-")</f>
        <v>Top blanco cuello V con encaje</v>
      </c>
      <c r="G488" s="11">
        <v>1</v>
      </c>
      <c r="H488" s="14">
        <v>12</v>
      </c>
      <c r="I488" s="14">
        <f>VENTAS[[#This Row],[Cantidad]]*VENTAS[[#This Row],[Precio Venta]]</f>
        <v>12</v>
      </c>
      <c r="J488" s="14">
        <f>IF(VENTAS[[#This Row],[Nombre del Gestor]]&gt;1,VENTAS[[#This Row],[Total]]*10%,0)</f>
        <v>0</v>
      </c>
      <c r="K488" s="14">
        <f>IFERROR(VLOOKUP(VENTAS[[#This Row],[Código del producto Vendido]],STOCK[],16,FALSE)*VENTAS[[#This Row],[Cantidad]]+VLOOKUP(VENTAS[[#This Row],[Código del producto Vendido]],STOCK[],19,FALSE)*VENTAS[[#This Row],[Cantidad]],VENTAS[[#This Row],[Total]])</f>
        <v>7.97</v>
      </c>
      <c r="L488" s="14">
        <f>VENTAS[[#This Row],[Total]]-VENTAS[[#This Row],[Comisión 10%]]-VENTAS[[#This Row],[Costo SIN Comision]]</f>
        <v>4.03</v>
      </c>
      <c r="M488" s="14"/>
    </row>
    <row r="489" ht="20" hidden="1" customHeight="1" spans="1:13">
      <c r="A489" s="41" t="s">
        <v>4186</v>
      </c>
      <c r="B489" s="11"/>
      <c r="C489" s="11" t="s">
        <v>4085</v>
      </c>
      <c r="D489" s="11"/>
      <c r="E489" s="11" t="s">
        <v>1198</v>
      </c>
      <c r="F489" s="11" t="str">
        <f>IFERROR(VLOOKUP(VENTAS[[#This Row],[Código del producto Vendido]],STOCK[],5,FALSE),"-")</f>
        <v>Conjunto blanco top healter y falda cruzada</v>
      </c>
      <c r="G489" s="11">
        <v>1</v>
      </c>
      <c r="H489" s="14">
        <v>40</v>
      </c>
      <c r="I489" s="14">
        <f>VENTAS[[#This Row],[Cantidad]]*VENTAS[[#This Row],[Precio Venta]]</f>
        <v>40</v>
      </c>
      <c r="J489" s="14">
        <f>IF(VENTAS[[#This Row],[Nombre del Gestor]]&gt;1,VENTAS[[#This Row],[Total]]*10%,0)</f>
        <v>0</v>
      </c>
      <c r="K489" s="14">
        <f>IFERROR(VLOOKUP(VENTAS[[#This Row],[Código del producto Vendido]],STOCK[],16,FALSE)*VENTAS[[#This Row],[Cantidad]]+VLOOKUP(VENTAS[[#This Row],[Código del producto Vendido]],STOCK[],19,FALSE)*VENTAS[[#This Row],[Cantidad]],VENTAS[[#This Row],[Total]])</f>
        <v>27.82</v>
      </c>
      <c r="L489" s="14">
        <f>VENTAS[[#This Row],[Total]]-VENTAS[[#This Row],[Comisión 10%]]-VENTAS[[#This Row],[Costo SIN Comision]]</f>
        <v>12.18</v>
      </c>
      <c r="M489" s="14"/>
    </row>
    <row r="490" ht="20" hidden="1" customHeight="1" spans="1:13">
      <c r="A490" s="42" t="s">
        <v>4186</v>
      </c>
      <c r="B490" s="11"/>
      <c r="C490" s="11" t="s">
        <v>4187</v>
      </c>
      <c r="D490" s="11"/>
      <c r="E490" s="11" t="s">
        <v>1299</v>
      </c>
      <c r="F490" s="11" t="str">
        <f>IFERROR(VLOOKUP(VENTAS[[#This Row],[Código del producto Vendido]],STOCK[],5,FALSE),"-")</f>
        <v>Sandalias rosadas Forever21</v>
      </c>
      <c r="G490" s="11">
        <v>1</v>
      </c>
      <c r="H490" s="14">
        <v>15</v>
      </c>
      <c r="I490" s="14">
        <f>VENTAS[[#This Row],[Cantidad]]*VENTAS[[#This Row],[Precio Venta]]</f>
        <v>15</v>
      </c>
      <c r="J490" s="14">
        <f>IF(VENTAS[[#This Row],[Nombre del Gestor]]&gt;1,VENTAS[[#This Row],[Total]]*10%,0)</f>
        <v>0</v>
      </c>
      <c r="K490" s="14">
        <f>IFERROR(VLOOKUP(VENTAS[[#This Row],[Código del producto Vendido]],STOCK[],16,FALSE)*VENTAS[[#This Row],[Cantidad]]+VLOOKUP(VENTAS[[#This Row],[Código del producto Vendido]],STOCK[],19,FALSE)*VENTAS[[#This Row],[Cantidad]],VENTAS[[#This Row],[Total]])</f>
        <v>19.49</v>
      </c>
      <c r="L490" s="14">
        <f>VENTAS[[#This Row],[Total]]-VENTAS[[#This Row],[Comisión 10%]]-VENTAS[[#This Row],[Costo SIN Comision]]</f>
        <v>-4.49</v>
      </c>
      <c r="M490" s="14"/>
    </row>
    <row r="491" ht="20" hidden="1" customHeight="1" spans="1:13">
      <c r="A491" s="41" t="s">
        <v>4186</v>
      </c>
      <c r="B491" s="11"/>
      <c r="C491" s="11" t="s">
        <v>4188</v>
      </c>
      <c r="D491" s="11"/>
      <c r="E491" s="11" t="s">
        <v>779</v>
      </c>
      <c r="F491" s="11" t="str">
        <f>IFERROR(VLOOKUP(VENTAS[[#This Row],[Código del producto Vendido]],STOCK[],5,FALSE),"-")</f>
        <v>Top berry en tela de algodón</v>
      </c>
      <c r="G491" s="11">
        <v>1</v>
      </c>
      <c r="H491" s="14">
        <v>10</v>
      </c>
      <c r="I491" s="14">
        <f>VENTAS[[#This Row],[Cantidad]]*VENTAS[[#This Row],[Precio Venta]]</f>
        <v>10</v>
      </c>
      <c r="J491" s="14">
        <f>IF(VENTAS[[#This Row],[Nombre del Gestor]]&gt;1,VENTAS[[#This Row],[Total]]*10%,0)</f>
        <v>0</v>
      </c>
      <c r="K491" s="14">
        <f>IFERROR(VLOOKUP(VENTAS[[#This Row],[Código del producto Vendido]],STOCK[],16,FALSE)*VENTAS[[#This Row],[Cantidad]]+VLOOKUP(VENTAS[[#This Row],[Código del producto Vendido]],STOCK[],19,FALSE)*VENTAS[[#This Row],[Cantidad]],VENTAS[[#This Row],[Total]])</f>
        <v>6.05555555555556</v>
      </c>
      <c r="L491" s="14">
        <f>VENTAS[[#This Row],[Total]]-VENTAS[[#This Row],[Comisión 10%]]-VENTAS[[#This Row],[Costo SIN Comision]]</f>
        <v>3.94444444444444</v>
      </c>
      <c r="M491" s="14"/>
    </row>
    <row r="492" ht="20" hidden="1" customHeight="1" spans="1:13">
      <c r="A492" s="42" t="s">
        <v>4189</v>
      </c>
      <c r="B492" s="11"/>
      <c r="C492" s="11" t="s">
        <v>4190</v>
      </c>
      <c r="D492" s="11"/>
      <c r="E492" s="11" t="s">
        <v>188</v>
      </c>
      <c r="F492" s="11" t="str">
        <f>IFERROR(VLOOKUP(VENTAS[[#This Row],[Código del producto Vendido]],STOCK[],5,FALSE),"-")</f>
        <v> Top de espalda cruzada</v>
      </c>
      <c r="G492" s="11">
        <v>1</v>
      </c>
      <c r="H492" s="14">
        <v>14</v>
      </c>
      <c r="I492" s="14">
        <f>VENTAS[[#This Row],[Cantidad]]*VENTAS[[#This Row],[Precio Venta]]</f>
        <v>14</v>
      </c>
      <c r="J492" s="14">
        <f>IF(VENTAS[[#This Row],[Nombre del Gestor]]&gt;1,VENTAS[[#This Row],[Total]]*10%,0)</f>
        <v>0</v>
      </c>
      <c r="K492" s="14">
        <f>IFERROR(VLOOKUP(VENTAS[[#This Row],[Código del producto Vendido]],STOCK[],16,FALSE)*VENTAS[[#This Row],[Cantidad]]+VLOOKUP(VENTAS[[#This Row],[Código del producto Vendido]],STOCK[],19,FALSE)*VENTAS[[#This Row],[Cantidad]],VENTAS[[#This Row],[Total]])</f>
        <v>8.89777777777778</v>
      </c>
      <c r="L492" s="14">
        <f>VENTAS[[#This Row],[Total]]-VENTAS[[#This Row],[Comisión 10%]]-VENTAS[[#This Row],[Costo SIN Comision]]</f>
        <v>5.10222222222222</v>
      </c>
      <c r="M492" s="14"/>
    </row>
    <row r="493" ht="20" hidden="1" customHeight="1" spans="1:13">
      <c r="A493" s="41" t="s">
        <v>4189</v>
      </c>
      <c r="B493" s="11"/>
      <c r="C493" s="11" t="s">
        <v>4190</v>
      </c>
      <c r="D493" s="11"/>
      <c r="E493" s="11" t="s">
        <v>256</v>
      </c>
      <c r="F493" s="11" t="str">
        <f>IFERROR(VLOOKUP(VENTAS[[#This Row],[Código del producto Vendido]],STOCK[],5,FALSE),"-")</f>
        <v>Top de espalda cruzada</v>
      </c>
      <c r="G493" s="11">
        <v>1</v>
      </c>
      <c r="H493" s="14">
        <v>14</v>
      </c>
      <c r="I493" s="14">
        <f>VENTAS[[#This Row],[Cantidad]]*VENTAS[[#This Row],[Precio Venta]]</f>
        <v>14</v>
      </c>
      <c r="J493" s="14">
        <f>IF(VENTAS[[#This Row],[Nombre del Gestor]]&gt;1,VENTAS[[#This Row],[Total]]*10%,0)</f>
        <v>0</v>
      </c>
      <c r="K493" s="14">
        <f>IFERROR(VLOOKUP(VENTAS[[#This Row],[Código del producto Vendido]],STOCK[],16,FALSE)*VENTAS[[#This Row],[Cantidad]]+VLOOKUP(VENTAS[[#This Row],[Código del producto Vendido]],STOCK[],19,FALSE)*VENTAS[[#This Row],[Cantidad]],VENTAS[[#This Row],[Total]])</f>
        <v>8.34222222222222</v>
      </c>
      <c r="L493" s="14">
        <f>VENTAS[[#This Row],[Total]]-VENTAS[[#This Row],[Comisión 10%]]-VENTAS[[#This Row],[Costo SIN Comision]]</f>
        <v>5.65777777777778</v>
      </c>
      <c r="M493" s="14"/>
    </row>
    <row r="494" ht="20" hidden="1" customHeight="1" spans="1:13">
      <c r="A494" s="42" t="s">
        <v>4189</v>
      </c>
      <c r="B494" s="11"/>
      <c r="C494" s="11" t="s">
        <v>4190</v>
      </c>
      <c r="D494" s="11"/>
      <c r="E494" s="11" t="s">
        <v>990</v>
      </c>
      <c r="F494" s="11" t="str">
        <f>IFERROR(VLOOKUP(VENTAS[[#This Row],[Código del producto Vendido]],STOCK[],5,FALSE),"-")</f>
        <v> Top Básico Business Negro</v>
      </c>
      <c r="G494" s="11">
        <v>1</v>
      </c>
      <c r="H494" s="14">
        <v>12</v>
      </c>
      <c r="I494" s="14">
        <f>VENTAS[[#This Row],[Cantidad]]*VENTAS[[#This Row],[Precio Venta]]</f>
        <v>12</v>
      </c>
      <c r="J494" s="14">
        <f>IF(VENTAS[[#This Row],[Nombre del Gestor]]&gt;1,VENTAS[[#This Row],[Total]]*10%,0)</f>
        <v>0</v>
      </c>
      <c r="K494" s="14">
        <f>IFERROR(VLOOKUP(VENTAS[[#This Row],[Código del producto Vendido]],STOCK[],16,FALSE)*VENTAS[[#This Row],[Cantidad]]+VLOOKUP(VENTAS[[#This Row],[Código del producto Vendido]],STOCK[],19,FALSE)*VENTAS[[#This Row],[Cantidad]],VENTAS[[#This Row],[Total]])</f>
        <v>7.63454545454545</v>
      </c>
      <c r="L494" s="14">
        <f>VENTAS[[#This Row],[Total]]-VENTAS[[#This Row],[Comisión 10%]]-VENTAS[[#This Row],[Costo SIN Comision]]</f>
        <v>4.36545454545455</v>
      </c>
      <c r="M494" s="14"/>
    </row>
    <row r="495" ht="20" hidden="1" customHeight="1" spans="1:13">
      <c r="A495" s="41" t="s">
        <v>4189</v>
      </c>
      <c r="B495" s="11"/>
      <c r="C495" s="11" t="s">
        <v>4190</v>
      </c>
      <c r="D495" s="11"/>
      <c r="E495" s="11" t="s">
        <v>1265</v>
      </c>
      <c r="F495" s="11" t="str">
        <f>IFERROR(VLOOKUP(VENTAS[[#This Row],[Código del producto Vendido]],STOCK[],5,FALSE),"-")</f>
        <v>Pantaloneta negra con abertura</v>
      </c>
      <c r="G495" s="11">
        <v>1</v>
      </c>
      <c r="H495" s="14">
        <v>23</v>
      </c>
      <c r="I495" s="14">
        <f>VENTAS[[#This Row],[Cantidad]]*VENTAS[[#This Row],[Precio Venta]]</f>
        <v>23</v>
      </c>
      <c r="J495" s="14">
        <f>IF(VENTAS[[#This Row],[Nombre del Gestor]]&gt;1,VENTAS[[#This Row],[Total]]*10%,0)</f>
        <v>0</v>
      </c>
      <c r="K495" s="14">
        <f>IFERROR(VLOOKUP(VENTAS[[#This Row],[Código del producto Vendido]],STOCK[],16,FALSE)*VENTAS[[#This Row],[Cantidad]]+VLOOKUP(VENTAS[[#This Row],[Código del producto Vendido]],STOCK[],19,FALSE)*VENTAS[[#This Row],[Cantidad]],VENTAS[[#This Row],[Total]])</f>
        <v>15.22</v>
      </c>
      <c r="L495" s="14">
        <f>VENTAS[[#This Row],[Total]]-VENTAS[[#This Row],[Comisión 10%]]-VENTAS[[#This Row],[Costo SIN Comision]]</f>
        <v>7.78</v>
      </c>
      <c r="M495" s="14"/>
    </row>
    <row r="496" ht="20" hidden="1" customHeight="1" spans="1:13">
      <c r="A496" s="42" t="s">
        <v>4191</v>
      </c>
      <c r="B496" s="11"/>
      <c r="C496" s="11" t="s">
        <v>4158</v>
      </c>
      <c r="D496" s="11"/>
      <c r="E496" s="11" t="s">
        <v>1045</v>
      </c>
      <c r="F496" s="11" t="str">
        <f>IFERROR(VLOOKUP(VENTAS[[#This Row],[Código del producto Vendido]],STOCK[],5,FALSE),"-")</f>
        <v>Jeans Ajustados Claro</v>
      </c>
      <c r="G496" s="11">
        <v>1</v>
      </c>
      <c r="H496" s="14">
        <v>32</v>
      </c>
      <c r="I496" s="14">
        <f>VENTAS[[#This Row],[Cantidad]]*VENTAS[[#This Row],[Precio Venta]]</f>
        <v>32</v>
      </c>
      <c r="J496" s="14">
        <f>IF(VENTAS[[#This Row],[Nombre del Gestor]]&gt;1,VENTAS[[#This Row],[Total]]*10%,0)</f>
        <v>0</v>
      </c>
      <c r="K496" s="14">
        <f>IFERROR(VLOOKUP(VENTAS[[#This Row],[Código del producto Vendido]],STOCK[],16,FALSE)*VENTAS[[#This Row],[Cantidad]]+VLOOKUP(VENTAS[[#This Row],[Código del producto Vendido]],STOCK[],19,FALSE)*VENTAS[[#This Row],[Cantidad]],VENTAS[[#This Row],[Total]])</f>
        <v>25.8181818181818</v>
      </c>
      <c r="L496" s="14">
        <f>VENTAS[[#This Row],[Total]]-VENTAS[[#This Row],[Comisión 10%]]-VENTAS[[#This Row],[Costo SIN Comision]]</f>
        <v>6.1818181818182</v>
      </c>
      <c r="M496" s="14"/>
    </row>
    <row r="497" ht="20" hidden="1" customHeight="1" spans="1:13">
      <c r="A497" s="41" t="s">
        <v>4191</v>
      </c>
      <c r="B497" s="11"/>
      <c r="C497" s="11" t="s">
        <v>4158</v>
      </c>
      <c r="D497" s="11"/>
      <c r="E497" s="11" t="s">
        <v>1306</v>
      </c>
      <c r="F497" s="11" t="str">
        <f>IFERROR(VLOOKUP(VENTAS[[#This Row],[Código del producto Vendido]],STOCK[],5,FALSE),"-")</f>
        <v>Jean ajustado claro</v>
      </c>
      <c r="G497" s="11">
        <v>1</v>
      </c>
      <c r="H497" s="14">
        <v>32</v>
      </c>
      <c r="I497" s="14">
        <f>VENTAS[[#This Row],[Cantidad]]*VENTAS[[#This Row],[Precio Venta]]</f>
        <v>32</v>
      </c>
      <c r="J497" s="14">
        <f>IF(VENTAS[[#This Row],[Nombre del Gestor]]&gt;1,VENTAS[[#This Row],[Total]]*10%,0)</f>
        <v>0</v>
      </c>
      <c r="K497" s="14">
        <f>IFERROR(VLOOKUP(VENTAS[[#This Row],[Código del producto Vendido]],STOCK[],16,FALSE)*VENTAS[[#This Row],[Cantidad]]+VLOOKUP(VENTAS[[#This Row],[Código del producto Vendido]],STOCK[],19,FALSE)*VENTAS[[#This Row],[Cantidad]],VENTAS[[#This Row],[Total]])</f>
        <v>23.79</v>
      </c>
      <c r="L497" s="14">
        <f>VENTAS[[#This Row],[Total]]-VENTAS[[#This Row],[Comisión 10%]]-VENTAS[[#This Row],[Costo SIN Comision]]</f>
        <v>8.21</v>
      </c>
      <c r="M497" s="14"/>
    </row>
    <row r="498" ht="20" hidden="1" customHeight="1" spans="1:13">
      <c r="A498" s="42" t="s">
        <v>4191</v>
      </c>
      <c r="B498" s="11"/>
      <c r="C498" s="11" t="s">
        <v>4192</v>
      </c>
      <c r="D498" s="11"/>
      <c r="E498" s="11" t="s">
        <v>1301</v>
      </c>
      <c r="F498" s="11" t="str">
        <f>IFERROR(VLOOKUP(VENTAS[[#This Row],[Código del producto Vendido]],STOCK[],5,FALSE),"-")</f>
        <v>Sandalias negras de hebilla </v>
      </c>
      <c r="G498" s="11">
        <v>1</v>
      </c>
      <c r="H498" s="14">
        <v>18</v>
      </c>
      <c r="I498" s="14">
        <f>VENTAS[[#This Row],[Cantidad]]*VENTAS[[#This Row],[Precio Venta]]</f>
        <v>18</v>
      </c>
      <c r="J498" s="14">
        <f>IF(VENTAS[[#This Row],[Nombre del Gestor]]&gt;1,VENTAS[[#This Row],[Total]]*10%,0)</f>
        <v>0</v>
      </c>
      <c r="K498" s="14">
        <f>IFERROR(VLOOKUP(VENTAS[[#This Row],[Código del producto Vendido]],STOCK[],16,FALSE)*VENTAS[[#This Row],[Cantidad]]+VLOOKUP(VENTAS[[#This Row],[Código del producto Vendido]],STOCK[],19,FALSE)*VENTAS[[#This Row],[Cantidad]],VENTAS[[#This Row],[Total]])</f>
        <v>12</v>
      </c>
      <c r="L498" s="14">
        <f>VENTAS[[#This Row],[Total]]-VENTAS[[#This Row],[Comisión 10%]]-VENTAS[[#This Row],[Costo SIN Comision]]</f>
        <v>6</v>
      </c>
      <c r="M498" s="14"/>
    </row>
    <row r="499" ht="20" hidden="1" customHeight="1" spans="1:13">
      <c r="A499" s="41" t="s">
        <v>4191</v>
      </c>
      <c r="B499" s="11"/>
      <c r="C499" s="11" t="s">
        <v>4192</v>
      </c>
      <c r="D499" s="11"/>
      <c r="E499" s="11" t="s">
        <v>407</v>
      </c>
      <c r="F499" s="11" t="str">
        <f>IFERROR(VLOOKUP(VENTAS[[#This Row],[Código del producto Vendido]],STOCK[],5,FALSE),"-")</f>
        <v>Bañador una pieza de color combinado </v>
      </c>
      <c r="G499" s="11">
        <v>1</v>
      </c>
      <c r="H499" s="14">
        <v>20</v>
      </c>
      <c r="I499" s="14">
        <f>VENTAS[[#This Row],[Cantidad]]*VENTAS[[#This Row],[Precio Venta]]</f>
        <v>20</v>
      </c>
      <c r="J499" s="14">
        <f>IF(VENTAS[[#This Row],[Nombre del Gestor]]&gt;1,VENTAS[[#This Row],[Total]]*10%,0)</f>
        <v>0</v>
      </c>
      <c r="K499" s="14">
        <f>IFERROR(VLOOKUP(VENTAS[[#This Row],[Código del producto Vendido]],STOCK[],16,FALSE)*VENTAS[[#This Row],[Cantidad]]+VLOOKUP(VENTAS[[#This Row],[Código del producto Vendido]],STOCK[],19,FALSE)*VENTAS[[#This Row],[Cantidad]],VENTAS[[#This Row],[Total]])</f>
        <v>9.66666666666667</v>
      </c>
      <c r="L499" s="14">
        <f>VENTAS[[#This Row],[Total]]-VENTAS[[#This Row],[Comisión 10%]]-VENTAS[[#This Row],[Costo SIN Comision]]</f>
        <v>10.3333333333333</v>
      </c>
      <c r="M499" s="14"/>
    </row>
    <row r="500" ht="20" hidden="1" customHeight="1" spans="1:13">
      <c r="A500" s="42" t="s">
        <v>4193</v>
      </c>
      <c r="B500" s="11"/>
      <c r="C500" s="11" t="s">
        <v>4194</v>
      </c>
      <c r="D500" s="11"/>
      <c r="E500" s="11" t="s">
        <v>1064</v>
      </c>
      <c r="F500" s="11" t="str">
        <f>IFERROR(VLOOKUP(VENTAS[[#This Row],[Código del producto Vendido]],STOCK[],5,FALSE),"-")</f>
        <v>Top cami carrera</v>
      </c>
      <c r="G500" s="11">
        <v>1</v>
      </c>
      <c r="H500" s="14">
        <v>10</v>
      </c>
      <c r="I500" s="14">
        <f>VENTAS[[#This Row],[Cantidad]]*VENTAS[[#This Row],[Precio Venta]]</f>
        <v>10</v>
      </c>
      <c r="J500" s="14">
        <f>IF(VENTAS[[#This Row],[Nombre del Gestor]]&gt;1,VENTAS[[#This Row],[Total]]*10%,0)</f>
        <v>0</v>
      </c>
      <c r="K500" s="14">
        <f>IFERROR(VLOOKUP(VENTAS[[#This Row],[Código del producto Vendido]],STOCK[],16,FALSE)*VENTAS[[#This Row],[Cantidad]]+VLOOKUP(VENTAS[[#This Row],[Código del producto Vendido]],STOCK[],19,FALSE)*VENTAS[[#This Row],[Cantidad]],VENTAS[[#This Row],[Total]])</f>
        <v>4.99264705882353</v>
      </c>
      <c r="L500" s="14">
        <f>VENTAS[[#This Row],[Total]]-VENTAS[[#This Row],[Comisión 10%]]-VENTAS[[#This Row],[Costo SIN Comision]]</f>
        <v>5.00735294117647</v>
      </c>
      <c r="M500" s="14"/>
    </row>
    <row r="501" ht="20" hidden="1" customHeight="1" spans="1:13">
      <c r="A501" s="41" t="s">
        <v>4195</v>
      </c>
      <c r="B501" s="11"/>
      <c r="C501" s="11" t="s">
        <v>4196</v>
      </c>
      <c r="D501" s="11"/>
      <c r="E501" s="11" t="s">
        <v>225</v>
      </c>
      <c r="F501" s="11" t="str">
        <f>IFERROR(VLOOKUP(VENTAS[[#This Row],[Código del producto Vendido]],STOCK[],5,FALSE),"-")</f>
        <v>Vestido de manga farol con cordón delantero</v>
      </c>
      <c r="G501" s="11">
        <v>1</v>
      </c>
      <c r="H501" s="14">
        <v>22</v>
      </c>
      <c r="I501" s="14">
        <f>VENTAS[[#This Row],[Cantidad]]*VENTAS[[#This Row],[Precio Venta]]</f>
        <v>22</v>
      </c>
      <c r="J501" s="14">
        <f>IF(VENTAS[[#This Row],[Nombre del Gestor]]&gt;1,VENTAS[[#This Row],[Total]]*10%,0)</f>
        <v>0</v>
      </c>
      <c r="K501" s="14">
        <f>IFERROR(VLOOKUP(VENTAS[[#This Row],[Código del producto Vendido]],STOCK[],16,FALSE)*VENTAS[[#This Row],[Cantidad]]+VLOOKUP(VENTAS[[#This Row],[Código del producto Vendido]],STOCK[],19,FALSE)*VENTAS[[#This Row],[Cantidad]],VENTAS[[#This Row],[Total]])</f>
        <v>12.8711111111111</v>
      </c>
      <c r="L501" s="14">
        <f>VENTAS[[#This Row],[Total]]-VENTAS[[#This Row],[Comisión 10%]]-VENTAS[[#This Row],[Costo SIN Comision]]</f>
        <v>9.1288888888889</v>
      </c>
      <c r="M501" s="14"/>
    </row>
    <row r="502" ht="20" hidden="1" customHeight="1" spans="1:13">
      <c r="A502" s="42" t="s">
        <v>4195</v>
      </c>
      <c r="B502" s="11"/>
      <c r="C502" s="11" t="s">
        <v>4197</v>
      </c>
      <c r="D502" s="11"/>
      <c r="E502" s="11" t="s">
        <v>562</v>
      </c>
      <c r="F502" s="11" t="str">
        <f>IFERROR(VLOOKUP(VENTAS[[#This Row],[Código del producto Vendido]],STOCK[],5,FALSE),"-")</f>
        <v>Vestido de muslo con abertura .</v>
      </c>
      <c r="G502" s="11">
        <v>1</v>
      </c>
      <c r="H502" s="14">
        <v>40</v>
      </c>
      <c r="I502" s="14">
        <f>VENTAS[[#This Row],[Cantidad]]*VENTAS[[#This Row],[Precio Venta]]</f>
        <v>40</v>
      </c>
      <c r="J502" s="14">
        <f>IF(VENTAS[[#This Row],[Nombre del Gestor]]&gt;1,VENTAS[[#This Row],[Total]]*10%,0)</f>
        <v>0</v>
      </c>
      <c r="K502" s="14">
        <f>IFERROR(VLOOKUP(VENTAS[[#This Row],[Código del producto Vendido]],STOCK[],16,FALSE)*VENTAS[[#This Row],[Cantidad]]+VLOOKUP(VENTAS[[#This Row],[Código del producto Vendido]],STOCK[],19,FALSE)*VENTAS[[#This Row],[Cantidad]],VENTAS[[#This Row],[Total]])</f>
        <v>38.5716666666667</v>
      </c>
      <c r="L502" s="14">
        <f>VENTAS[[#This Row],[Total]]-VENTAS[[#This Row],[Comisión 10%]]-VENTAS[[#This Row],[Costo SIN Comision]]</f>
        <v>1.4283333333333</v>
      </c>
      <c r="M502" s="14"/>
    </row>
    <row r="503" ht="20" hidden="1" customHeight="1" spans="1:13">
      <c r="A503" s="41" t="s">
        <v>4195</v>
      </c>
      <c r="B503" s="11"/>
      <c r="C503" s="11" t="s">
        <v>4198</v>
      </c>
      <c r="D503" s="11"/>
      <c r="E503" s="11" t="s">
        <v>850</v>
      </c>
      <c r="F503" s="11" t="str">
        <f>IFERROR(VLOOKUP(VENTAS[[#This Row],[Código del producto Vendido]],STOCK[],5,FALSE),"-")</f>
        <v>Kimono Maxi elegante</v>
      </c>
      <c r="G503" s="11">
        <v>1</v>
      </c>
      <c r="H503" s="14">
        <v>30</v>
      </c>
      <c r="I503" s="14">
        <f>VENTAS[[#This Row],[Cantidad]]*VENTAS[[#This Row],[Precio Venta]]</f>
        <v>30</v>
      </c>
      <c r="J503" s="14">
        <f>IF(VENTAS[[#This Row],[Nombre del Gestor]]&gt;1,VENTAS[[#This Row],[Total]]*10%,0)</f>
        <v>0</v>
      </c>
      <c r="K503" s="14">
        <f>IFERROR(VLOOKUP(VENTAS[[#This Row],[Código del producto Vendido]],STOCK[],16,FALSE)*VENTAS[[#This Row],[Cantidad]]+VLOOKUP(VENTAS[[#This Row],[Código del producto Vendido]],STOCK[],19,FALSE)*VENTAS[[#This Row],[Cantidad]],VENTAS[[#This Row],[Total]])</f>
        <v>20.0555555555556</v>
      </c>
      <c r="L503" s="14">
        <f>VENTAS[[#This Row],[Total]]-VENTAS[[#This Row],[Comisión 10%]]-VENTAS[[#This Row],[Costo SIN Comision]]</f>
        <v>9.9444444444444</v>
      </c>
      <c r="M503" s="14"/>
    </row>
    <row r="504" ht="20" hidden="1" customHeight="1" spans="1:13">
      <c r="A504" s="42" t="s">
        <v>4199</v>
      </c>
      <c r="B504" s="11"/>
      <c r="C504" s="11" t="s">
        <v>4176</v>
      </c>
      <c r="D504" s="11"/>
      <c r="E504" s="11" t="s">
        <v>4200</v>
      </c>
      <c r="F504" s="11" t="str">
        <f>IFERROR(VLOOKUP(VENTAS[[#This Row],[Código del producto Vendido]],STOCK[],5,FALSE),"-")</f>
        <v>-</v>
      </c>
      <c r="G504" s="11">
        <v>1</v>
      </c>
      <c r="H504" s="14">
        <v>23</v>
      </c>
      <c r="I504" s="14">
        <f>VENTAS[[#This Row],[Cantidad]]*VENTAS[[#This Row],[Precio Venta]]</f>
        <v>23</v>
      </c>
      <c r="J504" s="14">
        <f>IF(VENTAS[[#This Row],[Nombre del Gestor]]&gt;1,VENTAS[[#This Row],[Total]]*10%,0)</f>
        <v>0</v>
      </c>
      <c r="K504" s="14">
        <f>IFERROR(VLOOKUP(VENTAS[[#This Row],[Código del producto Vendido]],STOCK[],16,FALSE)*VENTAS[[#This Row],[Cantidad]]+VLOOKUP(VENTAS[[#This Row],[Código del producto Vendido]],STOCK[],19,FALSE)*VENTAS[[#This Row],[Cantidad]],VENTAS[[#This Row],[Total]])</f>
        <v>23</v>
      </c>
      <c r="L504" s="14">
        <f>VENTAS[[#This Row],[Total]]-VENTAS[[#This Row],[Comisión 10%]]-VENTAS[[#This Row],[Costo SIN Comision]]</f>
        <v>0</v>
      </c>
      <c r="M504" s="14"/>
    </row>
    <row r="505" ht="20" hidden="1" customHeight="1" spans="1:13">
      <c r="A505" s="41" t="s">
        <v>4199</v>
      </c>
      <c r="B505" s="11"/>
      <c r="C505" s="11" t="s">
        <v>4176</v>
      </c>
      <c r="D505" s="11"/>
      <c r="E505" s="11" t="s">
        <v>897</v>
      </c>
      <c r="F505" s="11" t="str">
        <f>IFERROR(VLOOKUP(VENTAS[[#This Row],[Código del producto Vendido]],STOCK[],5,FALSE),"-")</f>
        <v>Top Cisne Blanco</v>
      </c>
      <c r="G505" s="11">
        <v>1</v>
      </c>
      <c r="H505" s="14">
        <v>12</v>
      </c>
      <c r="I505" s="14">
        <f>VENTAS[[#This Row],[Cantidad]]*VENTAS[[#This Row],[Precio Venta]]</f>
        <v>12</v>
      </c>
      <c r="J505" s="14">
        <f>IF(VENTAS[[#This Row],[Nombre del Gestor]]&gt;1,VENTAS[[#This Row],[Total]]*10%,0)</f>
        <v>0</v>
      </c>
      <c r="K505" s="14">
        <f>IFERROR(VLOOKUP(VENTAS[[#This Row],[Código del producto Vendido]],STOCK[],16,FALSE)*VENTAS[[#This Row],[Cantidad]]+VLOOKUP(VENTAS[[#This Row],[Código del producto Vendido]],STOCK[],19,FALSE)*VENTAS[[#This Row],[Cantidad]],VENTAS[[#This Row],[Total]])</f>
        <v>7.97318181818182</v>
      </c>
      <c r="L505" s="14">
        <f>VENTAS[[#This Row],[Total]]-VENTAS[[#This Row],[Comisión 10%]]-VENTAS[[#This Row],[Costo SIN Comision]]</f>
        <v>4.02681818181818</v>
      </c>
      <c r="M505" s="14"/>
    </row>
    <row r="506" ht="20" hidden="1" customHeight="1" spans="1:13">
      <c r="A506" s="42" t="s">
        <v>4199</v>
      </c>
      <c r="B506" s="11"/>
      <c r="C506" s="11" t="s">
        <v>4114</v>
      </c>
      <c r="D506" s="11"/>
      <c r="E506" s="11" t="s">
        <v>1161</v>
      </c>
      <c r="F506" s="11" t="str">
        <f>IFERROR(VLOOKUP(VENTAS[[#This Row],[Código del producto Vendido]],STOCK[],5,FALSE),"-")</f>
        <v>Pezoneras de silicona</v>
      </c>
      <c r="G506" s="11">
        <v>1</v>
      </c>
      <c r="H506" s="14">
        <v>6</v>
      </c>
      <c r="I506" s="14">
        <f>VENTAS[[#This Row],[Cantidad]]*VENTAS[[#This Row],[Precio Venta]]</f>
        <v>6</v>
      </c>
      <c r="J506" s="14">
        <f>IF(VENTAS[[#This Row],[Nombre del Gestor]]&gt;1,VENTAS[[#This Row],[Total]]*10%,0)</f>
        <v>0</v>
      </c>
      <c r="K506" s="14">
        <f>IFERROR(VLOOKUP(VENTAS[[#This Row],[Código del producto Vendido]],STOCK[],16,FALSE)*VENTAS[[#This Row],[Cantidad]]+VLOOKUP(VENTAS[[#This Row],[Código del producto Vendido]],STOCK[],19,FALSE)*VENTAS[[#This Row],[Cantidad]],VENTAS[[#This Row],[Total]])</f>
        <v>2.03</v>
      </c>
      <c r="L506" s="14">
        <f>VENTAS[[#This Row],[Total]]-VENTAS[[#This Row],[Comisión 10%]]-VENTAS[[#This Row],[Costo SIN Comision]]</f>
        <v>3.97</v>
      </c>
      <c r="M506" s="14"/>
    </row>
    <row r="507" ht="20" hidden="1" customHeight="1" spans="1:13">
      <c r="A507" s="41" t="s">
        <v>4199</v>
      </c>
      <c r="B507" s="11"/>
      <c r="C507" s="11" t="s">
        <v>4114</v>
      </c>
      <c r="D507" s="11"/>
      <c r="E507" s="11" t="s">
        <v>522</v>
      </c>
      <c r="F507" s="11" t="str">
        <f>IFERROR(VLOOKUP(VENTAS[[#This Row],[Código del producto Vendido]],STOCK[],5,FALSE),"-")</f>
        <v>Almohadilla de maquillaje </v>
      </c>
      <c r="G507" s="11">
        <v>2</v>
      </c>
      <c r="H507" s="14">
        <v>1</v>
      </c>
      <c r="I507" s="14">
        <f>VENTAS[[#This Row],[Cantidad]]*VENTAS[[#This Row],[Precio Venta]]</f>
        <v>2</v>
      </c>
      <c r="J507" s="14">
        <f>IF(VENTAS[[#This Row],[Nombre del Gestor]]&gt;1,VENTAS[[#This Row],[Total]]*10%,0)</f>
        <v>0</v>
      </c>
      <c r="K507" s="14">
        <f>IFERROR(VLOOKUP(VENTAS[[#This Row],[Código del producto Vendido]],STOCK[],16,FALSE)*VENTAS[[#This Row],[Cantidad]]+VLOOKUP(VENTAS[[#This Row],[Código del producto Vendido]],STOCK[],19,FALSE)*VENTAS[[#This Row],[Cantidad]],VENTAS[[#This Row],[Total]])</f>
        <v>0.482777777777778</v>
      </c>
      <c r="L507" s="14">
        <f>VENTAS[[#This Row],[Total]]-VENTAS[[#This Row],[Comisión 10%]]-VENTAS[[#This Row],[Costo SIN Comision]]</f>
        <v>1.51722222222222</v>
      </c>
      <c r="M507" s="14"/>
    </row>
    <row r="508" ht="20" hidden="1" customHeight="1" spans="1:13">
      <c r="A508" s="42" t="s">
        <v>4199</v>
      </c>
      <c r="B508" s="11"/>
      <c r="C508" s="11" t="s">
        <v>4114</v>
      </c>
      <c r="D508" s="11"/>
      <c r="E508" s="11" t="s">
        <v>530</v>
      </c>
      <c r="F508" s="11" t="str">
        <f>IFERROR(VLOOKUP(VENTAS[[#This Row],[Código del producto Vendido]],STOCK[],5,FALSE),"-")</f>
        <v>Esponja de maquillaje </v>
      </c>
      <c r="G508" s="11">
        <v>2</v>
      </c>
      <c r="H508" s="14">
        <v>1</v>
      </c>
      <c r="I508" s="14">
        <f>VENTAS[[#This Row],[Cantidad]]*VENTAS[[#This Row],[Precio Venta]]</f>
        <v>2</v>
      </c>
      <c r="J508" s="14">
        <f>IF(VENTAS[[#This Row],[Nombre del Gestor]]&gt;1,VENTAS[[#This Row],[Total]]*10%,0)</f>
        <v>0</v>
      </c>
      <c r="K508" s="14">
        <f>IFERROR(VLOOKUP(VENTAS[[#This Row],[Código del producto Vendido]],STOCK[],16,FALSE)*VENTAS[[#This Row],[Cantidad]]+VLOOKUP(VENTAS[[#This Row],[Código del producto Vendido]],STOCK[],19,FALSE)*VENTAS[[#This Row],[Cantidad]],VENTAS[[#This Row],[Total]])</f>
        <v>0.872222222222222</v>
      </c>
      <c r="L508" s="14">
        <f>VENTAS[[#This Row],[Total]]-VENTAS[[#This Row],[Comisión 10%]]-VENTAS[[#This Row],[Costo SIN Comision]]</f>
        <v>1.12777777777778</v>
      </c>
      <c r="M508" s="14"/>
    </row>
    <row r="509" ht="20" hidden="1" customHeight="1" spans="1:13">
      <c r="A509" s="42">
        <v>45171</v>
      </c>
      <c r="B509" s="11"/>
      <c r="C509" s="11" t="s">
        <v>4201</v>
      </c>
      <c r="D509" s="11"/>
      <c r="E509" s="44" t="s">
        <v>1130</v>
      </c>
      <c r="F509" s="11" t="str">
        <f>IFERROR(VLOOKUP(VENTAS[[#This Row],[Código del producto Vendido]],STOCK[],5,FALSE),"-")</f>
        <v>Maxi vestido floreado con abertura</v>
      </c>
      <c r="G509" s="11">
        <v>1</v>
      </c>
      <c r="H509" s="14">
        <v>30</v>
      </c>
      <c r="I509" s="14">
        <f>VENTAS[[#This Row],[Cantidad]]*VENTAS[[#This Row],[Precio Venta]]</f>
        <v>30</v>
      </c>
      <c r="J509" s="14">
        <f>IF(VENTAS[[#This Row],[Nombre del Gestor]]&gt;1,VENTAS[[#This Row],[Total]]*10%,0)</f>
        <v>0</v>
      </c>
      <c r="K509" s="14">
        <f>IFERROR(VLOOKUP(VENTAS[[#This Row],[Código del producto Vendido]],STOCK[],16,FALSE)*VENTAS[[#This Row],[Cantidad]]+VLOOKUP(VENTAS[[#This Row],[Código del producto Vendido]],STOCK[],19,FALSE)*VENTAS[[#This Row],[Cantidad]],VENTAS[[#This Row],[Total]])</f>
        <v>23.6544117647059</v>
      </c>
      <c r="L509" s="14">
        <f>VENTAS[[#This Row],[Total]]-VENTAS[[#This Row],[Comisión 10%]]-VENTAS[[#This Row],[Costo SIN Comision]]</f>
        <v>6.3455882352941</v>
      </c>
      <c r="M509" s="14"/>
    </row>
    <row r="510" ht="20" hidden="1" customHeight="1" spans="1:13">
      <c r="A510" s="41">
        <v>45171</v>
      </c>
      <c r="B510" s="11"/>
      <c r="C510" s="11" t="s">
        <v>4201</v>
      </c>
      <c r="D510" s="11"/>
      <c r="E510" s="11" t="s">
        <v>1196</v>
      </c>
      <c r="F510" s="11" t="str">
        <f>IFERROR(VLOOKUP(VENTAS[[#This Row],[Código del producto Vendido]],STOCK[],5,FALSE),"-")</f>
        <v>Conjunto de top y falda cruzada</v>
      </c>
      <c r="G510" s="11">
        <v>1</v>
      </c>
      <c r="H510" s="14">
        <v>40</v>
      </c>
      <c r="I510" s="14">
        <f>VENTAS[[#This Row],[Cantidad]]*VENTAS[[#This Row],[Precio Venta]]</f>
        <v>40</v>
      </c>
      <c r="J510" s="14">
        <f>IF(VENTAS[[#This Row],[Nombre del Gestor]]&gt;1,VENTAS[[#This Row],[Total]]*10%,0)</f>
        <v>0</v>
      </c>
      <c r="K510" s="14">
        <f>IFERROR(VLOOKUP(VENTAS[[#This Row],[Código del producto Vendido]],STOCK[],16,FALSE)*VENTAS[[#This Row],[Cantidad]]+VLOOKUP(VENTAS[[#This Row],[Código del producto Vendido]],STOCK[],19,FALSE)*VENTAS[[#This Row],[Cantidad]],VENTAS[[#This Row],[Total]])</f>
        <v>27.82</v>
      </c>
      <c r="L510" s="14">
        <f>VENTAS[[#This Row],[Total]]-VENTAS[[#This Row],[Comisión 10%]]-VENTAS[[#This Row],[Costo SIN Comision]]</f>
        <v>12.18</v>
      </c>
      <c r="M510" s="14"/>
    </row>
    <row r="511" ht="20" hidden="1" customHeight="1" spans="1:13">
      <c r="A511" s="42">
        <v>45171</v>
      </c>
      <c r="B511" s="11"/>
      <c r="C511" s="11" t="s">
        <v>4201</v>
      </c>
      <c r="D511" s="11"/>
      <c r="E511" s="11" t="s">
        <v>1262</v>
      </c>
      <c r="F511" s="11" t="str">
        <f>IFERROR(VLOOKUP(VENTAS[[#This Row],[Código del producto Vendido]],STOCK[],5,FALSE),"-")</f>
        <v>Maxi vestido playero naranja quemada</v>
      </c>
      <c r="G511" s="11">
        <v>1</v>
      </c>
      <c r="H511" s="14">
        <v>30</v>
      </c>
      <c r="I511" s="14">
        <f>VENTAS[[#This Row],[Cantidad]]*VENTAS[[#This Row],[Precio Venta]]</f>
        <v>30</v>
      </c>
      <c r="J511" s="14">
        <f>IF(VENTAS[[#This Row],[Nombre del Gestor]]&gt;1,VENTAS[[#This Row],[Total]]*10%,0)</f>
        <v>0</v>
      </c>
      <c r="K511" s="14">
        <f>IFERROR(VLOOKUP(VENTAS[[#This Row],[Código del producto Vendido]],STOCK[],16,FALSE)*VENTAS[[#This Row],[Cantidad]]+VLOOKUP(VENTAS[[#This Row],[Código del producto Vendido]],STOCK[],19,FALSE)*VENTAS[[#This Row],[Cantidad]],VENTAS[[#This Row],[Total]])</f>
        <v>23.95</v>
      </c>
      <c r="L511" s="14">
        <f>VENTAS[[#This Row],[Total]]-VENTAS[[#This Row],[Comisión 10%]]-VENTAS[[#This Row],[Costo SIN Comision]]</f>
        <v>6.05</v>
      </c>
      <c r="M511" s="14"/>
    </row>
    <row r="512" ht="20" hidden="1" customHeight="1" spans="1:13">
      <c r="A512" s="41">
        <v>45171</v>
      </c>
      <c r="B512" s="11"/>
      <c r="C512" s="11" t="s">
        <v>4202</v>
      </c>
      <c r="D512" s="11"/>
      <c r="E512" s="11" t="s">
        <v>530</v>
      </c>
      <c r="F512" s="11" t="str">
        <f>IFERROR(VLOOKUP(VENTAS[[#This Row],[Código del producto Vendido]],STOCK[],5,FALSE),"-")</f>
        <v>Esponja de maquillaje </v>
      </c>
      <c r="G512" s="11">
        <v>1</v>
      </c>
      <c r="H512" s="14">
        <v>1</v>
      </c>
      <c r="I512" s="14">
        <f>VENTAS[[#This Row],[Cantidad]]*VENTAS[[#This Row],[Precio Venta]]</f>
        <v>1</v>
      </c>
      <c r="J512" s="14">
        <f>IF(VENTAS[[#This Row],[Nombre del Gestor]]&gt;1,VENTAS[[#This Row],[Total]]*10%,0)</f>
        <v>0</v>
      </c>
      <c r="K512" s="14">
        <f>IFERROR(VLOOKUP(VENTAS[[#This Row],[Código del producto Vendido]],STOCK[],16,FALSE)*VENTAS[[#This Row],[Cantidad]]+VLOOKUP(VENTAS[[#This Row],[Código del producto Vendido]],STOCK[],19,FALSE)*VENTAS[[#This Row],[Cantidad]],VENTAS[[#This Row],[Total]])</f>
        <v>0.436111111111111</v>
      </c>
      <c r="L512" s="14">
        <f>VENTAS[[#This Row],[Total]]-VENTAS[[#This Row],[Comisión 10%]]-VENTAS[[#This Row],[Costo SIN Comision]]</f>
        <v>0.563888888888889</v>
      </c>
      <c r="M512" s="14"/>
    </row>
    <row r="513" ht="20" hidden="1" customHeight="1" spans="1:13">
      <c r="A513" s="42">
        <v>45171</v>
      </c>
      <c r="B513" s="11"/>
      <c r="C513" s="11" t="s">
        <v>4162</v>
      </c>
      <c r="D513" s="11"/>
      <c r="E513" s="11" t="s">
        <v>1308</v>
      </c>
      <c r="F513" s="11" t="str">
        <f>IFERROR(VLOOKUP(VENTAS[[#This Row],[Código del producto Vendido]],STOCK[],5,FALSE),"-")</f>
        <v>Sandalias rosadas Forever21</v>
      </c>
      <c r="G513" s="11">
        <v>1</v>
      </c>
      <c r="H513" s="14">
        <v>15</v>
      </c>
      <c r="I513" s="14">
        <f>VENTAS[[#This Row],[Cantidad]]*VENTAS[[#This Row],[Precio Venta]]</f>
        <v>15</v>
      </c>
      <c r="J513" s="14">
        <f>IF(VENTAS[[#This Row],[Nombre del Gestor]]&gt;1,VENTAS[[#This Row],[Total]]*10%,0)</f>
        <v>0</v>
      </c>
      <c r="K513" s="14">
        <f>IFERROR(VLOOKUP(VENTAS[[#This Row],[Código del producto Vendido]],STOCK[],16,FALSE)*VENTAS[[#This Row],[Cantidad]]+VLOOKUP(VENTAS[[#This Row],[Código del producto Vendido]],STOCK[],19,FALSE)*VENTAS[[#This Row],[Cantidad]],VENTAS[[#This Row],[Total]])</f>
        <v>19.49</v>
      </c>
      <c r="L513" s="14">
        <f>VENTAS[[#This Row],[Total]]-VENTAS[[#This Row],[Comisión 10%]]-VENTAS[[#This Row],[Costo SIN Comision]]</f>
        <v>-4.49</v>
      </c>
      <c r="M513" s="14"/>
    </row>
    <row r="514" ht="20" hidden="1" customHeight="1" spans="1:13">
      <c r="A514" s="41">
        <v>45171</v>
      </c>
      <c r="B514" s="11"/>
      <c r="C514" s="11" t="s">
        <v>4203</v>
      </c>
      <c r="D514" s="11"/>
      <c r="E514" s="11" t="s">
        <v>1309</v>
      </c>
      <c r="F514" s="11" t="str">
        <f>IFERROR(VLOOKUP(VENTAS[[#This Row],[Código del producto Vendido]],STOCK[],5,FALSE),"-")</f>
        <v>Sandalias blancas</v>
      </c>
      <c r="G514" s="11">
        <v>1</v>
      </c>
      <c r="H514" s="14">
        <v>15</v>
      </c>
      <c r="I514" s="14">
        <f>VENTAS[[#This Row],[Cantidad]]*VENTAS[[#This Row],[Precio Venta]]</f>
        <v>15</v>
      </c>
      <c r="J514" s="14">
        <f>IF(VENTAS[[#This Row],[Nombre del Gestor]]&gt;1,VENTAS[[#This Row],[Total]]*10%,0)</f>
        <v>0</v>
      </c>
      <c r="K514" s="14">
        <f>IFERROR(VLOOKUP(VENTAS[[#This Row],[Código del producto Vendido]],STOCK[],16,FALSE)*VENTAS[[#This Row],[Cantidad]]+VLOOKUP(VENTAS[[#This Row],[Código del producto Vendido]],STOCK[],19,FALSE)*VENTAS[[#This Row],[Cantidad]],VENTAS[[#This Row],[Total]])</f>
        <v>12.49</v>
      </c>
      <c r="L514" s="14">
        <f>VENTAS[[#This Row],[Total]]-VENTAS[[#This Row],[Comisión 10%]]-VENTAS[[#This Row],[Costo SIN Comision]]</f>
        <v>2.51</v>
      </c>
      <c r="M514" s="14"/>
    </row>
    <row r="515" ht="20" hidden="1" customHeight="1" spans="1:13">
      <c r="A515" s="42">
        <v>45171</v>
      </c>
      <c r="B515" s="11"/>
      <c r="C515" s="11" t="s">
        <v>4112</v>
      </c>
      <c r="D515" s="11"/>
      <c r="E515" s="11" t="s">
        <v>1311</v>
      </c>
      <c r="F515" s="11" t="str">
        <f>IFERROR(VLOOKUP(VENTAS[[#This Row],[Código del producto Vendido]],STOCK[],5,FALSE),"-")</f>
        <v>Short de mezclilla suave con cinturón</v>
      </c>
      <c r="G515" s="11">
        <v>1</v>
      </c>
      <c r="H515" s="14">
        <v>20</v>
      </c>
      <c r="I515" s="14">
        <f>VENTAS[[#This Row],[Cantidad]]*VENTAS[[#This Row],[Precio Venta]]</f>
        <v>20</v>
      </c>
      <c r="J515" s="14">
        <f>IF(VENTAS[[#This Row],[Nombre del Gestor]]&gt;1,VENTAS[[#This Row],[Total]]*10%,0)</f>
        <v>0</v>
      </c>
      <c r="K515" s="14">
        <f>IFERROR(VLOOKUP(VENTAS[[#This Row],[Código del producto Vendido]],STOCK[],16,FALSE)*VENTAS[[#This Row],[Cantidad]]+VLOOKUP(VENTAS[[#This Row],[Código del producto Vendido]],STOCK[],19,FALSE)*VENTAS[[#This Row],[Cantidad]],VENTAS[[#This Row],[Total]])</f>
        <v>11</v>
      </c>
      <c r="L515" s="14">
        <f>VENTAS[[#This Row],[Total]]-VENTAS[[#This Row],[Comisión 10%]]-VENTAS[[#This Row],[Costo SIN Comision]]</f>
        <v>9</v>
      </c>
      <c r="M515" s="14"/>
    </row>
    <row r="516" ht="20" hidden="1" customHeight="1" spans="1:13">
      <c r="A516" s="41">
        <v>45173</v>
      </c>
      <c r="B516" s="11"/>
      <c r="C516" s="11" t="s">
        <v>4204</v>
      </c>
      <c r="D516" s="11"/>
      <c r="E516" s="11" t="s">
        <v>1283</v>
      </c>
      <c r="F516" s="11" t="str">
        <f>IFERROR(VLOOKUP(VENTAS[[#This Row],[Código del producto Vendido]],STOCK[],5,FALSE),"-")</f>
        <v>Pantalón beige de pierna ancha</v>
      </c>
      <c r="G516" s="11">
        <v>1</v>
      </c>
      <c r="H516" s="14">
        <v>30</v>
      </c>
      <c r="I516" s="14">
        <f>VENTAS[[#This Row],[Cantidad]]*VENTAS[[#This Row],[Precio Venta]]</f>
        <v>30</v>
      </c>
      <c r="J516" s="14">
        <f>IF(VENTAS[[#This Row],[Nombre del Gestor]]&gt;1,VENTAS[[#This Row],[Total]]*10%,0)</f>
        <v>0</v>
      </c>
      <c r="K516" s="14">
        <f>IFERROR(VLOOKUP(VENTAS[[#This Row],[Código del producto Vendido]],STOCK[],16,FALSE)*VENTAS[[#This Row],[Cantidad]]+VLOOKUP(VENTAS[[#This Row],[Código del producto Vendido]],STOCK[],19,FALSE)*VENTAS[[#This Row],[Cantidad]],VENTAS[[#This Row],[Total]])</f>
        <v>20.78</v>
      </c>
      <c r="L516" s="14">
        <f>VENTAS[[#This Row],[Total]]-VENTAS[[#This Row],[Comisión 10%]]-VENTAS[[#This Row],[Costo SIN Comision]]</f>
        <v>9.22</v>
      </c>
      <c r="M516" s="14"/>
    </row>
    <row r="517" ht="20" hidden="1" customHeight="1" spans="1:13">
      <c r="A517" s="41">
        <v>45173</v>
      </c>
      <c r="B517" s="11"/>
      <c r="C517" s="11" t="s">
        <v>4176</v>
      </c>
      <c r="D517" s="11"/>
      <c r="E517" s="11" t="s">
        <v>1001</v>
      </c>
      <c r="F517" s="11" t="str">
        <f>IFERROR(VLOOKUP(VENTAS[[#This Row],[Código del producto Vendido]],STOCK[],5,FALSE),"-")</f>
        <v>Top cisne acanalado</v>
      </c>
      <c r="G517" s="11">
        <v>1</v>
      </c>
      <c r="H517" s="14">
        <v>12</v>
      </c>
      <c r="I517" s="14">
        <f>VENTAS[[#This Row],[Cantidad]]*VENTAS[[#This Row],[Precio Venta]]</f>
        <v>12</v>
      </c>
      <c r="J517" s="14">
        <f>IF(VENTAS[[#This Row],[Nombre del Gestor]]&gt;1,VENTAS[[#This Row],[Total]]*10%,0)</f>
        <v>0</v>
      </c>
      <c r="K517" s="14">
        <f>IFERROR(VLOOKUP(VENTAS[[#This Row],[Código del producto Vendido]],STOCK[],16,FALSE)*VENTAS[[#This Row],[Cantidad]]+VLOOKUP(VENTAS[[#This Row],[Código del producto Vendido]],STOCK[],19,FALSE)*VENTAS[[#This Row],[Cantidad]],VENTAS[[#This Row],[Total]])</f>
        <v>9.28</v>
      </c>
      <c r="L517" s="14">
        <f>VENTAS[[#This Row],[Total]]-VENTAS[[#This Row],[Comisión 10%]]-VENTAS[[#This Row],[Costo SIN Comision]]</f>
        <v>2.72</v>
      </c>
      <c r="M517" s="14"/>
    </row>
    <row r="518" ht="20" hidden="1" customHeight="1" spans="1:13">
      <c r="A518" s="10">
        <v>45180</v>
      </c>
      <c r="B518" s="11"/>
      <c r="C518" s="11" t="s">
        <v>4153</v>
      </c>
      <c r="D518" s="11"/>
      <c r="E518" s="11" t="s">
        <v>182</v>
      </c>
      <c r="F518" s="11" t="str">
        <f>IFERROR(VLOOKUP(VENTAS[[#This Row],[Código del producto Vendido]],STOCK[],5,FALSE),"-")</f>
        <v>Top de manga farol con abertura en espalda</v>
      </c>
      <c r="G518" s="11">
        <v>1</v>
      </c>
      <c r="H518" s="14">
        <v>14</v>
      </c>
      <c r="I518" s="14">
        <f>VENTAS[[#This Row],[Cantidad]]*VENTAS[[#This Row],[Precio Venta]]</f>
        <v>14</v>
      </c>
      <c r="J518" s="14">
        <f>IF(VENTAS[[#This Row],[Nombre del Gestor]]&gt;1,VENTAS[[#This Row],[Total]]*10%,0)</f>
        <v>0</v>
      </c>
      <c r="K518" s="14">
        <f>IFERROR(VLOOKUP(VENTAS[[#This Row],[Código del producto Vendido]],STOCK[],16,FALSE)*VENTAS[[#This Row],[Cantidad]]+VLOOKUP(VENTAS[[#This Row],[Código del producto Vendido]],STOCK[],19,FALSE)*VENTAS[[#This Row],[Cantidad]],VENTAS[[#This Row],[Total]])</f>
        <v>8.89777777777778</v>
      </c>
      <c r="L518" s="14">
        <f>VENTAS[[#This Row],[Total]]-VENTAS[[#This Row],[Comisión 10%]]-VENTAS[[#This Row],[Costo SIN Comision]]</f>
        <v>5.10222222222222</v>
      </c>
      <c r="M518" s="14"/>
    </row>
    <row r="519" ht="20" hidden="1" customHeight="1" spans="1:13">
      <c r="A519" s="10">
        <v>45180</v>
      </c>
      <c r="B519" s="11"/>
      <c r="C519" s="11" t="s">
        <v>4107</v>
      </c>
      <c r="D519" s="11"/>
      <c r="E519" s="11" t="s">
        <v>426</v>
      </c>
      <c r="F519" s="11" t="str">
        <f>IFERROR(VLOOKUP(VENTAS[[#This Row],[Código del producto Vendido]],STOCK[],5,FALSE),"-")</f>
        <v>Mono Bohemiocon cinturón </v>
      </c>
      <c r="G519" s="11">
        <v>1</v>
      </c>
      <c r="H519" s="14">
        <v>14.7</v>
      </c>
      <c r="I519" s="14">
        <f>VENTAS[[#This Row],[Cantidad]]*VENTAS[[#This Row],[Precio Venta]]</f>
        <v>14.7</v>
      </c>
      <c r="J519" s="14">
        <f>IF(VENTAS[[#This Row],[Nombre del Gestor]]&gt;1,VENTAS[[#This Row],[Total]]*10%,0)</f>
        <v>0</v>
      </c>
      <c r="K519" s="14">
        <f>IFERROR(VLOOKUP(VENTAS[[#This Row],[Código del producto Vendido]],STOCK[],16,FALSE)*VENTAS[[#This Row],[Cantidad]]+VLOOKUP(VENTAS[[#This Row],[Código del producto Vendido]],STOCK[],19,FALSE)*VENTAS[[#This Row],[Cantidad]],VENTAS[[#This Row],[Total]])</f>
        <v>14.7022222222222</v>
      </c>
      <c r="L519" s="14">
        <f>VENTAS[[#This Row],[Total]]-VENTAS[[#This Row],[Comisión 10%]]-VENTAS[[#This Row],[Costo SIN Comision]]</f>
        <v>-0.00222222222220125</v>
      </c>
      <c r="M519" s="14"/>
    </row>
    <row r="520" ht="20" hidden="1" customHeight="1" spans="1:13">
      <c r="A520" s="10">
        <v>45180</v>
      </c>
      <c r="B520" s="11"/>
      <c r="C520" s="11" t="s">
        <v>4107</v>
      </c>
      <c r="D520" s="11"/>
      <c r="E520" s="43" t="s">
        <v>1144</v>
      </c>
      <c r="F520" s="11" t="str">
        <f>IFERROR(VLOOKUP(VENTAS[[#This Row],[Código del producto Vendido]],STOCK[],5,FALSE),"-")</f>
        <v>Short de playa </v>
      </c>
      <c r="G520" s="11">
        <v>1</v>
      </c>
      <c r="H520" s="14">
        <v>16.27</v>
      </c>
      <c r="I520" s="14">
        <f>VENTAS[[#This Row],[Cantidad]]*VENTAS[[#This Row],[Precio Venta]]</f>
        <v>16.27</v>
      </c>
      <c r="J520" s="14">
        <f>IF(VENTAS[[#This Row],[Nombre del Gestor]]&gt;1,VENTAS[[#This Row],[Total]]*10%,0)</f>
        <v>0</v>
      </c>
      <c r="K520" s="14">
        <f>IFERROR(VLOOKUP(VENTAS[[#This Row],[Código del producto Vendido]],STOCK[],16,FALSE)*VENTAS[[#This Row],[Cantidad]]+VLOOKUP(VENTAS[[#This Row],[Código del producto Vendido]],STOCK[],19,FALSE)*VENTAS[[#This Row],[Cantidad]],VENTAS[[#This Row],[Total]])</f>
        <v>16.2705882352941</v>
      </c>
      <c r="L520" s="14">
        <f>VENTAS[[#This Row],[Total]]-VENTAS[[#This Row],[Comisión 10%]]-VENTAS[[#This Row],[Costo SIN Comision]]</f>
        <v>-0.000588235294099348</v>
      </c>
      <c r="M520" s="14"/>
    </row>
    <row r="521" ht="20" hidden="1" customHeight="1" spans="1:13">
      <c r="A521" s="10">
        <v>45174</v>
      </c>
      <c r="B521" s="11"/>
      <c r="C521" s="11" t="s">
        <v>4205</v>
      </c>
      <c r="D521" s="11"/>
      <c r="E521" s="43" t="s">
        <v>1136</v>
      </c>
      <c r="F521" s="11" t="str">
        <f>IFERROR(VLOOKUP(VENTAS[[#This Row],[Código del producto Vendido]],STOCK[],5,FALSE),"-")</f>
        <v>Vestido ajustado Mora</v>
      </c>
      <c r="G521" s="11">
        <v>1</v>
      </c>
      <c r="H521" s="14">
        <v>30</v>
      </c>
      <c r="I521" s="14">
        <f>VENTAS[[#This Row],[Cantidad]]*VENTAS[[#This Row],[Precio Venta]]</f>
        <v>30</v>
      </c>
      <c r="J521" s="14">
        <f>IF(VENTAS[[#This Row],[Nombre del Gestor]]&gt;1,VENTAS[[#This Row],[Total]]*10%,0)</f>
        <v>0</v>
      </c>
      <c r="K521" s="14">
        <f>IFERROR(VLOOKUP(VENTAS[[#This Row],[Código del producto Vendido]],STOCK[],16,FALSE)*VENTAS[[#This Row],[Cantidad]]+VLOOKUP(VENTAS[[#This Row],[Código del producto Vendido]],STOCK[],19,FALSE)*VENTAS[[#This Row],[Cantidad]],VENTAS[[#This Row],[Total]])</f>
        <v>22.0147058823529</v>
      </c>
      <c r="L521" s="14">
        <f>VENTAS[[#This Row],[Total]]-VENTAS[[#This Row],[Comisión 10%]]-VENTAS[[#This Row],[Costo SIN Comision]]</f>
        <v>7.9852941176471</v>
      </c>
      <c r="M521" s="14"/>
    </row>
    <row r="522" ht="20" hidden="1" customHeight="1" spans="1:13">
      <c r="A522" s="10">
        <v>45174</v>
      </c>
      <c r="B522" s="11"/>
      <c r="C522" s="11" t="s">
        <v>4205</v>
      </c>
      <c r="D522" s="11"/>
      <c r="E522" s="43" t="s">
        <v>1052</v>
      </c>
      <c r="F522" s="11" t="str">
        <f>IFERROR(VLOOKUP(VENTAS[[#This Row],[Código del producto Vendido]],STOCK[],5,FALSE),"-")</f>
        <v>Pantaloneta Camel</v>
      </c>
      <c r="G522" s="11">
        <v>1</v>
      </c>
      <c r="H522" s="14">
        <v>30</v>
      </c>
      <c r="I522" s="14">
        <f>VENTAS[[#This Row],[Cantidad]]*VENTAS[[#This Row],[Precio Venta]]</f>
        <v>30</v>
      </c>
      <c r="J522" s="14">
        <f>IF(VENTAS[[#This Row],[Nombre del Gestor]]&gt;1,VENTAS[[#This Row],[Total]]*10%,0)</f>
        <v>0</v>
      </c>
      <c r="K522" s="14">
        <f>IFERROR(VLOOKUP(VENTAS[[#This Row],[Código del producto Vendido]],STOCK[],16,FALSE)*VENTAS[[#This Row],[Cantidad]]+VLOOKUP(VENTAS[[#This Row],[Código del producto Vendido]],STOCK[],19,FALSE)*VENTAS[[#This Row],[Cantidad]],VENTAS[[#This Row],[Total]])</f>
        <v>18.6477272727273</v>
      </c>
      <c r="L522" s="14">
        <f>VENTAS[[#This Row],[Total]]-VENTAS[[#This Row],[Comisión 10%]]-VENTAS[[#This Row],[Costo SIN Comision]]</f>
        <v>11.3522727272727</v>
      </c>
      <c r="M522" s="14"/>
    </row>
    <row r="523" ht="20" hidden="1" customHeight="1" spans="1:13">
      <c r="A523" s="10">
        <v>45174</v>
      </c>
      <c r="B523" s="11" t="s">
        <v>4206</v>
      </c>
      <c r="C523" s="11" t="s">
        <v>4205</v>
      </c>
      <c r="D523" s="11"/>
      <c r="E523" s="43" t="s">
        <v>249</v>
      </c>
      <c r="F523" s="11" t="str">
        <f>IFERROR(VLOOKUP(VENTAS[[#This Row],[Código del producto Vendido]],STOCK[],5,FALSE),"-")</f>
        <v>Vestido con abertura con botón floral de margarita</v>
      </c>
      <c r="G523" s="11">
        <v>1</v>
      </c>
      <c r="H523" s="14">
        <v>20</v>
      </c>
      <c r="I523" s="14">
        <f>VENTAS[[#This Row],[Cantidad]]*VENTAS[[#This Row],[Precio Venta]]</f>
        <v>20</v>
      </c>
      <c r="J523" s="14">
        <f>IF(VENTAS[[#This Row],[Nombre del Gestor]]&gt;1,VENTAS[[#This Row],[Total]]*10%,0)</f>
        <v>0</v>
      </c>
      <c r="K523" s="14">
        <f>IFERROR(VLOOKUP(VENTAS[[#This Row],[Código del producto Vendido]],STOCK[],16,FALSE)*VENTAS[[#This Row],[Cantidad]]+VLOOKUP(VENTAS[[#This Row],[Código del producto Vendido]],STOCK[],19,FALSE)*VENTAS[[#This Row],[Cantidad]],VENTAS[[#This Row],[Total]])</f>
        <v>17.2</v>
      </c>
      <c r="L523" s="14">
        <f>VENTAS[[#This Row],[Total]]-VENTAS[[#This Row],[Comisión 10%]]-VENTAS[[#This Row],[Costo SIN Comision]]</f>
        <v>2.8</v>
      </c>
      <c r="M523" s="14"/>
    </row>
    <row r="524" ht="20" hidden="1" customHeight="1" spans="1:13">
      <c r="A524" s="10">
        <v>45174</v>
      </c>
      <c r="B524" s="11"/>
      <c r="C524" s="11" t="s">
        <v>4205</v>
      </c>
      <c r="D524" s="11"/>
      <c r="E524" s="43" t="s">
        <v>47</v>
      </c>
      <c r="F524" s="11" t="str">
        <f>IFERROR(VLOOKUP(VENTAS[[#This Row],[Código del producto Vendido]],STOCK[],5,FALSE),"-")</f>
        <v>Vestido Camisero Elegante</v>
      </c>
      <c r="G524" s="11">
        <v>1</v>
      </c>
      <c r="H524" s="14">
        <v>30</v>
      </c>
      <c r="I524" s="14">
        <f>VENTAS[[#This Row],[Cantidad]]*VENTAS[[#This Row],[Precio Venta]]</f>
        <v>30</v>
      </c>
      <c r="J524" s="14">
        <f>IF(VENTAS[[#This Row],[Nombre del Gestor]]&gt;1,VENTAS[[#This Row],[Total]]*10%,0)</f>
        <v>0</v>
      </c>
      <c r="K524" s="14">
        <f>IFERROR(VLOOKUP(VENTAS[[#This Row],[Código del producto Vendido]],STOCK[],16,FALSE)*VENTAS[[#This Row],[Cantidad]]+VLOOKUP(VENTAS[[#This Row],[Código del producto Vendido]],STOCK[],19,FALSE)*VENTAS[[#This Row],[Cantidad]],VENTAS[[#This Row],[Total]])</f>
        <v>19.0022222222222</v>
      </c>
      <c r="L524" s="14">
        <f>VENTAS[[#This Row],[Total]]-VENTAS[[#This Row],[Comisión 10%]]-VENTAS[[#This Row],[Costo SIN Comision]]</f>
        <v>10.9977777777778</v>
      </c>
      <c r="M524" s="14"/>
    </row>
    <row r="525" ht="20" hidden="1" customHeight="1" spans="1:13">
      <c r="A525" s="10">
        <v>45181</v>
      </c>
      <c r="B525" s="11"/>
      <c r="C525" s="11" t="s">
        <v>4207</v>
      </c>
      <c r="D525" s="11"/>
      <c r="E525" s="43" t="s">
        <v>1262</v>
      </c>
      <c r="F525" s="11" t="str">
        <f>IFERROR(VLOOKUP(VENTAS[[#This Row],[Código del producto Vendido]],STOCK[],5,FALSE),"-")</f>
        <v>Maxi vestido playero naranja quemada</v>
      </c>
      <c r="G525" s="11">
        <v>1</v>
      </c>
      <c r="H525" s="14">
        <v>35</v>
      </c>
      <c r="I525" s="14">
        <f>VENTAS[[#This Row],[Cantidad]]*VENTAS[[#This Row],[Precio Venta]]</f>
        <v>35</v>
      </c>
      <c r="J525" s="14">
        <f>IF(VENTAS[[#This Row],[Nombre del Gestor]]&gt;1,VENTAS[[#This Row],[Total]]*10%,0)</f>
        <v>0</v>
      </c>
      <c r="K525" s="14">
        <f>IFERROR(VLOOKUP(VENTAS[[#This Row],[Código del producto Vendido]],STOCK[],16,FALSE)*VENTAS[[#This Row],[Cantidad]]+VLOOKUP(VENTAS[[#This Row],[Código del producto Vendido]],STOCK[],19,FALSE)*VENTAS[[#This Row],[Cantidad]],VENTAS[[#This Row],[Total]])</f>
        <v>23.95</v>
      </c>
      <c r="L525" s="14">
        <f>VENTAS[[#This Row],[Total]]-VENTAS[[#This Row],[Comisión 10%]]-VENTAS[[#This Row],[Costo SIN Comision]]</f>
        <v>11.05</v>
      </c>
      <c r="M525" s="14"/>
    </row>
    <row r="526" ht="20" hidden="1" customHeight="1" spans="1:13">
      <c r="A526" s="10">
        <v>45181</v>
      </c>
      <c r="B526" s="11"/>
      <c r="C526" s="11" t="s">
        <v>4208</v>
      </c>
      <c r="D526" s="11"/>
      <c r="E526" s="43" t="s">
        <v>1256</v>
      </c>
      <c r="F526" s="11" t="str">
        <f>IFERROR(VLOOKUP(VENTAS[[#This Row],[Código del producto Vendido]],STOCK[],5,FALSE),"-")</f>
        <v>Pantaloneta verde</v>
      </c>
      <c r="G526" s="11">
        <v>1</v>
      </c>
      <c r="H526" s="14">
        <v>25</v>
      </c>
      <c r="I526" s="14">
        <f>VENTAS[[#This Row],[Cantidad]]*VENTAS[[#This Row],[Precio Venta]]</f>
        <v>25</v>
      </c>
      <c r="J526" s="14">
        <f>IF(VENTAS[[#This Row],[Nombre del Gestor]]&gt;1,VENTAS[[#This Row],[Total]]*10%,0)</f>
        <v>0</v>
      </c>
      <c r="K526" s="14">
        <f>IFERROR(VLOOKUP(VENTAS[[#This Row],[Código del producto Vendido]],STOCK[],16,FALSE)*VENTAS[[#This Row],[Cantidad]]+VLOOKUP(VENTAS[[#This Row],[Código del producto Vendido]],STOCK[],19,FALSE)*VENTAS[[#This Row],[Cantidad]],VENTAS[[#This Row],[Total]])</f>
        <v>18.3</v>
      </c>
      <c r="L526" s="14">
        <f>VENTAS[[#This Row],[Total]]-VENTAS[[#This Row],[Comisión 10%]]-VENTAS[[#This Row],[Costo SIN Comision]]</f>
        <v>6.7</v>
      </c>
      <c r="M526" s="14"/>
    </row>
    <row r="527" ht="20" hidden="1" customHeight="1" spans="1:13">
      <c r="A527" s="10">
        <v>45181</v>
      </c>
      <c r="B527" s="11"/>
      <c r="C527" s="11" t="s">
        <v>4208</v>
      </c>
      <c r="D527" s="11"/>
      <c r="E527" s="43" t="s">
        <v>1274</v>
      </c>
      <c r="F527" s="11" t="str">
        <f>IFERROR(VLOOKUP(VENTAS[[#This Row],[Código del producto Vendido]],STOCK[],5,FALSE),"-")</f>
        <v>Top de cuello V con encaje</v>
      </c>
      <c r="G527" s="11">
        <v>1</v>
      </c>
      <c r="H527" s="14">
        <v>12</v>
      </c>
      <c r="I527" s="14">
        <f>VENTAS[[#This Row],[Cantidad]]*VENTAS[[#This Row],[Precio Venta]]</f>
        <v>12</v>
      </c>
      <c r="J527" s="14">
        <f>IF(VENTAS[[#This Row],[Nombre del Gestor]]&gt;1,VENTAS[[#This Row],[Total]]*10%,0)</f>
        <v>0</v>
      </c>
      <c r="K527" s="14">
        <f>IFERROR(VLOOKUP(VENTAS[[#This Row],[Código del producto Vendido]],STOCK[],16,FALSE)*VENTAS[[#This Row],[Cantidad]]+VLOOKUP(VENTAS[[#This Row],[Código del producto Vendido]],STOCK[],19,FALSE)*VENTAS[[#This Row],[Cantidad]],VENTAS[[#This Row],[Total]])</f>
        <v>7.97</v>
      </c>
      <c r="L527" s="14">
        <f>VENTAS[[#This Row],[Total]]-VENTAS[[#This Row],[Comisión 10%]]-VENTAS[[#This Row],[Costo SIN Comision]]</f>
        <v>4.03</v>
      </c>
      <c r="M527" s="14"/>
    </row>
    <row r="528" ht="20" hidden="1" customHeight="1" spans="1:13">
      <c r="A528" s="10">
        <v>45182</v>
      </c>
      <c r="B528" s="11"/>
      <c r="C528" s="11" t="s">
        <v>4209</v>
      </c>
      <c r="D528" s="11"/>
      <c r="E528" s="43"/>
      <c r="F528" s="11" t="str">
        <f>IFERROR(VLOOKUP(VENTAS[[#This Row],[Código del producto Vendido]],STOCK[],5,FALSE),"-")</f>
        <v>-</v>
      </c>
      <c r="G528" s="11">
        <v>0</v>
      </c>
      <c r="H528" s="14">
        <v>0</v>
      </c>
      <c r="I528" s="14">
        <f>VENTAS[[#This Row],[Cantidad]]*VENTAS[[#This Row],[Precio Venta]]</f>
        <v>0</v>
      </c>
      <c r="J528" s="14">
        <f>IF(VENTAS[[#This Row],[Nombre del Gestor]]&gt;1,VENTAS[[#This Row],[Total]]*10%,0)</f>
        <v>0</v>
      </c>
      <c r="K528" s="14">
        <f>IFERROR(VLOOKUP(VENTAS[[#This Row],[Código del producto Vendido]],STOCK[],16,FALSE)*VENTAS[[#This Row],[Cantidad]]+VLOOKUP(VENTAS[[#This Row],[Código del producto Vendido]],STOCK[],19,FALSE)*VENTAS[[#This Row],[Cantidad]],VENTAS[[#This Row],[Total]])</f>
        <v>0</v>
      </c>
      <c r="L528" s="14">
        <f>VENTAS[[#This Row],[Total]]-VENTAS[[#This Row],[Comisión 10%]]-VENTAS[[#This Row],[Costo SIN Comision]]</f>
        <v>0</v>
      </c>
      <c r="M528" s="14"/>
    </row>
    <row r="529" ht="20" hidden="1" customHeight="1" spans="1:13">
      <c r="A529" s="10" t="s">
        <v>4210</v>
      </c>
      <c r="B529" s="11"/>
      <c r="C529" s="11"/>
      <c r="D529" s="11"/>
      <c r="E529" s="43" t="s">
        <v>897</v>
      </c>
      <c r="F529" s="11" t="str">
        <f>IFERROR(VLOOKUP(VENTAS[[#This Row],[Código del producto Vendido]],STOCK[],5,FALSE),"-")</f>
        <v>Top Cisne Blanco</v>
      </c>
      <c r="G529" s="11">
        <v>1</v>
      </c>
      <c r="H529" s="14">
        <v>14</v>
      </c>
      <c r="I529" s="14">
        <f>VENTAS[[#This Row],[Cantidad]]*VENTAS[[#This Row],[Precio Venta]]</f>
        <v>14</v>
      </c>
      <c r="J529" s="14">
        <f>IF(VENTAS[[#This Row],[Nombre del Gestor]]&gt;1,VENTAS[[#This Row],[Total]]*10%,0)</f>
        <v>0</v>
      </c>
      <c r="K529" s="14">
        <f>IFERROR(VLOOKUP(VENTAS[[#This Row],[Código del producto Vendido]],STOCK[],16,FALSE)*VENTAS[[#This Row],[Cantidad]]+VLOOKUP(VENTAS[[#This Row],[Código del producto Vendido]],STOCK[],19,FALSE)*VENTAS[[#This Row],[Cantidad]],VENTAS[[#This Row],[Total]])</f>
        <v>7.97318181818182</v>
      </c>
      <c r="L529" s="14">
        <f>VENTAS[[#This Row],[Total]]-VENTAS[[#This Row],[Comisión 10%]]-VENTAS[[#This Row],[Costo SIN Comision]]</f>
        <v>6.02681818181818</v>
      </c>
      <c r="M529" s="14"/>
    </row>
    <row r="530" ht="20" hidden="1" customHeight="1" spans="1:13">
      <c r="A530" s="10" t="s">
        <v>4210</v>
      </c>
      <c r="B530" s="11"/>
      <c r="C530" s="11"/>
      <c r="D530" s="11"/>
      <c r="E530" s="43" t="s">
        <v>894</v>
      </c>
      <c r="F530" s="11" t="str">
        <f>IFERROR(VLOOKUP(VENTAS[[#This Row],[Código del producto Vendido]],STOCK[],5,FALSE),"-")</f>
        <v>Top Cisne Blanco</v>
      </c>
      <c r="G530" s="11">
        <v>1</v>
      </c>
      <c r="H530" s="14">
        <v>12</v>
      </c>
      <c r="I530" s="14">
        <f>VENTAS[[#This Row],[Cantidad]]*VENTAS[[#This Row],[Precio Venta]]</f>
        <v>12</v>
      </c>
      <c r="J530" s="14">
        <f>IF(VENTAS[[#This Row],[Nombre del Gestor]]&gt;1,VENTAS[[#This Row],[Total]]*10%,0)</f>
        <v>0</v>
      </c>
      <c r="K530" s="14">
        <f>IFERROR(VLOOKUP(VENTAS[[#This Row],[Código del producto Vendido]],STOCK[],16,FALSE)*VENTAS[[#This Row],[Cantidad]]+VLOOKUP(VENTAS[[#This Row],[Código del producto Vendido]],STOCK[],19,FALSE)*VENTAS[[#This Row],[Cantidad]],VENTAS[[#This Row],[Total]])</f>
        <v>7.97318181818182</v>
      </c>
      <c r="L530" s="14">
        <f>VENTAS[[#This Row],[Total]]-VENTAS[[#This Row],[Comisión 10%]]-VENTAS[[#This Row],[Costo SIN Comision]]</f>
        <v>4.02681818181818</v>
      </c>
      <c r="M530" s="14"/>
    </row>
    <row r="531" ht="20" hidden="1" customHeight="1" spans="1:13">
      <c r="A531" s="10" t="s">
        <v>4210</v>
      </c>
      <c r="B531" s="11"/>
      <c r="C531" s="11"/>
      <c r="D531" s="11"/>
      <c r="E531" s="43" t="s">
        <v>1019</v>
      </c>
      <c r="F531" s="11" t="str">
        <f>IFERROR(VLOOKUP(VENTAS[[#This Row],[Código del producto Vendido]],STOCK[],5,FALSE),"-")</f>
        <v>Top Dreamer Negro</v>
      </c>
      <c r="G531" s="11">
        <v>1</v>
      </c>
      <c r="H531" s="14">
        <v>12</v>
      </c>
      <c r="I531" s="14">
        <f>VENTAS[[#This Row],[Cantidad]]*VENTAS[[#This Row],[Precio Venta]]</f>
        <v>12</v>
      </c>
      <c r="J531" s="14">
        <f>IF(VENTAS[[#This Row],[Nombre del Gestor]]&gt;1,VENTAS[[#This Row],[Total]]*10%,0)</f>
        <v>0</v>
      </c>
      <c r="K531" s="14">
        <f>IFERROR(VLOOKUP(VENTAS[[#This Row],[Código del producto Vendido]],STOCK[],16,FALSE)*VENTAS[[#This Row],[Cantidad]]+VLOOKUP(VENTAS[[#This Row],[Código del producto Vendido]],STOCK[],19,FALSE)*VENTAS[[#This Row],[Cantidad]],VENTAS[[#This Row],[Total]])</f>
        <v>7.15681818181818</v>
      </c>
      <c r="L531" s="14">
        <f>VENTAS[[#This Row],[Total]]-VENTAS[[#This Row],[Comisión 10%]]-VENTAS[[#This Row],[Costo SIN Comision]]</f>
        <v>4.84318181818182</v>
      </c>
      <c r="M531" s="14"/>
    </row>
    <row r="532" ht="20" hidden="1" customHeight="1" spans="1:13">
      <c r="A532" s="10" t="s">
        <v>4210</v>
      </c>
      <c r="B532" s="11"/>
      <c r="C532" s="11"/>
      <c r="D532" s="11"/>
      <c r="E532" s="11" t="s">
        <v>598</v>
      </c>
      <c r="F532" s="11" t="str">
        <f>IFERROR(VLOOKUP(VENTAS[[#This Row],[Código del producto Vendido]],STOCK[],5,FALSE),"-")</f>
        <v>Top corsetero asimétrico</v>
      </c>
      <c r="G532" s="11">
        <v>1</v>
      </c>
      <c r="H532" s="14">
        <v>10</v>
      </c>
      <c r="I532" s="14">
        <f>VENTAS[[#This Row],[Cantidad]]*VENTAS[[#This Row],[Precio Venta]]</f>
        <v>10</v>
      </c>
      <c r="J532" s="14">
        <f>IF(VENTAS[[#This Row],[Nombre del Gestor]]&gt;1,VENTAS[[#This Row],[Total]]*10%,0)</f>
        <v>0</v>
      </c>
      <c r="K532" s="14">
        <f>IFERROR(VLOOKUP(VENTAS[[#This Row],[Código del producto Vendido]],STOCK[],16,FALSE)*VENTAS[[#This Row],[Cantidad]]+VLOOKUP(VENTAS[[#This Row],[Código del producto Vendido]],STOCK[],19,FALSE)*VENTAS[[#This Row],[Cantidad]],VENTAS[[#This Row],[Total]])</f>
        <v>5.56833333333333</v>
      </c>
      <c r="L532" s="14">
        <f>VENTAS[[#This Row],[Total]]-VENTAS[[#This Row],[Comisión 10%]]-VENTAS[[#This Row],[Costo SIN Comision]]</f>
        <v>4.43166666666667</v>
      </c>
      <c r="M532" s="14"/>
    </row>
    <row r="533" ht="20" hidden="1" customHeight="1" spans="1:13">
      <c r="A533" s="10" t="s">
        <v>4210</v>
      </c>
      <c r="B533" s="11"/>
      <c r="C533" s="11"/>
      <c r="D533" s="11"/>
      <c r="E533" s="11" t="s">
        <v>600</v>
      </c>
      <c r="F533" s="11" t="str">
        <f>IFERROR(VLOOKUP(VENTAS[[#This Row],[Código del producto Vendido]],STOCK[],5,FALSE),"-")</f>
        <v>Top corsetero asimétrico</v>
      </c>
      <c r="G533" s="11">
        <v>2</v>
      </c>
      <c r="H533" s="14">
        <v>10</v>
      </c>
      <c r="I533" s="14">
        <f>VENTAS[[#This Row],[Cantidad]]*VENTAS[[#This Row],[Precio Venta]]</f>
        <v>20</v>
      </c>
      <c r="J533" s="14">
        <f>IF(VENTAS[[#This Row],[Nombre del Gestor]]&gt;1,VENTAS[[#This Row],[Total]]*10%,0)</f>
        <v>0</v>
      </c>
      <c r="K533" s="14">
        <f>IFERROR(VLOOKUP(VENTAS[[#This Row],[Código del producto Vendido]],STOCK[],16,FALSE)*VENTAS[[#This Row],[Cantidad]]+VLOOKUP(VENTAS[[#This Row],[Código del producto Vendido]],STOCK[],19,FALSE)*VENTAS[[#This Row],[Cantidad]],VENTAS[[#This Row],[Total]])</f>
        <v>11.1366666666667</v>
      </c>
      <c r="L533" s="14">
        <f>VENTAS[[#This Row],[Total]]-VENTAS[[#This Row],[Comisión 10%]]-VENTAS[[#This Row],[Costo SIN Comision]]</f>
        <v>8.86333333333334</v>
      </c>
      <c r="M533" s="14"/>
    </row>
    <row r="534" ht="20" hidden="1" customHeight="1" spans="1:13">
      <c r="A534" s="10" t="s">
        <v>4210</v>
      </c>
      <c r="B534" s="11"/>
      <c r="C534" s="11"/>
      <c r="D534" s="11"/>
      <c r="E534" s="11" t="s">
        <v>1028</v>
      </c>
      <c r="F534" s="11" t="str">
        <f>IFERROR(VLOOKUP(VENTAS[[#This Row],[Código del producto Vendido]],STOCK[],5,FALSE),"-")</f>
        <v>Top Dreamer Blanco</v>
      </c>
      <c r="G534" s="11">
        <v>1</v>
      </c>
      <c r="H534" s="14">
        <v>12</v>
      </c>
      <c r="I534" s="14">
        <f>VENTAS[[#This Row],[Cantidad]]*VENTAS[[#This Row],[Precio Venta]]</f>
        <v>12</v>
      </c>
      <c r="J534" s="14">
        <f>IF(VENTAS[[#This Row],[Nombre del Gestor]]&gt;1,VENTAS[[#This Row],[Total]]*10%,0)</f>
        <v>0</v>
      </c>
      <c r="K534" s="14">
        <f>IFERROR(VLOOKUP(VENTAS[[#This Row],[Código del producto Vendido]],STOCK[],16,FALSE)*VENTAS[[#This Row],[Cantidad]]+VLOOKUP(VENTAS[[#This Row],[Código del producto Vendido]],STOCK[],19,FALSE)*VENTAS[[#This Row],[Cantidad]],VENTAS[[#This Row],[Total]])</f>
        <v>6.75909090909091</v>
      </c>
      <c r="L534" s="14">
        <f>VENTAS[[#This Row],[Total]]-VENTAS[[#This Row],[Comisión 10%]]-VENTAS[[#This Row],[Costo SIN Comision]]</f>
        <v>5.24090909090909</v>
      </c>
      <c r="M534" s="14"/>
    </row>
    <row r="535" ht="20" hidden="1" customHeight="1" spans="1:13">
      <c r="A535" s="10" t="s">
        <v>4210</v>
      </c>
      <c r="B535" s="11"/>
      <c r="C535" s="11"/>
      <c r="D535" s="11"/>
      <c r="E535" s="11" t="s">
        <v>1110</v>
      </c>
      <c r="F535" s="11" t="str">
        <f>IFERROR(VLOOKUP(VENTAS[[#This Row],[Código del producto Vendido]],STOCK[],5,FALSE),"-")</f>
        <v>Jumpsuit culotte</v>
      </c>
      <c r="G535" s="11">
        <v>1</v>
      </c>
      <c r="H535" s="14">
        <v>22</v>
      </c>
      <c r="I535" s="14">
        <f>VENTAS[[#This Row],[Cantidad]]*VENTAS[[#This Row],[Precio Venta]]</f>
        <v>22</v>
      </c>
      <c r="J535" s="14">
        <f>IF(VENTAS[[#This Row],[Nombre del Gestor]]&gt;1,VENTAS[[#This Row],[Total]]*10%,0)</f>
        <v>0</v>
      </c>
      <c r="K535" s="14">
        <f>IFERROR(VLOOKUP(VENTAS[[#This Row],[Código del producto Vendido]],STOCK[],16,FALSE)*VENTAS[[#This Row],[Cantidad]]+VLOOKUP(VENTAS[[#This Row],[Código del producto Vendido]],STOCK[],19,FALSE)*VENTAS[[#This Row],[Cantidad]],VENTAS[[#This Row],[Total]])</f>
        <v>18.4279411764706</v>
      </c>
      <c r="L535" s="14">
        <f>VENTAS[[#This Row],[Total]]-VENTAS[[#This Row],[Comisión 10%]]-VENTAS[[#This Row],[Costo SIN Comision]]</f>
        <v>3.5720588235294</v>
      </c>
      <c r="M535" s="14"/>
    </row>
    <row r="536" ht="20" hidden="1" customHeight="1" spans="1:13">
      <c r="A536" s="10" t="s">
        <v>4210</v>
      </c>
      <c r="B536" s="11"/>
      <c r="C536" s="11"/>
      <c r="D536" s="11"/>
      <c r="E536" s="11" t="s">
        <v>1121</v>
      </c>
      <c r="F536" s="11" t="str">
        <f>IFERROR(VLOOKUP(VENTAS[[#This Row],[Código del producto Vendido]],STOCK[],5,FALSE),"-")</f>
        <v>Set de lencería de encaje</v>
      </c>
      <c r="G536" s="11">
        <v>1</v>
      </c>
      <c r="H536" s="14">
        <v>12</v>
      </c>
      <c r="I536" s="14">
        <f>VENTAS[[#This Row],[Cantidad]]*VENTAS[[#This Row],[Precio Venta]]</f>
        <v>12</v>
      </c>
      <c r="J536" s="14">
        <f>IF(VENTAS[[#This Row],[Nombre del Gestor]]&gt;1,VENTAS[[#This Row],[Total]]*10%,0)</f>
        <v>0</v>
      </c>
      <c r="K536" s="14">
        <f>IFERROR(VLOOKUP(VENTAS[[#This Row],[Código del producto Vendido]],STOCK[],16,FALSE)*VENTAS[[#This Row],[Cantidad]]+VLOOKUP(VENTAS[[#This Row],[Código del producto Vendido]],STOCK[],19,FALSE)*VENTAS[[#This Row],[Cantidad]],VENTAS[[#This Row],[Total]])</f>
        <v>7.10882352941176</v>
      </c>
      <c r="L536" s="14">
        <f>VENTAS[[#This Row],[Total]]-VENTAS[[#This Row],[Comisión 10%]]-VENTAS[[#This Row],[Costo SIN Comision]]</f>
        <v>4.89117647058824</v>
      </c>
      <c r="M536" s="14"/>
    </row>
    <row r="537" ht="20" hidden="1" customHeight="1" spans="1:13">
      <c r="A537" s="10">
        <v>45521</v>
      </c>
      <c r="B537" s="11"/>
      <c r="C537" s="11" t="s">
        <v>4211</v>
      </c>
      <c r="D537" s="11" t="s">
        <v>4212</v>
      </c>
      <c r="E537" s="11" t="s">
        <v>1124</v>
      </c>
      <c r="F537" s="11" t="str">
        <f>IFERROR(VLOOKUP(VENTAS[[#This Row],[Código del producto Vendido]],STOCK[],5,FALSE),"-")</f>
        <v>Sandalias de tacón con tiras </v>
      </c>
      <c r="G537" s="11">
        <v>1</v>
      </c>
      <c r="H537" s="14">
        <v>40</v>
      </c>
      <c r="I537" s="14">
        <f>VENTAS[[#This Row],[Cantidad]]*VENTAS[[#This Row],[Precio Venta]]</f>
        <v>40</v>
      </c>
      <c r="J537" s="14">
        <f>IF(VENTAS[[#This Row],[Nombre del Gestor]]&gt;1,VENTAS[[#This Row],[Total]]*10%,0)</f>
        <v>4</v>
      </c>
      <c r="K537" s="14">
        <f>IFERROR(VLOOKUP(VENTAS[[#This Row],[Código del producto Vendido]],STOCK[],16,FALSE)*VENTAS[[#This Row],[Cantidad]]+VLOOKUP(VENTAS[[#This Row],[Código del producto Vendido]],STOCK[],19,FALSE)*VENTAS[[#This Row],[Cantidad]],VENTAS[[#This Row],[Total]])</f>
        <v>27.1529411764706</v>
      </c>
      <c r="L537" s="14">
        <f>VENTAS[[#This Row],[Total]]-VENTAS[[#This Row],[Comisión 10%]]-VENTAS[[#This Row],[Costo SIN Comision]]</f>
        <v>8.8470588235294</v>
      </c>
      <c r="M537" s="14"/>
    </row>
    <row r="538" ht="20" hidden="1" customHeight="1" spans="1:13">
      <c r="A538" s="10" t="s">
        <v>4210</v>
      </c>
      <c r="B538" s="11"/>
      <c r="C538" s="11"/>
      <c r="D538" s="11"/>
      <c r="E538" s="11" t="s">
        <v>1271</v>
      </c>
      <c r="F538" s="11" t="str">
        <f>IFERROR(VLOOKUP(VENTAS[[#This Row],[Código del producto Vendido]],STOCK[],5,FALSE),"-")</f>
        <v>Top blanco cuello V con encaje</v>
      </c>
      <c r="G538" s="11">
        <v>1</v>
      </c>
      <c r="H538" s="14">
        <v>12</v>
      </c>
      <c r="I538" s="14">
        <f>VENTAS[[#This Row],[Cantidad]]*VENTAS[[#This Row],[Precio Venta]]</f>
        <v>12</v>
      </c>
      <c r="J538" s="14">
        <f>IF(VENTAS[[#This Row],[Nombre del Gestor]]&gt;1,VENTAS[[#This Row],[Total]]*10%,0)</f>
        <v>0</v>
      </c>
      <c r="K538" s="14">
        <f>IFERROR(VLOOKUP(VENTAS[[#This Row],[Código del producto Vendido]],STOCK[],16,FALSE)*VENTAS[[#This Row],[Cantidad]]+VLOOKUP(VENTAS[[#This Row],[Código del producto Vendido]],STOCK[],19,FALSE)*VENTAS[[#This Row],[Cantidad]],VENTAS[[#This Row],[Total]])</f>
        <v>7.97</v>
      </c>
      <c r="L538" s="14">
        <f>VENTAS[[#This Row],[Total]]-VENTAS[[#This Row],[Comisión 10%]]-VENTAS[[#This Row],[Costo SIN Comision]]</f>
        <v>4.03</v>
      </c>
      <c r="M538" s="14"/>
    </row>
    <row r="539" ht="20" hidden="1" customHeight="1" spans="1:13">
      <c r="A539" s="10" t="s">
        <v>4210</v>
      </c>
      <c r="B539" s="11"/>
      <c r="C539" s="11"/>
      <c r="D539" s="11"/>
      <c r="E539" s="11" t="s">
        <v>1273</v>
      </c>
      <c r="F539" s="11" t="str">
        <f>IFERROR(VLOOKUP(VENTAS[[#This Row],[Código del producto Vendido]],STOCK[],5,FALSE),"-")</f>
        <v>Top blanco cuello V con encaje</v>
      </c>
      <c r="G539" s="11">
        <v>1</v>
      </c>
      <c r="H539" s="14">
        <v>12</v>
      </c>
      <c r="I539" s="14">
        <f>VENTAS[[#This Row],[Cantidad]]*VENTAS[[#This Row],[Precio Venta]]</f>
        <v>12</v>
      </c>
      <c r="J539" s="14">
        <f>IF(VENTAS[[#This Row],[Nombre del Gestor]]&gt;1,VENTAS[[#This Row],[Total]]*10%,0)</f>
        <v>0</v>
      </c>
      <c r="K539" s="14">
        <f>IFERROR(VLOOKUP(VENTAS[[#This Row],[Código del producto Vendido]],STOCK[],16,FALSE)*VENTAS[[#This Row],[Cantidad]]+VLOOKUP(VENTAS[[#This Row],[Código del producto Vendido]],STOCK[],19,FALSE)*VENTAS[[#This Row],[Cantidad]],VENTAS[[#This Row],[Total]])</f>
        <v>7.97</v>
      </c>
      <c r="L539" s="14">
        <f>VENTAS[[#This Row],[Total]]-VENTAS[[#This Row],[Comisión 10%]]-VENTAS[[#This Row],[Costo SIN Comision]]</f>
        <v>4.03</v>
      </c>
      <c r="M539" s="14"/>
    </row>
    <row r="540" ht="20" hidden="1" customHeight="1" spans="1:13">
      <c r="A540" s="10" t="s">
        <v>4210</v>
      </c>
      <c r="B540" s="11"/>
      <c r="C540" s="11"/>
      <c r="D540" s="11"/>
      <c r="E540" s="11" t="s">
        <v>1279</v>
      </c>
      <c r="F540" s="11" t="str">
        <f>IFERROR(VLOOKUP(VENTAS[[#This Row],[Código del producto Vendido]],STOCK[],5,FALSE),"-")</f>
        <v>Top negro  cuello V con encaje</v>
      </c>
      <c r="G540" s="11">
        <v>2</v>
      </c>
      <c r="H540" s="14">
        <v>12</v>
      </c>
      <c r="I540" s="14">
        <f>VENTAS[[#This Row],[Cantidad]]*VENTAS[[#This Row],[Precio Venta]]</f>
        <v>24</v>
      </c>
      <c r="J540" s="14">
        <f>IF(VENTAS[[#This Row],[Nombre del Gestor]]&gt;1,VENTAS[[#This Row],[Total]]*10%,0)</f>
        <v>0</v>
      </c>
      <c r="K540" s="14">
        <f>IFERROR(VLOOKUP(VENTAS[[#This Row],[Código del producto Vendido]],STOCK[],16,FALSE)*VENTAS[[#This Row],[Cantidad]]+VLOOKUP(VENTAS[[#This Row],[Código del producto Vendido]],STOCK[],19,FALSE)*VENTAS[[#This Row],[Cantidad]],VENTAS[[#This Row],[Total]])</f>
        <v>16.18</v>
      </c>
      <c r="L540" s="14">
        <f>VENTAS[[#This Row],[Total]]-VENTAS[[#This Row],[Comisión 10%]]-VENTAS[[#This Row],[Costo SIN Comision]]</f>
        <v>7.82</v>
      </c>
      <c r="M540" s="14"/>
    </row>
    <row r="541" ht="20" hidden="1" customHeight="1" spans="1:13">
      <c r="A541" s="10" t="s">
        <v>4210</v>
      </c>
      <c r="B541" s="11"/>
      <c r="C541" s="11"/>
      <c r="D541" s="11"/>
      <c r="E541" s="11" t="s">
        <v>1062</v>
      </c>
      <c r="F541" s="11" t="str">
        <f>IFERROR(VLOOKUP(VENTAS[[#This Row],[Código del producto Vendido]],STOCK[],5,FALSE),"-")</f>
        <v>Top corto blanco</v>
      </c>
      <c r="G541" s="11">
        <v>1</v>
      </c>
      <c r="H541" s="14">
        <v>8</v>
      </c>
      <c r="I541" s="14">
        <f>VENTAS[[#This Row],[Cantidad]]*VENTAS[[#This Row],[Precio Venta]]</f>
        <v>8</v>
      </c>
      <c r="J541" s="14">
        <f>IF(VENTAS[[#This Row],[Nombre del Gestor]]&gt;1,VENTAS[[#This Row],[Total]]*10%,0)</f>
        <v>0</v>
      </c>
      <c r="K541" s="14">
        <f>IFERROR(VLOOKUP(VENTAS[[#This Row],[Código del producto Vendido]],STOCK[],16,FALSE)*VENTAS[[#This Row],[Cantidad]]+VLOOKUP(VENTAS[[#This Row],[Código del producto Vendido]],STOCK[],19,FALSE)*VENTAS[[#This Row],[Cantidad]],VENTAS[[#This Row],[Total]])</f>
        <v>4.40441176470588</v>
      </c>
      <c r="L541" s="14">
        <f>VENTAS[[#This Row],[Total]]-VENTAS[[#This Row],[Comisión 10%]]-VENTAS[[#This Row],[Costo SIN Comision]]</f>
        <v>3.59558823529412</v>
      </c>
      <c r="M541" s="14"/>
    </row>
    <row r="542" ht="20" hidden="1" customHeight="1" spans="1:13">
      <c r="A542" s="10" t="s">
        <v>4210</v>
      </c>
      <c r="B542" s="11"/>
      <c r="C542" s="11"/>
      <c r="D542" s="11"/>
      <c r="E542" s="11" t="s">
        <v>786</v>
      </c>
      <c r="F542" s="11" t="str">
        <f>IFERROR(VLOOKUP(VENTAS[[#This Row],[Código del producto Vendido]],STOCK[],5,FALSE),"-")</f>
        <v>Top Manga Corta Negro</v>
      </c>
      <c r="G542" s="11">
        <v>1</v>
      </c>
      <c r="H542" s="14">
        <v>9</v>
      </c>
      <c r="I542" s="14">
        <f>VENTAS[[#This Row],[Cantidad]]*VENTAS[[#This Row],[Precio Venta]]</f>
        <v>9</v>
      </c>
      <c r="J542" s="14">
        <f>IF(VENTAS[[#This Row],[Nombre del Gestor]]&gt;1,VENTAS[[#This Row],[Total]]*10%,0)</f>
        <v>0</v>
      </c>
      <c r="K542" s="14">
        <f>IFERROR(VLOOKUP(VENTAS[[#This Row],[Código del producto Vendido]],STOCK[],16,FALSE)*VENTAS[[#This Row],[Cantidad]]+VLOOKUP(VENTAS[[#This Row],[Código del producto Vendido]],STOCK[],19,FALSE)*VENTAS[[#This Row],[Cantidad]],VENTAS[[#This Row],[Total]])</f>
        <v>6.05555555555556</v>
      </c>
      <c r="L542" s="14">
        <f>VENTAS[[#This Row],[Total]]-VENTAS[[#This Row],[Comisión 10%]]-VENTAS[[#This Row],[Costo SIN Comision]]</f>
        <v>2.94444444444444</v>
      </c>
      <c r="M542" s="14"/>
    </row>
    <row r="543" ht="20" hidden="1" customHeight="1" spans="1:13">
      <c r="A543" s="10" t="s">
        <v>4210</v>
      </c>
      <c r="B543" s="11"/>
      <c r="C543" s="11"/>
      <c r="D543" s="11"/>
      <c r="E543" s="11" t="s">
        <v>702</v>
      </c>
      <c r="F543" s="11" t="str">
        <f>IFERROR(VLOOKUP(VENTAS[[#This Row],[Código del producto Vendido]],STOCK[],5,FALSE),"-")</f>
        <v>Vestido corto de punto</v>
      </c>
      <c r="G543" s="11">
        <v>1</v>
      </c>
      <c r="H543" s="14">
        <v>19</v>
      </c>
      <c r="I543" s="14">
        <f>VENTAS[[#This Row],[Cantidad]]*VENTAS[[#This Row],[Precio Venta]]</f>
        <v>19</v>
      </c>
      <c r="J543" s="14">
        <f>IF(VENTAS[[#This Row],[Nombre del Gestor]]&gt;1,VENTAS[[#This Row],[Total]]*10%,0)</f>
        <v>0</v>
      </c>
      <c r="K543" s="14">
        <f>IFERROR(VLOOKUP(VENTAS[[#This Row],[Código del producto Vendido]],STOCK[],16,FALSE)*VENTAS[[#This Row],[Cantidad]]+VLOOKUP(VENTAS[[#This Row],[Código del producto Vendido]],STOCK[],19,FALSE)*VENTAS[[#This Row],[Cantidad]],VENTAS[[#This Row],[Total]])</f>
        <v>17.07</v>
      </c>
      <c r="L543" s="14">
        <f>VENTAS[[#This Row],[Total]]-VENTAS[[#This Row],[Comisión 10%]]-VENTAS[[#This Row],[Costo SIN Comision]]</f>
        <v>1.93</v>
      </c>
      <c r="M543" s="14"/>
    </row>
    <row r="544" ht="20" hidden="1" customHeight="1" spans="1:13">
      <c r="A544" s="10" t="s">
        <v>4210</v>
      </c>
      <c r="B544" s="11"/>
      <c r="C544" s="11"/>
      <c r="D544" s="11"/>
      <c r="E544" s="11" t="s">
        <v>843</v>
      </c>
      <c r="F544" s="11" t="str">
        <f>IFERROR(VLOOKUP(VENTAS[[#This Row],[Código del producto Vendido]],STOCK[],5,FALSE),"-")</f>
        <v>Top de malla sexy</v>
      </c>
      <c r="G544" s="11">
        <v>1</v>
      </c>
      <c r="H544" s="14">
        <v>10</v>
      </c>
      <c r="I544" s="14">
        <f>VENTAS[[#This Row],[Cantidad]]*VENTAS[[#This Row],[Precio Venta]]</f>
        <v>10</v>
      </c>
      <c r="J544" s="14">
        <f>IF(VENTAS[[#This Row],[Nombre del Gestor]]&gt;1,VENTAS[[#This Row],[Total]]*10%,0)</f>
        <v>0</v>
      </c>
      <c r="K544" s="14">
        <f>IFERROR(VLOOKUP(VENTAS[[#This Row],[Código del producto Vendido]],STOCK[],16,FALSE)*VENTAS[[#This Row],[Cantidad]]+VLOOKUP(VENTAS[[#This Row],[Código del producto Vendido]],STOCK[],19,FALSE)*VENTAS[[#This Row],[Cantidad]],VENTAS[[#This Row],[Total]])</f>
        <v>3.45555555555556</v>
      </c>
      <c r="L544" s="14">
        <f>VENTAS[[#This Row],[Total]]-VENTAS[[#This Row],[Comisión 10%]]-VENTAS[[#This Row],[Costo SIN Comision]]</f>
        <v>6.54444444444444</v>
      </c>
      <c r="M544" s="14"/>
    </row>
    <row r="545" ht="20" hidden="1" customHeight="1" spans="1:13">
      <c r="A545" s="10" t="s">
        <v>4210</v>
      </c>
      <c r="B545" s="11"/>
      <c r="C545" s="11"/>
      <c r="D545" s="11"/>
      <c r="E545" s="11" t="s">
        <v>176</v>
      </c>
      <c r="F545" s="11" t="str">
        <f>IFERROR(VLOOKUP(VENTAS[[#This Row],[Código del producto Vendido]],STOCK[],5,FALSE),"-")</f>
        <v>Vestido cruzado con abertura con nudo delantero </v>
      </c>
      <c r="G545" s="11">
        <v>1</v>
      </c>
      <c r="H545" s="14">
        <v>25</v>
      </c>
      <c r="I545" s="14">
        <f>VENTAS[[#This Row],[Cantidad]]*VENTAS[[#This Row],[Precio Venta]]</f>
        <v>25</v>
      </c>
      <c r="J545" s="14">
        <f>IF(VENTAS[[#This Row],[Nombre del Gestor]]&gt;1,VENTAS[[#This Row],[Total]]*10%,0)</f>
        <v>0</v>
      </c>
      <c r="K545" s="14">
        <f>IFERROR(VLOOKUP(VENTAS[[#This Row],[Código del producto Vendido]],STOCK[],16,FALSE)*VENTAS[[#This Row],[Cantidad]]+VLOOKUP(VENTAS[[#This Row],[Código del producto Vendido]],STOCK[],19,FALSE)*VENTAS[[#This Row],[Cantidad]],VENTAS[[#This Row],[Total]])</f>
        <v>16.7688888888889</v>
      </c>
      <c r="L545" s="14">
        <f>VENTAS[[#This Row],[Total]]-VENTAS[[#This Row],[Comisión 10%]]-VENTAS[[#This Row],[Costo SIN Comision]]</f>
        <v>8.2311111111111</v>
      </c>
      <c r="M545" s="14"/>
    </row>
    <row r="546" ht="20" hidden="1" customHeight="1" spans="1:13">
      <c r="A546" s="10" t="s">
        <v>4210</v>
      </c>
      <c r="B546" s="11"/>
      <c r="C546" s="11"/>
      <c r="D546" s="11"/>
      <c r="E546" s="11" t="s">
        <v>238</v>
      </c>
      <c r="F546" s="11" t="str">
        <f>IFERROR(VLOOKUP(VENTAS[[#This Row],[Código del producto Vendido]],STOCK[],5,FALSE),"-")</f>
        <v>Vestido tank tejido de canalé con cinturón</v>
      </c>
      <c r="G546" s="11">
        <v>1</v>
      </c>
      <c r="H546" s="14">
        <v>28</v>
      </c>
      <c r="I546" s="14">
        <f>VENTAS[[#This Row],[Cantidad]]*VENTAS[[#This Row],[Precio Venta]]</f>
        <v>28</v>
      </c>
      <c r="J546" s="14">
        <f>IF(VENTAS[[#This Row],[Nombre del Gestor]]&gt;1,VENTAS[[#This Row],[Total]]*10%,0)</f>
        <v>0</v>
      </c>
      <c r="K546" s="14">
        <f>IFERROR(VLOOKUP(VENTAS[[#This Row],[Código del producto Vendido]],STOCK[],16,FALSE)*VENTAS[[#This Row],[Cantidad]]+VLOOKUP(VENTAS[[#This Row],[Código del producto Vendido]],STOCK[],19,FALSE)*VENTAS[[#This Row],[Cantidad]],VENTAS[[#This Row],[Total]])</f>
        <v>18.3977777777778</v>
      </c>
      <c r="L546" s="14">
        <f>VENTAS[[#This Row],[Total]]-VENTAS[[#This Row],[Comisión 10%]]-VENTAS[[#This Row],[Costo SIN Comision]]</f>
        <v>9.6022222222222</v>
      </c>
      <c r="M546" s="14"/>
    </row>
    <row r="547" ht="20" hidden="1" customHeight="1" spans="1:13">
      <c r="A547" s="10" t="s">
        <v>4210</v>
      </c>
      <c r="B547" s="11"/>
      <c r="C547" s="11"/>
      <c r="D547" s="11"/>
      <c r="E547" s="11" t="s">
        <v>269</v>
      </c>
      <c r="F547" s="11" t="str">
        <f>IFERROR(VLOOKUP(VENTAS[[#This Row],[Código del producto Vendido]],STOCK[],5,FALSE),"-")</f>
        <v>Vestido Malla en contraste Lunares Elegante</v>
      </c>
      <c r="G547" s="11">
        <v>1</v>
      </c>
      <c r="H547" s="14">
        <v>25</v>
      </c>
      <c r="I547" s="14">
        <f>VENTAS[[#This Row],[Cantidad]]*VENTAS[[#This Row],[Precio Venta]]</f>
        <v>25</v>
      </c>
      <c r="J547" s="14">
        <f>IF(VENTAS[[#This Row],[Nombre del Gestor]]&gt;1,VENTAS[[#This Row],[Total]]*10%,0)</f>
        <v>0</v>
      </c>
      <c r="K547" s="14">
        <f>IFERROR(VLOOKUP(VENTAS[[#This Row],[Código del producto Vendido]],STOCK[],16,FALSE)*VENTAS[[#This Row],[Cantidad]]+VLOOKUP(VENTAS[[#This Row],[Código del producto Vendido]],STOCK[],19,FALSE)*VENTAS[[#This Row],[Cantidad]],VENTAS[[#This Row],[Total]])</f>
        <v>13.0711111111111</v>
      </c>
      <c r="L547" s="14">
        <f>VENTAS[[#This Row],[Total]]-VENTAS[[#This Row],[Comisión 10%]]-VENTAS[[#This Row],[Costo SIN Comision]]</f>
        <v>11.9288888888889</v>
      </c>
      <c r="M547" s="14"/>
    </row>
    <row r="548" ht="20" hidden="1" customHeight="1" spans="1:13">
      <c r="A548" s="10" t="s">
        <v>4210</v>
      </c>
      <c r="B548" s="11"/>
      <c r="C548" s="11"/>
      <c r="D548" s="11"/>
      <c r="E548" s="11" t="s">
        <v>285</v>
      </c>
      <c r="F548" s="11" t="str">
        <f>IFERROR(VLOOKUP(VENTAS[[#This Row],[Código del producto Vendido]],STOCK[],5,FALSE),"-")</f>
        <v>Vestido lápiz de manga con malla fina</v>
      </c>
      <c r="G548" s="11">
        <v>1</v>
      </c>
      <c r="H548" s="14">
        <v>20</v>
      </c>
      <c r="I548" s="14">
        <f>VENTAS[[#This Row],[Cantidad]]*VENTAS[[#This Row],[Precio Venta]]</f>
        <v>20</v>
      </c>
      <c r="J548" s="14">
        <f>IF(VENTAS[[#This Row],[Nombre del Gestor]]&gt;1,VENTAS[[#This Row],[Total]]*10%,0)</f>
        <v>0</v>
      </c>
      <c r="K548" s="14">
        <f>IFERROR(VLOOKUP(VENTAS[[#This Row],[Código del producto Vendido]],STOCK[],16,FALSE)*VENTAS[[#This Row],[Cantidad]]+VLOOKUP(VENTAS[[#This Row],[Código del producto Vendido]],STOCK[],19,FALSE)*VENTAS[[#This Row],[Cantidad]],VENTAS[[#This Row],[Total]])</f>
        <v>13.5111111111111</v>
      </c>
      <c r="L548" s="14">
        <f>VENTAS[[#This Row],[Total]]-VENTAS[[#This Row],[Comisión 10%]]-VENTAS[[#This Row],[Costo SIN Comision]]</f>
        <v>6.4888888888889</v>
      </c>
      <c r="M548" s="14"/>
    </row>
    <row r="549" ht="20" hidden="1" customHeight="1" spans="1:13">
      <c r="A549" s="10" t="s">
        <v>4210</v>
      </c>
      <c r="B549" s="11"/>
      <c r="C549" s="11"/>
      <c r="D549" s="11"/>
      <c r="E549" s="11" t="s">
        <v>310</v>
      </c>
      <c r="F549" s="11" t="str">
        <f>IFERROR(VLOOKUP(VENTAS[[#This Row],[Código del producto Vendido]],STOCK[],5,FALSE),"-")</f>
        <v>Vestido ajustado de titrantes finos</v>
      </c>
      <c r="G549" s="11">
        <v>1</v>
      </c>
      <c r="H549" s="14">
        <v>25</v>
      </c>
      <c r="I549" s="14">
        <f>VENTAS[[#This Row],[Cantidad]]*VENTAS[[#This Row],[Precio Venta]]</f>
        <v>25</v>
      </c>
      <c r="J549" s="14">
        <f>IF(VENTAS[[#This Row],[Nombre del Gestor]]&gt;1,VENTAS[[#This Row],[Total]]*10%,0)</f>
        <v>0</v>
      </c>
      <c r="K549" s="14">
        <f>IFERROR(VLOOKUP(VENTAS[[#This Row],[Código del producto Vendido]],STOCK[],16,FALSE)*VENTAS[[#This Row],[Cantidad]]+VLOOKUP(VENTAS[[#This Row],[Código del producto Vendido]],STOCK[],19,FALSE)*VENTAS[[#This Row],[Cantidad]],VENTAS[[#This Row],[Total]])</f>
        <v>13.1111111111111</v>
      </c>
      <c r="L549" s="14">
        <f>VENTAS[[#This Row],[Total]]-VENTAS[[#This Row],[Comisión 10%]]-VENTAS[[#This Row],[Costo SIN Comision]]</f>
        <v>11.8888888888889</v>
      </c>
      <c r="M549" s="14"/>
    </row>
    <row r="550" ht="20" hidden="1" customHeight="1" spans="1:13">
      <c r="A550" s="10" t="s">
        <v>4210</v>
      </c>
      <c r="B550" s="11"/>
      <c r="C550" s="11"/>
      <c r="D550" s="11"/>
      <c r="E550" s="11" t="s">
        <v>332</v>
      </c>
      <c r="F550" s="11" t="str">
        <f>IFERROR(VLOOKUP(VENTAS[[#This Row],[Código del producto Vendido]],STOCK[],5,FALSE),"-")</f>
        <v>Vestido floral con cinturón</v>
      </c>
      <c r="G550" s="11">
        <v>1</v>
      </c>
      <c r="H550" s="14">
        <v>15</v>
      </c>
      <c r="I550" s="14">
        <f>VENTAS[[#This Row],[Cantidad]]*VENTAS[[#This Row],[Precio Venta]]</f>
        <v>15</v>
      </c>
      <c r="J550" s="14">
        <f>IF(VENTAS[[#This Row],[Nombre del Gestor]]&gt;1,VENTAS[[#This Row],[Total]]*10%,0)</f>
        <v>0</v>
      </c>
      <c r="K550" s="14">
        <f>IFERROR(VLOOKUP(VENTAS[[#This Row],[Código del producto Vendido]],STOCK[],16,FALSE)*VENTAS[[#This Row],[Cantidad]]+VLOOKUP(VENTAS[[#This Row],[Código del producto Vendido]],STOCK[],19,FALSE)*VENTAS[[#This Row],[Cantidad]],VENTAS[[#This Row],[Total]])</f>
        <v>9.56166666666667</v>
      </c>
      <c r="L550" s="14">
        <f>VENTAS[[#This Row],[Total]]-VENTAS[[#This Row],[Comisión 10%]]-VENTAS[[#This Row],[Costo SIN Comision]]</f>
        <v>5.43833333333333</v>
      </c>
      <c r="M550" s="14"/>
    </row>
    <row r="551" ht="20" hidden="1" customHeight="1" spans="1:13">
      <c r="A551" s="10" t="s">
        <v>4210</v>
      </c>
      <c r="B551" s="11"/>
      <c r="C551" s="11"/>
      <c r="D551" s="11"/>
      <c r="E551" s="11" t="s">
        <v>348</v>
      </c>
      <c r="F551" s="11" t="str">
        <f>IFERROR(VLOOKUP(VENTAS[[#This Row],[Código del producto Vendido]],STOCK[],5,FALSE),"-")</f>
        <v>Vestido bajo cruzado de tie dye</v>
      </c>
      <c r="G551" s="11">
        <v>1</v>
      </c>
      <c r="H551" s="14">
        <v>15</v>
      </c>
      <c r="I551" s="14">
        <f>VENTAS[[#This Row],[Cantidad]]*VENTAS[[#This Row],[Precio Venta]]</f>
        <v>15</v>
      </c>
      <c r="J551" s="14">
        <f>IF(VENTAS[[#This Row],[Nombre del Gestor]]&gt;1,VENTAS[[#This Row],[Total]]*10%,0)</f>
        <v>0</v>
      </c>
      <c r="K551" s="14">
        <f>IFERROR(VLOOKUP(VENTAS[[#This Row],[Código del producto Vendido]],STOCK[],16,FALSE)*VENTAS[[#This Row],[Cantidad]]+VLOOKUP(VENTAS[[#This Row],[Código del producto Vendido]],STOCK[],19,FALSE)*VENTAS[[#This Row],[Cantidad]],VENTAS[[#This Row],[Total]])</f>
        <v>10.8705555555556</v>
      </c>
      <c r="L551" s="14">
        <f>VENTAS[[#This Row],[Total]]-VENTAS[[#This Row],[Comisión 10%]]-VENTAS[[#This Row],[Costo SIN Comision]]</f>
        <v>4.12944444444444</v>
      </c>
      <c r="M551" s="14"/>
    </row>
    <row r="552" ht="20" hidden="1" customHeight="1" spans="1:13">
      <c r="A552" s="10" t="s">
        <v>4210</v>
      </c>
      <c r="B552" s="11"/>
      <c r="C552" s="11"/>
      <c r="D552" s="11"/>
      <c r="E552" s="11" t="s">
        <v>637</v>
      </c>
      <c r="F552" s="11" t="str">
        <f>IFERROR(VLOOKUP(VENTAS[[#This Row],[Código del producto Vendido]],STOCK[],5,FALSE),"-")</f>
        <v>Vestido floral escote corazón</v>
      </c>
      <c r="G552" s="11">
        <v>1</v>
      </c>
      <c r="H552" s="14">
        <v>16</v>
      </c>
      <c r="I552" s="14">
        <f>VENTAS[[#This Row],[Cantidad]]*VENTAS[[#This Row],[Precio Venta]]</f>
        <v>16</v>
      </c>
      <c r="J552" s="14">
        <f>IF(VENTAS[[#This Row],[Nombre del Gestor]]&gt;1,VENTAS[[#This Row],[Total]]*10%,0)</f>
        <v>0</v>
      </c>
      <c r="K552" s="14">
        <f>IFERROR(VLOOKUP(VENTAS[[#This Row],[Código del producto Vendido]],STOCK[],16,FALSE)*VENTAS[[#This Row],[Cantidad]]+VLOOKUP(VENTAS[[#This Row],[Código del producto Vendido]],STOCK[],19,FALSE)*VENTAS[[#This Row],[Cantidad]],VENTAS[[#This Row],[Total]])</f>
        <v>10.7222222222222</v>
      </c>
      <c r="L552" s="14">
        <f>VENTAS[[#This Row],[Total]]-VENTAS[[#This Row],[Comisión 10%]]-VENTAS[[#This Row],[Costo SIN Comision]]</f>
        <v>5.27777777777778</v>
      </c>
      <c r="M552" s="14"/>
    </row>
    <row r="553" ht="20" hidden="1" customHeight="1" spans="1:13">
      <c r="A553" s="10" t="s">
        <v>4210</v>
      </c>
      <c r="B553" s="11"/>
      <c r="C553" s="11"/>
      <c r="D553" s="11"/>
      <c r="E553" s="11" t="s">
        <v>631</v>
      </c>
      <c r="F553" s="11" t="str">
        <f>IFERROR(VLOOKUP(VENTAS[[#This Row],[Código del producto Vendido]],STOCK[],5,FALSE),"-")</f>
        <v>Vestido floral con abertura trasera</v>
      </c>
      <c r="G553" s="11">
        <v>1</v>
      </c>
      <c r="H553" s="14">
        <v>15</v>
      </c>
      <c r="I553" s="14">
        <f>VENTAS[[#This Row],[Cantidad]]*VENTAS[[#This Row],[Precio Venta]]</f>
        <v>15</v>
      </c>
      <c r="J553" s="14">
        <f>IF(VENTAS[[#This Row],[Nombre del Gestor]]&gt;1,VENTAS[[#This Row],[Total]]*10%,0)</f>
        <v>0</v>
      </c>
      <c r="K553" s="14">
        <f>IFERROR(VLOOKUP(VENTAS[[#This Row],[Código del producto Vendido]],STOCK[],16,FALSE)*VENTAS[[#This Row],[Cantidad]]+VLOOKUP(VENTAS[[#This Row],[Código del producto Vendido]],STOCK[],19,FALSE)*VENTAS[[#This Row],[Cantidad]],VENTAS[[#This Row],[Total]])</f>
        <v>10.7222222222222</v>
      </c>
      <c r="L553" s="14">
        <f>VENTAS[[#This Row],[Total]]-VENTAS[[#This Row],[Comisión 10%]]-VENTAS[[#This Row],[Costo SIN Comision]]</f>
        <v>4.27777777777778</v>
      </c>
      <c r="M553" s="14"/>
    </row>
    <row r="554" ht="20" hidden="1" customHeight="1" spans="1:13">
      <c r="A554" s="10" t="s">
        <v>4210</v>
      </c>
      <c r="B554" s="11"/>
      <c r="C554" s="11"/>
      <c r="D554" s="11"/>
      <c r="E554" s="11" t="s">
        <v>366</v>
      </c>
      <c r="F554" s="11" t="str">
        <f>IFERROR(VLOOKUP(VENTAS[[#This Row],[Código del producto Vendido]],STOCK[],5,FALSE),"-")</f>
        <v>Vestido manga larga con cinturón</v>
      </c>
      <c r="G554" s="11">
        <v>1</v>
      </c>
      <c r="H554" s="14">
        <v>16</v>
      </c>
      <c r="I554" s="14">
        <f>VENTAS[[#This Row],[Cantidad]]*VENTAS[[#This Row],[Precio Venta]]</f>
        <v>16</v>
      </c>
      <c r="J554" s="14">
        <f>IF(VENTAS[[#This Row],[Nombre del Gestor]]&gt;1,VENTAS[[#This Row],[Total]]*10%,0)</f>
        <v>0</v>
      </c>
      <c r="K554" s="14">
        <f>IFERROR(VLOOKUP(VENTAS[[#This Row],[Código del producto Vendido]],STOCK[],16,FALSE)*VENTAS[[#This Row],[Cantidad]]+VLOOKUP(VENTAS[[#This Row],[Código del producto Vendido]],STOCK[],19,FALSE)*VENTAS[[#This Row],[Cantidad]],VENTAS[[#This Row],[Total]])</f>
        <v>12.5038888888889</v>
      </c>
      <c r="L554" s="14">
        <f>VENTAS[[#This Row],[Total]]-VENTAS[[#This Row],[Comisión 10%]]-VENTAS[[#This Row],[Costo SIN Comision]]</f>
        <v>3.49611111111111</v>
      </c>
      <c r="M554" s="14"/>
    </row>
    <row r="555" ht="20" hidden="1" customHeight="1" spans="1:13">
      <c r="A555" s="10" t="s">
        <v>4210</v>
      </c>
      <c r="B555" s="11"/>
      <c r="C555" s="11"/>
      <c r="D555" s="11"/>
      <c r="E555" s="11" t="s">
        <v>445</v>
      </c>
      <c r="F555" s="11" t="str">
        <f>IFERROR(VLOOKUP(VENTAS[[#This Row],[Código del producto Vendido]],STOCK[],5,FALSE),"-")</f>
        <v>Vestido Amanecer</v>
      </c>
      <c r="G555" s="11">
        <v>1</v>
      </c>
      <c r="H555" s="14">
        <v>16</v>
      </c>
      <c r="I555" s="14">
        <f>VENTAS[[#This Row],[Cantidad]]*VENTAS[[#This Row],[Precio Venta]]</f>
        <v>16</v>
      </c>
      <c r="J555" s="14">
        <f>IF(VENTAS[[#This Row],[Nombre del Gestor]]&gt;1,VENTAS[[#This Row],[Total]]*10%,0)</f>
        <v>0</v>
      </c>
      <c r="K555" s="14">
        <f>IFERROR(VLOOKUP(VENTAS[[#This Row],[Código del producto Vendido]],STOCK[],16,FALSE)*VENTAS[[#This Row],[Cantidad]]+VLOOKUP(VENTAS[[#This Row],[Código del producto Vendido]],STOCK[],19,FALSE)*VENTAS[[#This Row],[Cantidad]],VENTAS[[#This Row],[Total]])</f>
        <v>15.3133333333333</v>
      </c>
      <c r="L555" s="14">
        <f>VENTAS[[#This Row],[Total]]-VENTAS[[#This Row],[Comisión 10%]]-VENTAS[[#This Row],[Costo SIN Comision]]</f>
        <v>0.686666666666699</v>
      </c>
      <c r="M555" s="14"/>
    </row>
    <row r="556" ht="20" hidden="1" customHeight="1" spans="1:13">
      <c r="A556" s="10" t="s">
        <v>4210</v>
      </c>
      <c r="B556" s="11"/>
      <c r="C556" s="11"/>
      <c r="D556" s="11"/>
      <c r="E556" s="11" t="s">
        <v>514</v>
      </c>
      <c r="F556" s="11" t="str">
        <f>IFERROR(VLOOKUP(VENTAS[[#This Row],[Código del producto Vendido]],STOCK[],5,FALSE),"-")</f>
        <v>Zapatillas con cordón </v>
      </c>
      <c r="G556" s="11">
        <v>1</v>
      </c>
      <c r="H556" s="14">
        <v>20</v>
      </c>
      <c r="I556" s="14">
        <f>VENTAS[[#This Row],[Cantidad]]*VENTAS[[#This Row],[Precio Venta]]</f>
        <v>20</v>
      </c>
      <c r="J556" s="14">
        <f>IF(VENTAS[[#This Row],[Nombre del Gestor]]&gt;1,VENTAS[[#This Row],[Total]]*10%,0)</f>
        <v>0</v>
      </c>
      <c r="K556" s="14">
        <f>IFERROR(VLOOKUP(VENTAS[[#This Row],[Código del producto Vendido]],STOCK[],16,FALSE)*VENTAS[[#This Row],[Cantidad]]+VLOOKUP(VENTAS[[#This Row],[Código del producto Vendido]],STOCK[],19,FALSE)*VENTAS[[#This Row],[Cantidad]],VENTAS[[#This Row],[Total]])</f>
        <v>12.6372222222222</v>
      </c>
      <c r="L556" s="14">
        <f>VENTAS[[#This Row],[Total]]-VENTAS[[#This Row],[Comisión 10%]]-VENTAS[[#This Row],[Costo SIN Comision]]</f>
        <v>7.3627777777778</v>
      </c>
      <c r="M556" s="14"/>
    </row>
    <row r="557" ht="20" hidden="1" customHeight="1" spans="1:13">
      <c r="A557" s="10" t="s">
        <v>4210</v>
      </c>
      <c r="B557" s="11"/>
      <c r="C557" s="11"/>
      <c r="D557" s="11"/>
      <c r="E557" s="11" t="s">
        <v>587</v>
      </c>
      <c r="F557" s="11" t="str">
        <f>IFERROR(VLOOKUP(VENTAS[[#This Row],[Código del producto Vendido]],STOCK[],5,FALSE),"-")</f>
        <v>Top cruzado blanco</v>
      </c>
      <c r="G557" s="11">
        <v>0</v>
      </c>
      <c r="H557" s="14">
        <v>9</v>
      </c>
      <c r="I557" s="14">
        <f>VENTAS[[#This Row],[Cantidad]]*VENTAS[[#This Row],[Precio Venta]]</f>
        <v>0</v>
      </c>
      <c r="J557" s="14">
        <f>IF(VENTAS[[#This Row],[Nombre del Gestor]]&gt;1,VENTAS[[#This Row],[Total]]*10%,0)</f>
        <v>0</v>
      </c>
      <c r="K557" s="14">
        <f>IFERROR(VLOOKUP(VENTAS[[#This Row],[Código del producto Vendido]],STOCK[],16,FALSE)*VENTAS[[#This Row],[Cantidad]]+VLOOKUP(VENTAS[[#This Row],[Código del producto Vendido]],STOCK[],19,FALSE)*VENTAS[[#This Row],[Cantidad]],VENTAS[[#This Row],[Total]])</f>
        <v>0</v>
      </c>
      <c r="L557" s="14">
        <f>VENTAS[[#This Row],[Total]]-VENTAS[[#This Row],[Comisión 10%]]-VENTAS[[#This Row],[Costo SIN Comision]]</f>
        <v>0</v>
      </c>
      <c r="M557" s="14"/>
    </row>
    <row r="558" ht="20" hidden="1" customHeight="1" spans="1:13">
      <c r="A558" s="10" t="s">
        <v>4210</v>
      </c>
      <c r="B558" s="11"/>
      <c r="C558" s="11"/>
      <c r="D558" s="11"/>
      <c r="E558" s="11" t="s">
        <v>596</v>
      </c>
      <c r="F558" s="11" t="str">
        <f>IFERROR(VLOOKUP(VENTAS[[#This Row],[Código del producto Vendido]],STOCK[],5,FALSE),"-")</f>
        <v>Top cruzado naranja</v>
      </c>
      <c r="G558" s="11">
        <v>1</v>
      </c>
      <c r="H558" s="14">
        <v>9</v>
      </c>
      <c r="I558" s="14">
        <f>VENTAS[[#This Row],[Cantidad]]*VENTAS[[#This Row],[Precio Venta]]</f>
        <v>9</v>
      </c>
      <c r="J558" s="14">
        <f>IF(VENTAS[[#This Row],[Nombre del Gestor]]&gt;1,VENTAS[[#This Row],[Total]]*10%,0)</f>
        <v>0</v>
      </c>
      <c r="K558" s="14">
        <f>IFERROR(VLOOKUP(VENTAS[[#This Row],[Código del producto Vendido]],STOCK[],16,FALSE)*VENTAS[[#This Row],[Cantidad]]+VLOOKUP(VENTAS[[#This Row],[Código del producto Vendido]],STOCK[],19,FALSE)*VENTAS[[#This Row],[Cantidad]],VENTAS[[#This Row],[Total]])</f>
        <v>5.06833333333333</v>
      </c>
      <c r="L558" s="14">
        <f>VENTAS[[#This Row],[Total]]-VENTAS[[#This Row],[Comisión 10%]]-VENTAS[[#This Row],[Costo SIN Comision]]</f>
        <v>3.93166666666667</v>
      </c>
      <c r="M558" s="14"/>
    </row>
    <row r="559" ht="20" hidden="1" customHeight="1" spans="1:13">
      <c r="A559" s="10" t="s">
        <v>4210</v>
      </c>
      <c r="B559" s="11"/>
      <c r="C559" s="11"/>
      <c r="D559" s="11"/>
      <c r="E559" s="11" t="s">
        <v>674</v>
      </c>
      <c r="F559" s="11" t="str">
        <f>IFERROR(VLOOKUP(VENTAS[[#This Row],[Código del producto Vendido]],STOCK[],5,FALSE),"-")</f>
        <v>Top Cruzado azul</v>
      </c>
      <c r="G559" s="11">
        <v>1</v>
      </c>
      <c r="H559" s="14">
        <v>9</v>
      </c>
      <c r="I559" s="14">
        <f>VENTAS[[#This Row],[Cantidad]]*VENTAS[[#This Row],[Precio Venta]]</f>
        <v>9</v>
      </c>
      <c r="J559" s="14">
        <f>IF(VENTAS[[#This Row],[Nombre del Gestor]]&gt;1,VENTAS[[#This Row],[Total]]*10%,0)</f>
        <v>0</v>
      </c>
      <c r="K559" s="14">
        <f>IFERROR(VLOOKUP(VENTAS[[#This Row],[Código del producto Vendido]],STOCK[],16,FALSE)*VENTAS[[#This Row],[Cantidad]]+VLOOKUP(VENTAS[[#This Row],[Código del producto Vendido]],STOCK[],19,FALSE)*VENTAS[[#This Row],[Cantidad]],VENTAS[[#This Row],[Total]])</f>
        <v>5.26833333333333</v>
      </c>
      <c r="L559" s="14">
        <f>VENTAS[[#This Row],[Total]]-VENTAS[[#This Row],[Comisión 10%]]-VENTAS[[#This Row],[Costo SIN Comision]]</f>
        <v>3.73166666666667</v>
      </c>
      <c r="M559" s="14"/>
    </row>
    <row r="560" ht="20" hidden="1" customHeight="1" spans="1:13">
      <c r="A560" s="10" t="s">
        <v>4210</v>
      </c>
      <c r="B560" s="11"/>
      <c r="C560" s="11"/>
      <c r="D560" s="11"/>
      <c r="E560" s="11" t="s">
        <v>993</v>
      </c>
      <c r="F560" s="11" t="str">
        <f>IFERROR(VLOOKUP(VENTAS[[#This Row],[Código del producto Vendido]],STOCK[],5,FALSE),"-")</f>
        <v> Top Básico Business </v>
      </c>
      <c r="G560" s="11">
        <v>1</v>
      </c>
      <c r="H560" s="14">
        <v>12</v>
      </c>
      <c r="I560" s="14">
        <f>VENTAS[[#This Row],[Cantidad]]*VENTAS[[#This Row],[Precio Venta]]</f>
        <v>12</v>
      </c>
      <c r="J560" s="14">
        <f>IF(VENTAS[[#This Row],[Nombre del Gestor]]&gt;1,VENTAS[[#This Row],[Total]]*10%,0)</f>
        <v>0</v>
      </c>
      <c r="K560" s="14">
        <f>IFERROR(VLOOKUP(VENTAS[[#This Row],[Código del producto Vendido]],STOCK[],16,FALSE)*VENTAS[[#This Row],[Cantidad]]+VLOOKUP(VENTAS[[#This Row],[Código del producto Vendido]],STOCK[],19,FALSE)*VENTAS[[#This Row],[Cantidad]],VENTAS[[#This Row],[Total]])</f>
        <v>7.37954545454545</v>
      </c>
      <c r="L560" s="14">
        <f>VENTAS[[#This Row],[Total]]-VENTAS[[#This Row],[Comisión 10%]]-VENTAS[[#This Row],[Costo SIN Comision]]</f>
        <v>4.62045454545455</v>
      </c>
      <c r="M560" s="14"/>
    </row>
    <row r="561" ht="20" hidden="1" customHeight="1" spans="1:13">
      <c r="A561" s="10" t="s">
        <v>4210</v>
      </c>
      <c r="B561" s="11"/>
      <c r="C561" s="11"/>
      <c r="D561" s="11"/>
      <c r="E561" s="11" t="s">
        <v>966</v>
      </c>
      <c r="F561" s="11" t="str">
        <f>IFERROR(VLOOKUP(VENTAS[[#This Row],[Código del producto Vendido]],STOCK[],5,FALSE),"-")</f>
        <v> Top Básico Business </v>
      </c>
      <c r="G561" s="11">
        <v>1</v>
      </c>
      <c r="H561" s="14">
        <v>12</v>
      </c>
      <c r="I561" s="14">
        <f>VENTAS[[#This Row],[Cantidad]]*VENTAS[[#This Row],[Precio Venta]]</f>
        <v>12</v>
      </c>
      <c r="J561" s="14">
        <f>IF(VENTAS[[#This Row],[Nombre del Gestor]]&gt;1,VENTAS[[#This Row],[Total]]*10%,0)</f>
        <v>0</v>
      </c>
      <c r="K561" s="14">
        <f>IFERROR(VLOOKUP(VENTAS[[#This Row],[Código del producto Vendido]],STOCK[],16,FALSE)*VENTAS[[#This Row],[Cantidad]]+VLOOKUP(VENTAS[[#This Row],[Código del producto Vendido]],STOCK[],19,FALSE)*VENTAS[[#This Row],[Cantidad]],VENTAS[[#This Row],[Total]])</f>
        <v>6.78409090909091</v>
      </c>
      <c r="L561" s="14">
        <f>VENTAS[[#This Row],[Total]]-VENTAS[[#This Row],[Comisión 10%]]-VENTAS[[#This Row],[Costo SIN Comision]]</f>
        <v>5.21590909090909</v>
      </c>
      <c r="M561" s="14"/>
    </row>
    <row r="562" ht="20" hidden="1" customHeight="1" spans="1:13">
      <c r="A562" s="10" t="s">
        <v>4210</v>
      </c>
      <c r="B562" s="11"/>
      <c r="C562" s="11"/>
      <c r="D562" s="11"/>
      <c r="E562" s="11" t="s">
        <v>968</v>
      </c>
      <c r="F562" s="11" t="str">
        <f>IFERROR(VLOOKUP(VENTAS[[#This Row],[Código del producto Vendido]],STOCK[],5,FALSE),"-")</f>
        <v> Top Básico Business</v>
      </c>
      <c r="G562" s="11">
        <v>1</v>
      </c>
      <c r="H562" s="14">
        <v>12</v>
      </c>
      <c r="I562" s="14">
        <f>VENTAS[[#This Row],[Cantidad]]*VENTAS[[#This Row],[Precio Venta]]</f>
        <v>12</v>
      </c>
      <c r="J562" s="14">
        <f>IF(VENTAS[[#This Row],[Nombre del Gestor]]&gt;1,VENTAS[[#This Row],[Total]]*10%,0)</f>
        <v>0</v>
      </c>
      <c r="K562" s="14">
        <f>IFERROR(VLOOKUP(VENTAS[[#This Row],[Código del producto Vendido]],STOCK[],16,FALSE)*VENTAS[[#This Row],[Cantidad]]+VLOOKUP(VENTAS[[#This Row],[Código del producto Vendido]],STOCK[],19,FALSE)*VENTAS[[#This Row],[Cantidad]],VENTAS[[#This Row],[Total]])</f>
        <v>6.78409090909091</v>
      </c>
      <c r="L562" s="14">
        <f>VENTAS[[#This Row],[Total]]-VENTAS[[#This Row],[Comisión 10%]]-VENTAS[[#This Row],[Costo SIN Comision]]</f>
        <v>5.21590909090909</v>
      </c>
      <c r="M562" s="14"/>
    </row>
    <row r="563" ht="20" hidden="1" customHeight="1" spans="1:13">
      <c r="A563" s="10" t="s">
        <v>4210</v>
      </c>
      <c r="B563" s="11"/>
      <c r="C563" s="11"/>
      <c r="D563" s="11"/>
      <c r="E563" s="11" t="s">
        <v>917</v>
      </c>
      <c r="F563" s="11" t="str">
        <f>IFERROR(VLOOKUP(VENTAS[[#This Row],[Código del producto Vendido]],STOCK[],5,FALSE),"-")</f>
        <v>Camiseta con Dibujo</v>
      </c>
      <c r="G563" s="11">
        <v>1</v>
      </c>
      <c r="H563" s="14">
        <v>14</v>
      </c>
      <c r="I563" s="14">
        <f>VENTAS[[#This Row],[Cantidad]]*VENTAS[[#This Row],[Precio Venta]]</f>
        <v>14</v>
      </c>
      <c r="J563" s="14">
        <f>IF(VENTAS[[#This Row],[Nombre del Gestor]]&gt;1,VENTAS[[#This Row],[Total]]*10%,0)</f>
        <v>0</v>
      </c>
      <c r="K563" s="14">
        <f>IFERROR(VLOOKUP(VENTAS[[#This Row],[Código del producto Vendido]],STOCK[],16,FALSE)*VENTAS[[#This Row],[Cantidad]]+VLOOKUP(VENTAS[[#This Row],[Código del producto Vendido]],STOCK[],19,FALSE)*VENTAS[[#This Row],[Cantidad]],VENTAS[[#This Row],[Total]])</f>
        <v>10.1622727272727</v>
      </c>
      <c r="L563" s="14">
        <f>VENTAS[[#This Row],[Total]]-VENTAS[[#This Row],[Comisión 10%]]-VENTAS[[#This Row],[Costo SIN Comision]]</f>
        <v>3.83772727272727</v>
      </c>
      <c r="M563" s="14"/>
    </row>
    <row r="564" ht="20" hidden="1" customHeight="1" spans="1:13">
      <c r="A564" s="10" t="s">
        <v>4210</v>
      </c>
      <c r="B564" s="11"/>
      <c r="C564" s="11"/>
      <c r="D564" s="11"/>
      <c r="E564" s="11" t="s">
        <v>945</v>
      </c>
      <c r="F564" s="11" t="str">
        <f>IFERROR(VLOOKUP(VENTAS[[#This Row],[Código del producto Vendido]],STOCK[],5,FALSE),"-")</f>
        <v> Top Básico Business Crema</v>
      </c>
      <c r="G564" s="11">
        <v>1</v>
      </c>
      <c r="H564" s="14">
        <v>12</v>
      </c>
      <c r="I564" s="14">
        <f>VENTAS[[#This Row],[Cantidad]]*VENTAS[[#This Row],[Precio Venta]]</f>
        <v>12</v>
      </c>
      <c r="J564" s="14">
        <f>IF(VENTAS[[#This Row],[Nombre del Gestor]]&gt;1,VENTAS[[#This Row],[Total]]*10%,0)</f>
        <v>0</v>
      </c>
      <c r="K564" s="14">
        <f>IFERROR(VLOOKUP(VENTAS[[#This Row],[Código del producto Vendido]],STOCK[],16,FALSE)*VENTAS[[#This Row],[Cantidad]]+VLOOKUP(VENTAS[[#This Row],[Código del producto Vendido]],STOCK[],19,FALSE)*VENTAS[[#This Row],[Cantidad]],VENTAS[[#This Row],[Total]])</f>
        <v>7.20909090909091</v>
      </c>
      <c r="L564" s="14">
        <f>VENTAS[[#This Row],[Total]]-VENTAS[[#This Row],[Comisión 10%]]-VENTAS[[#This Row],[Costo SIN Comision]]</f>
        <v>4.79090909090909</v>
      </c>
      <c r="M564" s="14"/>
    </row>
    <row r="565" ht="20" hidden="1" customHeight="1" spans="1:13">
      <c r="A565" s="10" t="s">
        <v>4210</v>
      </c>
      <c r="B565" s="11"/>
      <c r="C565" s="11"/>
      <c r="D565" s="11"/>
      <c r="E565" s="11" t="s">
        <v>1060</v>
      </c>
      <c r="F565" s="11" t="str">
        <f>IFERROR(VLOOKUP(VENTAS[[#This Row],[Código del producto Vendido]],STOCK[],5,FALSE),"-")</f>
        <v>Top de cuadros</v>
      </c>
      <c r="G565" s="11">
        <v>1</v>
      </c>
      <c r="H565" s="14">
        <v>9</v>
      </c>
      <c r="I565" s="14">
        <f>VENTAS[[#This Row],[Cantidad]]*VENTAS[[#This Row],[Precio Venta]]</f>
        <v>9</v>
      </c>
      <c r="J565" s="14">
        <f>IF(VENTAS[[#This Row],[Nombre del Gestor]]&gt;1,VENTAS[[#This Row],[Total]]*10%,0)</f>
        <v>0</v>
      </c>
      <c r="K565" s="14">
        <f>IFERROR(VLOOKUP(VENTAS[[#This Row],[Código del producto Vendido]],STOCK[],16,FALSE)*VENTAS[[#This Row],[Cantidad]]+VLOOKUP(VENTAS[[#This Row],[Código del producto Vendido]],STOCK[],19,FALSE)*VENTAS[[#This Row],[Cantidad]],VENTAS[[#This Row],[Total]])</f>
        <v>4.99264705882353</v>
      </c>
      <c r="L565" s="14">
        <f>VENTAS[[#This Row],[Total]]-VENTAS[[#This Row],[Comisión 10%]]-VENTAS[[#This Row],[Costo SIN Comision]]</f>
        <v>4.00735294117647</v>
      </c>
      <c r="M565" s="14"/>
    </row>
    <row r="566" ht="20" hidden="1" customHeight="1" spans="1:13">
      <c r="A566" s="10" t="s">
        <v>4210</v>
      </c>
      <c r="B566" s="11"/>
      <c r="C566" s="11"/>
      <c r="D566" s="11"/>
      <c r="E566" s="11" t="s">
        <v>645</v>
      </c>
      <c r="F566" s="11" t="str">
        <f>IFERROR(VLOOKUP(VENTAS[[#This Row],[Código del producto Vendido]],STOCK[],5,FALSE),"-")</f>
        <v>Vestido con estampado jungla</v>
      </c>
      <c r="G566" s="11">
        <v>2</v>
      </c>
      <c r="H566" s="14">
        <v>15</v>
      </c>
      <c r="I566" s="14">
        <f>VENTAS[[#This Row],[Cantidad]]*VENTAS[[#This Row],[Precio Venta]]</f>
        <v>30</v>
      </c>
      <c r="J566" s="14">
        <f>IF(VENTAS[[#This Row],[Nombre del Gestor]]&gt;1,VENTAS[[#This Row],[Total]]*10%,0)</f>
        <v>0</v>
      </c>
      <c r="K566" s="14">
        <f>IFERROR(VLOOKUP(VENTAS[[#This Row],[Código del producto Vendido]],STOCK[],16,FALSE)*VENTAS[[#This Row],[Cantidad]]+VLOOKUP(VENTAS[[#This Row],[Código del producto Vendido]],STOCK[],19,FALSE)*VENTAS[[#This Row],[Cantidad]],VENTAS[[#This Row],[Total]])</f>
        <v>21.4444444444444</v>
      </c>
      <c r="L566" s="14">
        <f>VENTAS[[#This Row],[Total]]-VENTAS[[#This Row],[Comisión 10%]]-VENTAS[[#This Row],[Costo SIN Comision]]</f>
        <v>8.55555555555556</v>
      </c>
      <c r="M566" s="14"/>
    </row>
    <row r="567" ht="20" hidden="1" customHeight="1" spans="1:13">
      <c r="A567" s="10" t="s">
        <v>4210</v>
      </c>
      <c r="B567" s="11"/>
      <c r="C567" s="11"/>
      <c r="D567" s="11"/>
      <c r="E567" s="11" t="s">
        <v>648</v>
      </c>
      <c r="F567" s="11" t="str">
        <f>IFERROR(VLOOKUP(VENTAS[[#This Row],[Código del producto Vendido]],STOCK[],5,FALSE),"-")</f>
        <v>Vestido con estampado jungla</v>
      </c>
      <c r="G567" s="11">
        <v>2</v>
      </c>
      <c r="H567" s="14">
        <v>15</v>
      </c>
      <c r="I567" s="14">
        <f>VENTAS[[#This Row],[Cantidad]]*VENTAS[[#This Row],[Precio Venta]]</f>
        <v>30</v>
      </c>
      <c r="J567" s="14">
        <f>IF(VENTAS[[#This Row],[Nombre del Gestor]]&gt;1,VENTAS[[#This Row],[Total]]*10%,0)</f>
        <v>0</v>
      </c>
      <c r="K567" s="14">
        <f>IFERROR(VLOOKUP(VENTAS[[#This Row],[Código del producto Vendido]],STOCK[],16,FALSE)*VENTAS[[#This Row],[Cantidad]]+VLOOKUP(VENTAS[[#This Row],[Código del producto Vendido]],STOCK[],19,FALSE)*VENTAS[[#This Row],[Cantidad]],VENTAS[[#This Row],[Total]])</f>
        <v>21.4444444444444</v>
      </c>
      <c r="L567" s="14">
        <f>VENTAS[[#This Row],[Total]]-VENTAS[[#This Row],[Comisión 10%]]-VENTAS[[#This Row],[Costo SIN Comision]]</f>
        <v>8.55555555555556</v>
      </c>
      <c r="M567" s="14"/>
    </row>
    <row r="568" ht="20" hidden="1" customHeight="1" spans="1:13">
      <c r="A568" s="10" t="s">
        <v>4210</v>
      </c>
      <c r="B568" s="11"/>
      <c r="C568" s="11"/>
      <c r="D568" s="11"/>
      <c r="E568" s="11" t="s">
        <v>728</v>
      </c>
      <c r="F568" s="11" t="str">
        <f>IFERROR(VLOOKUP(VENTAS[[#This Row],[Código del producto Vendido]],STOCK[],5,FALSE),"-")</f>
        <v>Top acanalado sin mangas</v>
      </c>
      <c r="G568" s="11">
        <v>1</v>
      </c>
      <c r="H568" s="14">
        <v>9</v>
      </c>
      <c r="I568" s="14">
        <f>VENTAS[[#This Row],[Cantidad]]*VENTAS[[#This Row],[Precio Venta]]</f>
        <v>9</v>
      </c>
      <c r="J568" s="14">
        <f>IF(VENTAS[[#This Row],[Nombre del Gestor]]&gt;1,VENTAS[[#This Row],[Total]]*10%,0)</f>
        <v>0</v>
      </c>
      <c r="K568" s="14">
        <f>IFERROR(VLOOKUP(VENTAS[[#This Row],[Código del producto Vendido]],STOCK[],16,FALSE)*VENTAS[[#This Row],[Cantidad]]+VLOOKUP(VENTAS[[#This Row],[Código del producto Vendido]],STOCK[],19,FALSE)*VENTAS[[#This Row],[Cantidad]],VENTAS[[#This Row],[Total]])</f>
        <v>5.02222222222222</v>
      </c>
      <c r="L568" s="14">
        <f>VENTAS[[#This Row],[Total]]-VENTAS[[#This Row],[Comisión 10%]]-VENTAS[[#This Row],[Costo SIN Comision]]</f>
        <v>3.97777777777778</v>
      </c>
      <c r="M568" s="14"/>
    </row>
    <row r="569" ht="20" hidden="1" customHeight="1" spans="1:13">
      <c r="A569" s="10" t="s">
        <v>4210</v>
      </c>
      <c r="B569" s="11"/>
      <c r="C569" s="11"/>
      <c r="D569" s="11"/>
      <c r="E569" s="11" t="s">
        <v>724</v>
      </c>
      <c r="F569" s="11" t="str">
        <f>IFERROR(VLOOKUP(VENTAS[[#This Row],[Código del producto Vendido]],STOCK[],5,FALSE),"-")</f>
        <v>Top acanalado sin mangas</v>
      </c>
      <c r="G569" s="11">
        <v>1</v>
      </c>
      <c r="H569" s="14">
        <v>9</v>
      </c>
      <c r="I569" s="14">
        <f>VENTAS[[#This Row],[Cantidad]]*VENTAS[[#This Row],[Precio Venta]]</f>
        <v>9</v>
      </c>
      <c r="J569" s="14">
        <f>IF(VENTAS[[#This Row],[Nombre del Gestor]]&gt;1,VENTAS[[#This Row],[Total]]*10%,0)</f>
        <v>0</v>
      </c>
      <c r="K569" s="14">
        <f>IFERROR(VLOOKUP(VENTAS[[#This Row],[Código del producto Vendido]],STOCK[],16,FALSE)*VENTAS[[#This Row],[Cantidad]]+VLOOKUP(VENTAS[[#This Row],[Código del producto Vendido]],STOCK[],19,FALSE)*VENTAS[[#This Row],[Cantidad]],VENTAS[[#This Row],[Total]])</f>
        <v>5.02222222222222</v>
      </c>
      <c r="L569" s="14">
        <f>VENTAS[[#This Row],[Total]]-VENTAS[[#This Row],[Comisión 10%]]-VENTAS[[#This Row],[Costo SIN Comision]]</f>
        <v>3.97777777777778</v>
      </c>
      <c r="M569" s="14"/>
    </row>
    <row r="570" ht="20" hidden="1" customHeight="1" spans="1:13">
      <c r="A570" s="10" t="s">
        <v>4210</v>
      </c>
      <c r="B570" s="11"/>
      <c r="C570" s="11"/>
      <c r="D570" s="11"/>
      <c r="E570" s="11" t="s">
        <v>792</v>
      </c>
      <c r="F570" s="11" t="str">
        <f>IFERROR(VLOOKUP(VENTAS[[#This Row],[Código del producto Vendido]],STOCK[],5,FALSE),"-")</f>
        <v>Bermuda denim</v>
      </c>
      <c r="G570" s="11">
        <v>1</v>
      </c>
      <c r="H570" s="14">
        <v>19</v>
      </c>
      <c r="I570" s="14">
        <f>VENTAS[[#This Row],[Cantidad]]*VENTAS[[#This Row],[Precio Venta]]</f>
        <v>19</v>
      </c>
      <c r="J570" s="14">
        <f>IF(VENTAS[[#This Row],[Nombre del Gestor]]&gt;1,VENTAS[[#This Row],[Total]]*10%,0)</f>
        <v>0</v>
      </c>
      <c r="K570" s="14">
        <f>IFERROR(VLOOKUP(VENTAS[[#This Row],[Código del producto Vendido]],STOCK[],16,FALSE)*VENTAS[[#This Row],[Cantidad]]+VLOOKUP(VENTAS[[#This Row],[Código del producto Vendido]],STOCK[],19,FALSE)*VENTAS[[#This Row],[Cantidad]],VENTAS[[#This Row],[Total]])</f>
        <v>13.0555555555556</v>
      </c>
      <c r="L570" s="14">
        <f>VENTAS[[#This Row],[Total]]-VENTAS[[#This Row],[Comisión 10%]]-VENTAS[[#This Row],[Costo SIN Comision]]</f>
        <v>5.9444444444444</v>
      </c>
      <c r="M570" s="14"/>
    </row>
    <row r="571" ht="20" hidden="1" customHeight="1" spans="1:13">
      <c r="A571" s="10" t="s">
        <v>4210</v>
      </c>
      <c r="B571" s="11"/>
      <c r="C571" s="11"/>
      <c r="D571" s="11"/>
      <c r="E571" s="11" t="s">
        <v>983</v>
      </c>
      <c r="F571" s="11" t="str">
        <f>IFERROR(VLOOKUP(VENTAS[[#This Row],[Código del producto Vendido]],STOCK[],5,FALSE),"-")</f>
        <v> Top Mangas Fruncidas</v>
      </c>
      <c r="G571" s="11">
        <v>1</v>
      </c>
      <c r="H571" s="14">
        <v>12</v>
      </c>
      <c r="I571" s="14">
        <f>VENTAS[[#This Row],[Cantidad]]*VENTAS[[#This Row],[Precio Venta]]</f>
        <v>12</v>
      </c>
      <c r="J571" s="14">
        <f>IF(VENTAS[[#This Row],[Nombre del Gestor]]&gt;1,VENTAS[[#This Row],[Total]]*10%,0)</f>
        <v>0</v>
      </c>
      <c r="K571" s="14">
        <f>IFERROR(VLOOKUP(VENTAS[[#This Row],[Código del producto Vendido]],STOCK[],16,FALSE)*VENTAS[[#This Row],[Cantidad]]+VLOOKUP(VENTAS[[#This Row],[Código del producto Vendido]],STOCK[],19,FALSE)*VENTAS[[#This Row],[Cantidad]],VENTAS[[#This Row],[Total]])</f>
        <v>6.81136363636364</v>
      </c>
      <c r="L571" s="14">
        <f>VENTAS[[#This Row],[Total]]-VENTAS[[#This Row],[Comisión 10%]]-VENTAS[[#This Row],[Costo SIN Comision]]</f>
        <v>5.18863636363636</v>
      </c>
      <c r="M571" s="14"/>
    </row>
    <row r="572" ht="20" hidden="1" customHeight="1" spans="1:13">
      <c r="A572" s="10" t="s">
        <v>4210</v>
      </c>
      <c r="B572" s="11"/>
      <c r="C572" s="11"/>
      <c r="D572" s="11"/>
      <c r="E572" s="11" t="s">
        <v>1015</v>
      </c>
      <c r="F572" s="11" t="str">
        <f>IFERROR(VLOOKUP(VENTAS[[#This Row],[Código del producto Vendido]],STOCK[],5,FALSE),"-")</f>
        <v>Set de sujetador con tira ajustable 2 paquetes</v>
      </c>
      <c r="G572" s="11">
        <v>1</v>
      </c>
      <c r="H572" s="14">
        <v>12</v>
      </c>
      <c r="I572" s="14">
        <f>VENTAS[[#This Row],[Cantidad]]*VENTAS[[#This Row],[Precio Venta]]</f>
        <v>12</v>
      </c>
      <c r="J572" s="14">
        <f>IF(VENTAS[[#This Row],[Nombre del Gestor]]&gt;1,VENTAS[[#This Row],[Total]]*10%,0)</f>
        <v>0</v>
      </c>
      <c r="K572" s="14">
        <f>IFERROR(VLOOKUP(VENTAS[[#This Row],[Código del producto Vendido]],STOCK[],16,FALSE)*VENTAS[[#This Row],[Cantidad]]+VLOOKUP(VENTAS[[#This Row],[Código del producto Vendido]],STOCK[],19,FALSE)*VENTAS[[#This Row],[Cantidad]],VENTAS[[#This Row],[Total]])</f>
        <v>7.69886363636364</v>
      </c>
      <c r="L572" s="14">
        <f>VENTAS[[#This Row],[Total]]-VENTAS[[#This Row],[Comisión 10%]]-VENTAS[[#This Row],[Costo SIN Comision]]</f>
        <v>4.30113636363636</v>
      </c>
      <c r="M572" s="14"/>
    </row>
    <row r="573" ht="20" hidden="1" customHeight="1" spans="1:13">
      <c r="A573" s="10" t="s">
        <v>4210</v>
      </c>
      <c r="B573" s="11"/>
      <c r="C573" s="11"/>
      <c r="D573" s="11"/>
      <c r="E573" s="11" t="s">
        <v>1161</v>
      </c>
      <c r="F573" s="11" t="str">
        <f>IFERROR(VLOOKUP(VENTAS[[#This Row],[Código del producto Vendido]],STOCK[],5,FALSE),"-")</f>
        <v>Pezoneras de silicona</v>
      </c>
      <c r="G573" s="11">
        <v>3</v>
      </c>
      <c r="H573" s="14">
        <v>6</v>
      </c>
      <c r="I573" s="14">
        <f>VENTAS[[#This Row],[Cantidad]]*VENTAS[[#This Row],[Precio Venta]]</f>
        <v>18</v>
      </c>
      <c r="J573" s="14">
        <f>IF(VENTAS[[#This Row],[Nombre del Gestor]]&gt;1,VENTAS[[#This Row],[Total]]*10%,0)</f>
        <v>0</v>
      </c>
      <c r="K573" s="14">
        <f>IFERROR(VLOOKUP(VENTAS[[#This Row],[Código del producto Vendido]],STOCK[],16,FALSE)*VENTAS[[#This Row],[Cantidad]]+VLOOKUP(VENTAS[[#This Row],[Código del producto Vendido]],STOCK[],19,FALSE)*VENTAS[[#This Row],[Cantidad]],VENTAS[[#This Row],[Total]])</f>
        <v>6.09</v>
      </c>
      <c r="L573" s="14">
        <f>VENTAS[[#This Row],[Total]]-VENTAS[[#This Row],[Comisión 10%]]-VENTAS[[#This Row],[Costo SIN Comision]]</f>
        <v>11.91</v>
      </c>
      <c r="M573" s="14"/>
    </row>
    <row r="574" ht="20" hidden="1" customHeight="1" spans="1:13">
      <c r="A574" s="10" t="s">
        <v>4210</v>
      </c>
      <c r="B574" s="11"/>
      <c r="C574" s="11"/>
      <c r="D574" s="11"/>
      <c r="E574" s="11" t="s">
        <v>1200</v>
      </c>
      <c r="F574" s="11" t="str">
        <f>IFERROR(VLOOKUP(VENTAS[[#This Row],[Código del producto Vendido]],STOCK[],5,FALSE),"-")</f>
        <v>Sujetador adhesivo de silicona</v>
      </c>
      <c r="G574" s="11">
        <v>1</v>
      </c>
      <c r="H574" s="14">
        <v>10</v>
      </c>
      <c r="I574" s="14">
        <f>VENTAS[[#This Row],[Cantidad]]*VENTAS[[#This Row],[Precio Venta]]</f>
        <v>10</v>
      </c>
      <c r="J574" s="14">
        <f>IF(VENTAS[[#This Row],[Nombre del Gestor]]&gt;1,VENTAS[[#This Row],[Total]]*10%,0)</f>
        <v>0</v>
      </c>
      <c r="K574" s="14">
        <f>IFERROR(VLOOKUP(VENTAS[[#This Row],[Código del producto Vendido]],STOCK[],16,FALSE)*VENTAS[[#This Row],[Cantidad]]+VLOOKUP(VENTAS[[#This Row],[Código del producto Vendido]],STOCK[],19,FALSE)*VENTAS[[#This Row],[Cantidad]],VENTAS[[#This Row],[Total]])</f>
        <v>5.87</v>
      </c>
      <c r="L574" s="14">
        <f>VENTAS[[#This Row],[Total]]-VENTAS[[#This Row],[Comisión 10%]]-VENTAS[[#This Row],[Costo SIN Comision]]</f>
        <v>4.13</v>
      </c>
      <c r="M574" s="14"/>
    </row>
    <row r="575" ht="20" hidden="1" customHeight="1" spans="1:13">
      <c r="A575" s="10" t="s">
        <v>4210</v>
      </c>
      <c r="B575" s="11"/>
      <c r="C575" s="11"/>
      <c r="D575" s="11"/>
      <c r="E575" s="11" t="s">
        <v>1210</v>
      </c>
      <c r="F575" s="11" t="str">
        <f>IFERROR(VLOOKUP(VENTAS[[#This Row],[Código del producto Vendido]],STOCK[],5,FALSE),"-")</f>
        <v>Pantaloneta roja</v>
      </c>
      <c r="G575" s="11">
        <v>1</v>
      </c>
      <c r="H575" s="14">
        <v>20</v>
      </c>
      <c r="I575" s="14">
        <f>VENTAS[[#This Row],[Cantidad]]*VENTAS[[#This Row],[Precio Venta]]</f>
        <v>20</v>
      </c>
      <c r="J575" s="14">
        <f>IF(VENTAS[[#This Row],[Nombre del Gestor]]&gt;1,VENTAS[[#This Row],[Total]]*10%,0)</f>
        <v>0</v>
      </c>
      <c r="K575" s="14">
        <f>IFERROR(VLOOKUP(VENTAS[[#This Row],[Código del producto Vendido]],STOCK[],16,FALSE)*VENTAS[[#This Row],[Cantidad]]+VLOOKUP(VENTAS[[#This Row],[Código del producto Vendido]],STOCK[],19,FALSE)*VENTAS[[#This Row],[Cantidad]],VENTAS[[#This Row],[Total]])</f>
        <v>13.36</v>
      </c>
      <c r="L575" s="14">
        <f>VENTAS[[#This Row],[Total]]-VENTAS[[#This Row],[Comisión 10%]]-VENTAS[[#This Row],[Costo SIN Comision]]</f>
        <v>6.64</v>
      </c>
      <c r="M575" s="14"/>
    </row>
    <row r="576" ht="20" hidden="1" customHeight="1" spans="1:13">
      <c r="A576" s="10" t="s">
        <v>4210</v>
      </c>
      <c r="B576" s="11"/>
      <c r="C576" s="11"/>
      <c r="D576" s="11"/>
      <c r="E576" s="11" t="s">
        <v>1241</v>
      </c>
      <c r="F576" s="11" t="str">
        <f>IFERROR(VLOOKUP(VENTAS[[#This Row],[Código del producto Vendido]],STOCK[],5,FALSE),"-")</f>
        <v>Cinturón negro con hebilla dorada</v>
      </c>
      <c r="G576" s="11">
        <v>1</v>
      </c>
      <c r="H576" s="14">
        <v>12</v>
      </c>
      <c r="I576" s="14">
        <f>VENTAS[[#This Row],[Cantidad]]*VENTAS[[#This Row],[Precio Venta]]</f>
        <v>12</v>
      </c>
      <c r="J576" s="14">
        <f>IF(VENTAS[[#This Row],[Nombre del Gestor]]&gt;1,VENTAS[[#This Row],[Total]]*10%,0)</f>
        <v>0</v>
      </c>
      <c r="K576" s="14">
        <f>IFERROR(VLOOKUP(VENTAS[[#This Row],[Código del producto Vendido]],STOCK[],16,FALSE)*VENTAS[[#This Row],[Cantidad]]+VLOOKUP(VENTAS[[#This Row],[Código del producto Vendido]],STOCK[],19,FALSE)*VENTAS[[#This Row],[Cantidad]],VENTAS[[#This Row],[Total]])</f>
        <v>4.61</v>
      </c>
      <c r="L576" s="14">
        <f>VENTAS[[#This Row],[Total]]-VENTAS[[#This Row],[Comisión 10%]]-VENTAS[[#This Row],[Costo SIN Comision]]</f>
        <v>7.39</v>
      </c>
      <c r="M576" s="14"/>
    </row>
    <row r="577" ht="20" hidden="1" customHeight="1" spans="1:13">
      <c r="A577" s="10" t="s">
        <v>30</v>
      </c>
      <c r="B577" s="11" t="str">
        <f>IFERROR(VLOOKUP(VENTAS[[#This Row],[Código del producto Vendido]],STOCK[],25,FALSE),"-")</f>
        <v>Recibido Freddy 24Mayo</v>
      </c>
      <c r="C577" s="11"/>
      <c r="D577" s="11"/>
      <c r="E577" s="11" t="s">
        <v>992</v>
      </c>
      <c r="F577" s="11" t="str">
        <f>IFERROR(VLOOKUP(VENTAS[[#This Row],[Código del producto Vendido]],STOCK[],5,FALSE),"-")</f>
        <v> Top Básico Business Negro</v>
      </c>
      <c r="G577" s="11">
        <v>1</v>
      </c>
      <c r="H577" s="14">
        <v>12</v>
      </c>
      <c r="I577" s="14">
        <f>VENTAS[[#This Row],[Cantidad]]*VENTAS[[#This Row],[Precio Venta]]</f>
        <v>12</v>
      </c>
      <c r="J577" s="14">
        <f>IF(VENTAS[[#This Row],[Nombre del Gestor]]&gt;1,VENTAS[[#This Row],[Total]]*10%,0)</f>
        <v>0</v>
      </c>
      <c r="K577" s="14">
        <f>IFERROR(VLOOKUP(VENTAS[[#This Row],[Código del producto Vendido]],STOCK[],16,FALSE)*VENTAS[[#This Row],[Cantidad]]+VLOOKUP(VENTAS[[#This Row],[Código del producto Vendido]],STOCK[],19,FALSE)*VENTAS[[#This Row],[Cantidad]],VENTAS[[#This Row],[Total]])</f>
        <v>7.37954545454545</v>
      </c>
      <c r="L577" s="14">
        <f>VENTAS[[#This Row],[Total]]-VENTAS[[#This Row],[Comisión 10%]]-VENTAS[[#This Row],[Costo SIN Comision]]</f>
        <v>4.62045454545455</v>
      </c>
      <c r="M577" s="14"/>
    </row>
    <row r="578" ht="20" hidden="1" customHeight="1" spans="1:13">
      <c r="A578" s="10" t="s">
        <v>30</v>
      </c>
      <c r="B578" s="11" t="str">
        <f>IFERROR(VLOOKUP(VENTAS[[#This Row],[Código del producto Vendido]],STOCK[],25,FALSE),"-")</f>
        <v>-</v>
      </c>
      <c r="C578" s="11"/>
      <c r="D578" s="11"/>
      <c r="E578" s="11" t="s">
        <v>4213</v>
      </c>
      <c r="F578" s="11" t="str">
        <f>IFERROR(VLOOKUP(VENTAS[[#This Row],[Código del producto Vendido]],STOCK[],5,FALSE),"-")</f>
        <v>-</v>
      </c>
      <c r="G578" s="11">
        <v>1</v>
      </c>
      <c r="H578" s="14">
        <v>30</v>
      </c>
      <c r="I578" s="14">
        <f>VENTAS[[#This Row],[Cantidad]]*VENTAS[[#This Row],[Precio Venta]]</f>
        <v>30</v>
      </c>
      <c r="J578" s="14">
        <f>IF(VENTAS[[#This Row],[Nombre del Gestor]]&gt;1,VENTAS[[#This Row],[Total]]*10%,0)</f>
        <v>0</v>
      </c>
      <c r="K578" s="14">
        <f>IFERROR(VLOOKUP(VENTAS[[#This Row],[Código del producto Vendido]],STOCK[],16,FALSE)*VENTAS[[#This Row],[Cantidad]]+VLOOKUP(VENTAS[[#This Row],[Código del producto Vendido]],STOCK[],19,FALSE)*VENTAS[[#This Row],[Cantidad]],VENTAS[[#This Row],[Total]])</f>
        <v>30</v>
      </c>
      <c r="L578" s="14">
        <f>VENTAS[[#This Row],[Total]]-VENTAS[[#This Row],[Comisión 10%]]-VENTAS[[#This Row],[Costo SIN Comision]]</f>
        <v>0</v>
      </c>
      <c r="M578" s="14"/>
    </row>
    <row r="579" ht="20" hidden="1" customHeight="1" spans="1:13">
      <c r="A579" s="10" t="s">
        <v>30</v>
      </c>
      <c r="B579" s="11" t="str">
        <f>IFERROR(VLOOKUP(VENTAS[[#This Row],[Código del producto Vendido]],STOCK[],25,FALSE),"-")</f>
        <v>Recibido Freddy 12Mayo</v>
      </c>
      <c r="C579" s="11"/>
      <c r="D579" s="11"/>
      <c r="E579" s="11" t="s">
        <v>894</v>
      </c>
      <c r="F579" s="11" t="str">
        <f>IFERROR(VLOOKUP(VENTAS[[#This Row],[Código del producto Vendido]],STOCK[],5,FALSE),"-")</f>
        <v>Top Cisne Blanco</v>
      </c>
      <c r="G579" s="11">
        <v>1</v>
      </c>
      <c r="H579" s="14">
        <v>12</v>
      </c>
      <c r="I579" s="14">
        <f>VENTAS[[#This Row],[Cantidad]]*VENTAS[[#This Row],[Precio Venta]]</f>
        <v>12</v>
      </c>
      <c r="J579" s="14">
        <f>IF(VENTAS[[#This Row],[Nombre del Gestor]]&gt;1,VENTAS[[#This Row],[Total]]*10%,0)</f>
        <v>0</v>
      </c>
      <c r="K579" s="14">
        <f>IFERROR(VLOOKUP(VENTAS[[#This Row],[Código del producto Vendido]],STOCK[],16,FALSE)*VENTAS[[#This Row],[Cantidad]]+VLOOKUP(VENTAS[[#This Row],[Código del producto Vendido]],STOCK[],19,FALSE)*VENTAS[[#This Row],[Cantidad]],VENTAS[[#This Row],[Total]])</f>
        <v>7.97318181818182</v>
      </c>
      <c r="L579" s="14">
        <f>VENTAS[[#This Row],[Total]]-VENTAS[[#This Row],[Comisión 10%]]-VENTAS[[#This Row],[Costo SIN Comision]]</f>
        <v>4.02681818181818</v>
      </c>
      <c r="M579" s="14"/>
    </row>
    <row r="580" ht="20" hidden="1" customHeight="1" spans="1:13">
      <c r="A580" s="10" t="s">
        <v>30</v>
      </c>
      <c r="B580" s="11">
        <f>IFERROR(VLOOKUP(VENTAS[[#This Row],[Código del producto Vendido]],STOCK[],25,FALSE),"-")</f>
        <v>0</v>
      </c>
      <c r="C580" s="11"/>
      <c r="D580" s="11"/>
      <c r="E580" s="11" t="s">
        <v>154</v>
      </c>
      <c r="F580" s="11" t="str">
        <f>IFERROR(VLOOKUP(VENTAS[[#This Row],[Código del producto Vendido]],STOCK[],5,FALSE),"-")</f>
        <v>Jeans de pierna recta desgarro</v>
      </c>
      <c r="G580" s="11">
        <v>1</v>
      </c>
      <c r="H580" s="14">
        <v>30</v>
      </c>
      <c r="I580" s="14">
        <f>VENTAS[[#This Row],[Cantidad]]*VENTAS[[#This Row],[Precio Venta]]</f>
        <v>30</v>
      </c>
      <c r="J580" s="14">
        <f>IF(VENTAS[[#This Row],[Nombre del Gestor]]&gt;1,VENTAS[[#This Row],[Total]]*10%,0)</f>
        <v>0</v>
      </c>
      <c r="K580" s="14">
        <f>IFERROR(VLOOKUP(VENTAS[[#This Row],[Código del producto Vendido]],STOCK[],16,FALSE)*VENTAS[[#This Row],[Cantidad]]+VLOOKUP(VENTAS[[#This Row],[Código del producto Vendido]],STOCK[],19,FALSE)*VENTAS[[#This Row],[Cantidad]],VENTAS[[#This Row],[Total]])</f>
        <v>18.6866666666667</v>
      </c>
      <c r="L580" s="14">
        <f>VENTAS[[#This Row],[Total]]-VENTAS[[#This Row],[Comisión 10%]]-VENTAS[[#This Row],[Costo SIN Comision]]</f>
        <v>11.3133333333333</v>
      </c>
      <c r="M580" s="14"/>
    </row>
    <row r="581" ht="20" hidden="1" customHeight="1" spans="1:13">
      <c r="A581" s="10" t="s">
        <v>30</v>
      </c>
      <c r="B581" s="11" t="str">
        <f>IFERROR(VLOOKUP(VENTAS[[#This Row],[Código del producto Vendido]],STOCK[],25,FALSE),"-")</f>
        <v>Yenma 19 Mayo</v>
      </c>
      <c r="C581" s="11"/>
      <c r="D581" s="11"/>
      <c r="E581" s="11" t="s">
        <v>221</v>
      </c>
      <c r="F581" s="11" t="str">
        <f>IFERROR(VLOOKUP(VENTAS[[#This Row],[Código del producto Vendido]],STOCK[],5,FALSE),"-")</f>
        <v>Vestido slip abertura de espalda abierta de cuello desbocado</v>
      </c>
      <c r="G581" s="11">
        <v>1</v>
      </c>
      <c r="H581" s="14">
        <v>30</v>
      </c>
      <c r="I581" s="14">
        <f>VENTAS[[#This Row],[Cantidad]]*VENTAS[[#This Row],[Precio Venta]]</f>
        <v>30</v>
      </c>
      <c r="J581" s="14">
        <f>IF(VENTAS[[#This Row],[Nombre del Gestor]]&gt;1,VENTAS[[#This Row],[Total]]*10%,0)</f>
        <v>0</v>
      </c>
      <c r="K581" s="14">
        <f>IFERROR(VLOOKUP(VENTAS[[#This Row],[Código del producto Vendido]],STOCK[],16,FALSE)*VENTAS[[#This Row],[Cantidad]]+VLOOKUP(VENTAS[[#This Row],[Código del producto Vendido]],STOCK[],19,FALSE)*VENTAS[[#This Row],[Cantidad]],VENTAS[[#This Row],[Total]])</f>
        <v>16.4866666666667</v>
      </c>
      <c r="L581" s="14">
        <f>VENTAS[[#This Row],[Total]]-VENTAS[[#This Row],[Comisión 10%]]-VENTAS[[#This Row],[Costo SIN Comision]]</f>
        <v>13.5133333333333</v>
      </c>
      <c r="M581" s="14"/>
    </row>
    <row r="582" ht="20" hidden="1" customHeight="1" spans="1:13">
      <c r="A582" s="10" t="s">
        <v>30</v>
      </c>
      <c r="B582" s="11" t="str">
        <f>IFERROR(VLOOKUP(VENTAS[[#This Row],[Código del producto Vendido]],STOCK[],25,FALSE),"-")</f>
        <v>recibido yenma correos 8mayo</v>
      </c>
      <c r="C582" s="11"/>
      <c r="D582" s="11"/>
      <c r="E582" s="11" t="s">
        <v>296</v>
      </c>
      <c r="F582" s="11" t="str">
        <f>IFERROR(VLOOKUP(VENTAS[[#This Row],[Código del producto Vendido]],STOCK[],5,FALSE),"-")</f>
        <v>Conjunto falda y blusa</v>
      </c>
      <c r="G582" s="11">
        <v>1</v>
      </c>
      <c r="H582" s="14">
        <v>45</v>
      </c>
      <c r="I582" s="14">
        <f>VENTAS[[#This Row],[Cantidad]]*VENTAS[[#This Row],[Precio Venta]]</f>
        <v>45</v>
      </c>
      <c r="J582" s="14">
        <f>IF(VENTAS[[#This Row],[Nombre del Gestor]]&gt;1,VENTAS[[#This Row],[Total]]*10%,0)</f>
        <v>0</v>
      </c>
      <c r="K582" s="14">
        <f>IFERROR(VLOOKUP(VENTAS[[#This Row],[Código del producto Vendido]],STOCK[],16,FALSE)*VENTAS[[#This Row],[Cantidad]]+VLOOKUP(VENTAS[[#This Row],[Código del producto Vendido]],STOCK[],19,FALSE)*VENTAS[[#This Row],[Cantidad]],VENTAS[[#This Row],[Total]])</f>
        <v>19.1533333333333</v>
      </c>
      <c r="L582" s="14">
        <f>VENTAS[[#This Row],[Total]]-VENTAS[[#This Row],[Comisión 10%]]-VENTAS[[#This Row],[Costo SIN Comision]]</f>
        <v>25.8466666666667</v>
      </c>
      <c r="M582" s="14"/>
    </row>
    <row r="583" ht="20" hidden="1" customHeight="1" spans="1:13">
      <c r="A583" s="10" t="s">
        <v>30</v>
      </c>
      <c r="B583" s="11">
        <f>IFERROR(VLOOKUP(VENTAS[[#This Row],[Código del producto Vendido]],STOCK[],25,FALSE),"-")</f>
        <v>0</v>
      </c>
      <c r="C583" s="11"/>
      <c r="D583" s="11"/>
      <c r="E583" s="11" t="s">
        <v>442</v>
      </c>
      <c r="F583" s="11" t="str">
        <f>IFERROR(VLOOKUP(VENTAS[[#This Row],[Código del producto Vendido]],STOCK[],5,FALSE),"-")</f>
        <v>Top corto de cuello cuadrado </v>
      </c>
      <c r="G583" s="11">
        <v>1</v>
      </c>
      <c r="H583" s="14">
        <v>12</v>
      </c>
      <c r="I583" s="14">
        <f>VENTAS[[#This Row],[Cantidad]]*VENTAS[[#This Row],[Precio Venta]]</f>
        <v>12</v>
      </c>
      <c r="J583" s="14">
        <f>IF(VENTAS[[#This Row],[Nombre del Gestor]]&gt;1,VENTAS[[#This Row],[Total]]*10%,0)</f>
        <v>0</v>
      </c>
      <c r="K583" s="14">
        <f>IFERROR(VLOOKUP(VENTAS[[#This Row],[Código del producto Vendido]],STOCK[],16,FALSE)*VENTAS[[#This Row],[Cantidad]]+VLOOKUP(VENTAS[[#This Row],[Código del producto Vendido]],STOCK[],19,FALSE)*VENTAS[[#This Row],[Cantidad]],VENTAS[[#This Row],[Total]])</f>
        <v>7.43444444444444</v>
      </c>
      <c r="L583" s="14">
        <f>VENTAS[[#This Row],[Total]]-VENTAS[[#This Row],[Comisión 10%]]-VENTAS[[#This Row],[Costo SIN Comision]]</f>
        <v>4.56555555555556</v>
      </c>
      <c r="M583" s="14"/>
    </row>
    <row r="584" ht="20" hidden="1" customHeight="1" spans="1:13">
      <c r="A584" s="10" t="s">
        <v>30</v>
      </c>
      <c r="B584" s="11">
        <f>IFERROR(VLOOKUP(VENTAS[[#This Row],[Código del producto Vendido]],STOCK[],25,FALSE),"-")</f>
        <v>0</v>
      </c>
      <c r="C584" s="11"/>
      <c r="D584" s="11"/>
      <c r="E584" s="11" t="s">
        <v>479</v>
      </c>
      <c r="F584" s="11" t="str">
        <f>IFERROR(VLOOKUP(VENTAS[[#This Row],[Código del producto Vendido]],STOCK[],5,FALSE),"-")</f>
        <v>Bolsa cuadrada mini geométrico </v>
      </c>
      <c r="G584" s="11">
        <v>1</v>
      </c>
      <c r="H584" s="14">
        <v>0</v>
      </c>
      <c r="I584" s="14">
        <f>VENTAS[[#This Row],[Cantidad]]*VENTAS[[#This Row],[Precio Venta]]</f>
        <v>0</v>
      </c>
      <c r="J584" s="14">
        <f>IF(VENTAS[[#This Row],[Nombre del Gestor]]&gt;1,VENTAS[[#This Row],[Total]]*10%,0)</f>
        <v>0</v>
      </c>
      <c r="K584" s="14">
        <f>IFERROR(VLOOKUP(VENTAS[[#This Row],[Código del producto Vendido]],STOCK[],16,FALSE)*VENTAS[[#This Row],[Cantidad]]+VLOOKUP(VENTAS[[#This Row],[Código del producto Vendido]],STOCK[],19,FALSE)*VENTAS[[#This Row],[Cantidad]],VENTAS[[#This Row],[Total]])</f>
        <v>6.33777777777778</v>
      </c>
      <c r="L584" s="14">
        <f>VENTAS[[#This Row],[Total]]-VENTAS[[#This Row],[Comisión 10%]]-VENTAS[[#This Row],[Costo SIN Comision]]</f>
        <v>-6.33777777777778</v>
      </c>
      <c r="M584" s="14"/>
    </row>
    <row r="585" ht="20" hidden="1" customHeight="1" spans="1:13">
      <c r="A585" s="10" t="s">
        <v>30</v>
      </c>
      <c r="B585" s="11">
        <f>IFERROR(VLOOKUP(VENTAS[[#This Row],[Código del producto Vendido]],STOCK[],25,FALSE),"-")</f>
        <v>0</v>
      </c>
      <c r="C585" s="11"/>
      <c r="D585" s="11"/>
      <c r="E585" s="11" t="s">
        <v>518</v>
      </c>
      <c r="F585" s="11" t="str">
        <f>IFERROR(VLOOKUP(VENTAS[[#This Row],[Código del producto Vendido]],STOCK[],5,FALSE),"-")</f>
        <v>Calcetines unicolor</v>
      </c>
      <c r="G585" s="11">
        <v>8</v>
      </c>
      <c r="H585" s="14">
        <v>1.5</v>
      </c>
      <c r="I585" s="14">
        <f>VENTAS[[#This Row],[Cantidad]]*VENTAS[[#This Row],[Precio Venta]]</f>
        <v>12</v>
      </c>
      <c r="J585" s="14">
        <f>IF(VENTAS[[#This Row],[Nombre del Gestor]]&gt;1,VENTAS[[#This Row],[Total]]*10%,0)</f>
        <v>0</v>
      </c>
      <c r="K585" s="14">
        <f>IFERROR(VLOOKUP(VENTAS[[#This Row],[Código del producto Vendido]],STOCK[],16,FALSE)*VENTAS[[#This Row],[Cantidad]]+VLOOKUP(VENTAS[[#This Row],[Código del producto Vendido]],STOCK[],19,FALSE)*VENTAS[[#This Row],[Cantidad]],VENTAS[[#This Row],[Total]])</f>
        <v>6.75555555555555</v>
      </c>
      <c r="L585" s="14">
        <f>VENTAS[[#This Row],[Total]]-VENTAS[[#This Row],[Comisión 10%]]-VENTAS[[#This Row],[Costo SIN Comision]]</f>
        <v>5.24444444444445</v>
      </c>
      <c r="M585" s="14"/>
    </row>
    <row r="586" ht="20" hidden="1" customHeight="1" spans="1:13">
      <c r="A586" s="10" t="s">
        <v>30</v>
      </c>
      <c r="B586" s="11">
        <f>IFERROR(VLOOKUP(VENTAS[[#This Row],[Código del producto Vendido]],STOCK[],25,FALSE),"-")</f>
        <v>0</v>
      </c>
      <c r="C586" s="11"/>
      <c r="D586" s="11"/>
      <c r="E586" s="11" t="s">
        <v>627</v>
      </c>
      <c r="F586" s="11" t="str">
        <f>IFERROR(VLOOKUP(VENTAS[[#This Row],[Código del producto Vendido]],STOCK[],5,FALSE),"-")</f>
        <v>Vestido vaporoso</v>
      </c>
      <c r="G586" s="11">
        <v>1</v>
      </c>
      <c r="H586" s="14">
        <v>16</v>
      </c>
      <c r="I586" s="14">
        <f>VENTAS[[#This Row],[Cantidad]]*VENTAS[[#This Row],[Precio Venta]]</f>
        <v>16</v>
      </c>
      <c r="J586" s="14">
        <f>IF(VENTAS[[#This Row],[Nombre del Gestor]]&gt;1,VENTAS[[#This Row],[Total]]*10%,0)</f>
        <v>0</v>
      </c>
      <c r="K586" s="14">
        <f>IFERROR(VLOOKUP(VENTAS[[#This Row],[Código del producto Vendido]],STOCK[],16,FALSE)*VENTAS[[#This Row],[Cantidad]]+VLOOKUP(VENTAS[[#This Row],[Código del producto Vendido]],STOCK[],19,FALSE)*VENTAS[[#This Row],[Cantidad]],VENTAS[[#This Row],[Total]])</f>
        <v>10.7222222222222</v>
      </c>
      <c r="L586" s="14">
        <f>VENTAS[[#This Row],[Total]]-VENTAS[[#This Row],[Comisión 10%]]-VENTAS[[#This Row],[Costo SIN Comision]]</f>
        <v>5.27777777777778</v>
      </c>
      <c r="M586" s="14"/>
    </row>
    <row r="587" ht="20" hidden="1" customHeight="1" spans="1:13">
      <c r="A587" s="10" t="s">
        <v>30</v>
      </c>
      <c r="B587" s="11">
        <f>IFERROR(VLOOKUP(VENTAS[[#This Row],[Código del producto Vendido]],STOCK[],25,FALSE),"-")</f>
        <v>0</v>
      </c>
      <c r="C587" s="11"/>
      <c r="D587" s="11"/>
      <c r="E587" s="11" t="s">
        <v>728</v>
      </c>
      <c r="F587" s="11" t="str">
        <f>IFERROR(VLOOKUP(VENTAS[[#This Row],[Código del producto Vendido]],STOCK[],5,FALSE),"-")</f>
        <v>Top acanalado sin mangas</v>
      </c>
      <c r="G587" s="11">
        <v>1</v>
      </c>
      <c r="H587" s="14">
        <v>12</v>
      </c>
      <c r="I587" s="14">
        <f>VENTAS[[#This Row],[Cantidad]]*VENTAS[[#This Row],[Precio Venta]]</f>
        <v>12</v>
      </c>
      <c r="J587" s="14">
        <f>IF(VENTAS[[#This Row],[Nombre del Gestor]]&gt;1,VENTAS[[#This Row],[Total]]*10%,0)</f>
        <v>0</v>
      </c>
      <c r="K587" s="14">
        <f>IFERROR(VLOOKUP(VENTAS[[#This Row],[Código del producto Vendido]],STOCK[],16,FALSE)*VENTAS[[#This Row],[Cantidad]]+VLOOKUP(VENTAS[[#This Row],[Código del producto Vendido]],STOCK[],19,FALSE)*VENTAS[[#This Row],[Cantidad]],VENTAS[[#This Row],[Total]])</f>
        <v>5.02222222222222</v>
      </c>
      <c r="L587" s="14">
        <f>VENTAS[[#This Row],[Total]]-VENTAS[[#This Row],[Comisión 10%]]-VENTAS[[#This Row],[Costo SIN Comision]]</f>
        <v>6.97777777777778</v>
      </c>
      <c r="M587" s="14"/>
    </row>
    <row r="588" ht="20" hidden="1" customHeight="1" spans="1:13">
      <c r="A588" s="10" t="s">
        <v>30</v>
      </c>
      <c r="B588" s="11">
        <f>IFERROR(VLOOKUP(VENTAS[[#This Row],[Código del producto Vendido]],STOCK[],25,FALSE),"-")</f>
        <v>0</v>
      </c>
      <c r="C588" s="11"/>
      <c r="D588" s="11"/>
      <c r="E588" s="11" t="s">
        <v>738</v>
      </c>
      <c r="F588" s="11" t="str">
        <f>IFERROR(VLOOKUP(VENTAS[[#This Row],[Código del producto Vendido]],STOCK[],5,FALSE),"-")</f>
        <v>Sostén Push-up</v>
      </c>
      <c r="G588" s="11">
        <v>1</v>
      </c>
      <c r="H588" s="14">
        <v>12</v>
      </c>
      <c r="I588" s="14">
        <f>VENTAS[[#This Row],[Cantidad]]*VENTAS[[#This Row],[Precio Venta]]</f>
        <v>12</v>
      </c>
      <c r="J588" s="14">
        <f>IF(VENTAS[[#This Row],[Nombre del Gestor]]&gt;1,VENTAS[[#This Row],[Total]]*10%,0)</f>
        <v>0</v>
      </c>
      <c r="K588" s="14">
        <f>IFERROR(VLOOKUP(VENTAS[[#This Row],[Código del producto Vendido]],STOCK[],16,FALSE)*VENTAS[[#This Row],[Cantidad]]+VLOOKUP(VENTAS[[#This Row],[Código del producto Vendido]],STOCK[],19,FALSE)*VENTAS[[#This Row],[Cantidad]],VENTAS[[#This Row],[Total]])</f>
        <v>11.1333333333333</v>
      </c>
      <c r="L588" s="14">
        <f>VENTAS[[#This Row],[Total]]-VENTAS[[#This Row],[Comisión 10%]]-VENTAS[[#This Row],[Costo SIN Comision]]</f>
        <v>0.866666666666699</v>
      </c>
      <c r="M588" s="14"/>
    </row>
    <row r="589" ht="20" hidden="1" customHeight="1" spans="1:13">
      <c r="A589" s="10" t="s">
        <v>30</v>
      </c>
      <c r="B589" s="11">
        <f>IFERROR(VLOOKUP(VENTAS[[#This Row],[Código del producto Vendido]],STOCK[],25,FALSE),"-")</f>
        <v>0</v>
      </c>
      <c r="C589" s="11"/>
      <c r="D589" s="11"/>
      <c r="E589" s="11" t="s">
        <v>834</v>
      </c>
      <c r="F589" s="11" t="str">
        <f>IFERROR(VLOOKUP(VENTAS[[#This Row],[Código del producto Vendido]],STOCK[],5,FALSE),"-")</f>
        <v>Rubor rosa</v>
      </c>
      <c r="G589" s="11">
        <v>1</v>
      </c>
      <c r="H589" s="14">
        <v>0</v>
      </c>
      <c r="I589" s="14">
        <f>VENTAS[[#This Row],[Cantidad]]*VENTAS[[#This Row],[Precio Venta]]</f>
        <v>0</v>
      </c>
      <c r="J589" s="14">
        <f>IF(VENTAS[[#This Row],[Nombre del Gestor]]&gt;1,VENTAS[[#This Row],[Total]]*10%,0)</f>
        <v>0</v>
      </c>
      <c r="K589" s="14">
        <f>IFERROR(VLOOKUP(VENTAS[[#This Row],[Código del producto Vendido]],STOCK[],16,FALSE)*VENTAS[[#This Row],[Cantidad]]+VLOOKUP(VENTAS[[#This Row],[Código del producto Vendido]],STOCK[],19,FALSE)*VENTAS[[#This Row],[Cantidad]],VENTAS[[#This Row],[Total]])</f>
        <v>4.33333333333333</v>
      </c>
      <c r="L589" s="14">
        <f>VENTAS[[#This Row],[Total]]-VENTAS[[#This Row],[Comisión 10%]]-VENTAS[[#This Row],[Costo SIN Comision]]</f>
        <v>-4.33333333333333</v>
      </c>
      <c r="M589" s="14"/>
    </row>
    <row r="590" ht="20" hidden="1" customHeight="1" spans="1:13">
      <c r="A590" s="10" t="s">
        <v>30</v>
      </c>
      <c r="B590" s="11">
        <f>IFERROR(VLOOKUP(VENTAS[[#This Row],[Código del producto Vendido]],STOCK[],25,FALSE),"-")</f>
        <v>0</v>
      </c>
      <c r="C590" s="11"/>
      <c r="D590" s="11"/>
      <c r="E590" s="11" t="s">
        <v>837</v>
      </c>
      <c r="F590" s="11" t="str">
        <f>IFERROR(VLOOKUP(VENTAS[[#This Row],[Código del producto Vendido]],STOCK[],5,FALSE),"-")</f>
        <v>Vestido pasión</v>
      </c>
      <c r="G590" s="11">
        <v>1</v>
      </c>
      <c r="H590" s="14">
        <v>35</v>
      </c>
      <c r="I590" s="14">
        <f>VENTAS[[#This Row],[Cantidad]]*VENTAS[[#This Row],[Precio Venta]]</f>
        <v>35</v>
      </c>
      <c r="J590" s="14">
        <f>IF(VENTAS[[#This Row],[Nombre del Gestor]]&gt;1,VENTAS[[#This Row],[Total]]*10%,0)</f>
        <v>0</v>
      </c>
      <c r="K590" s="14">
        <f>IFERROR(VLOOKUP(VENTAS[[#This Row],[Código del producto Vendido]],STOCK[],16,FALSE)*VENTAS[[#This Row],[Cantidad]]+VLOOKUP(VENTAS[[#This Row],[Código del producto Vendido]],STOCK[],19,FALSE)*VENTAS[[#This Row],[Cantidad]],VENTAS[[#This Row],[Total]])</f>
        <v>26.3888888888889</v>
      </c>
      <c r="L590" s="14">
        <f>VENTAS[[#This Row],[Total]]-VENTAS[[#This Row],[Comisión 10%]]-VENTAS[[#This Row],[Costo SIN Comision]]</f>
        <v>8.6111111111111</v>
      </c>
      <c r="M590" s="14"/>
    </row>
    <row r="591" ht="20" hidden="1" customHeight="1" spans="1:13">
      <c r="A591" s="10" t="s">
        <v>30</v>
      </c>
      <c r="B591" s="11">
        <f>IFERROR(VLOOKUP(VENTAS[[#This Row],[Código del producto Vendido]],STOCK[],25,FALSE),"-")</f>
        <v>0</v>
      </c>
      <c r="C591" s="11"/>
      <c r="D591" s="11"/>
      <c r="E591" s="11" t="s">
        <v>877</v>
      </c>
      <c r="F591" s="11" t="str">
        <f>IFERROR(VLOOKUP(VENTAS[[#This Row],[Código del producto Vendido]],STOCK[],5,FALSE),"-")</f>
        <v>Brasier de encaje_Negro Unitalla</v>
      </c>
      <c r="G591" s="11">
        <v>1</v>
      </c>
      <c r="H591" s="14">
        <v>7</v>
      </c>
      <c r="I591" s="14">
        <f>VENTAS[[#This Row],[Cantidad]]*VENTAS[[#This Row],[Precio Venta]]</f>
        <v>7</v>
      </c>
      <c r="J591" s="14">
        <f>IF(VENTAS[[#This Row],[Nombre del Gestor]]&gt;1,VENTAS[[#This Row],[Total]]*10%,0)</f>
        <v>0</v>
      </c>
      <c r="K591" s="14">
        <f>IFERROR(VLOOKUP(VENTAS[[#This Row],[Código del producto Vendido]],STOCK[],16,FALSE)*VENTAS[[#This Row],[Cantidad]]+VLOOKUP(VENTAS[[#This Row],[Código del producto Vendido]],STOCK[],19,FALSE)*VENTAS[[#This Row],[Cantidad]],VENTAS[[#This Row],[Total]])</f>
        <v>3.71111111111111</v>
      </c>
      <c r="L591" s="14">
        <f>VENTAS[[#This Row],[Total]]-VENTAS[[#This Row],[Comisión 10%]]-VENTAS[[#This Row],[Costo SIN Comision]]</f>
        <v>3.28888888888889</v>
      </c>
      <c r="M591" s="14"/>
    </row>
    <row r="592" ht="20" hidden="1" customHeight="1" spans="1:13">
      <c r="A592" s="10" t="s">
        <v>30</v>
      </c>
      <c r="B592" s="11">
        <f>IFERROR(VLOOKUP(VENTAS[[#This Row],[Código del producto Vendido]],STOCK[],25,FALSE),"-")</f>
        <v>0</v>
      </c>
      <c r="C592" s="11"/>
      <c r="D592" s="11"/>
      <c r="E592" s="11" t="s">
        <v>933</v>
      </c>
      <c r="F592" s="11" t="str">
        <f>IFERROR(VLOOKUP(VENTAS[[#This Row],[Código del producto Vendido]],STOCK[],5,FALSE),"-")</f>
        <v>Falda de trabajo</v>
      </c>
      <c r="G592" s="11">
        <v>1</v>
      </c>
      <c r="H592" s="14">
        <v>15</v>
      </c>
      <c r="I592" s="14">
        <f>VENTAS[[#This Row],[Cantidad]]*VENTAS[[#This Row],[Precio Venta]]</f>
        <v>15</v>
      </c>
      <c r="J592" s="14">
        <f>IF(VENTAS[[#This Row],[Nombre del Gestor]]&gt;1,VENTAS[[#This Row],[Total]]*10%,0)</f>
        <v>0</v>
      </c>
      <c r="K592" s="14">
        <f>IFERROR(VLOOKUP(VENTAS[[#This Row],[Código del producto Vendido]],STOCK[],16,FALSE)*VENTAS[[#This Row],[Cantidad]]+VLOOKUP(VENTAS[[#This Row],[Código del producto Vendido]],STOCK[],19,FALSE)*VENTAS[[#This Row],[Cantidad]],VENTAS[[#This Row],[Total]])</f>
        <v>7.74863636363636</v>
      </c>
      <c r="L592" s="14">
        <f>VENTAS[[#This Row],[Total]]-VENTAS[[#This Row],[Comisión 10%]]-VENTAS[[#This Row],[Costo SIN Comision]]</f>
        <v>7.25136363636364</v>
      </c>
      <c r="M592" s="14"/>
    </row>
    <row r="593" ht="20" hidden="1" customHeight="1" spans="1:13">
      <c r="A593" s="10" t="s">
        <v>30</v>
      </c>
      <c r="B593" s="11">
        <f>IFERROR(VLOOKUP(VENTAS[[#This Row],[Código del producto Vendido]],STOCK[],25,FALSE),"-")</f>
        <v>0</v>
      </c>
      <c r="C593" s="11"/>
      <c r="D593" s="11"/>
      <c r="E593" s="11" t="s">
        <v>964</v>
      </c>
      <c r="F593" s="11" t="str">
        <f>IFERROR(VLOOKUP(VENTAS[[#This Row],[Código del producto Vendido]],STOCK[],5,FALSE),"-")</f>
        <v>Pantalón business básico</v>
      </c>
      <c r="G593" s="11">
        <v>1</v>
      </c>
      <c r="H593" s="14">
        <v>30</v>
      </c>
      <c r="I593" s="14">
        <f>VENTAS[[#This Row],[Cantidad]]*VENTAS[[#This Row],[Precio Venta]]</f>
        <v>30</v>
      </c>
      <c r="J593" s="14">
        <f>IF(VENTAS[[#This Row],[Nombre del Gestor]]&gt;1,VENTAS[[#This Row],[Total]]*10%,0)</f>
        <v>0</v>
      </c>
      <c r="K593" s="14">
        <f>IFERROR(VLOOKUP(VENTAS[[#This Row],[Código del producto Vendido]],STOCK[],16,FALSE)*VENTAS[[#This Row],[Cantidad]]+VLOOKUP(VENTAS[[#This Row],[Código del producto Vendido]],STOCK[],19,FALSE)*VENTAS[[#This Row],[Cantidad]],VENTAS[[#This Row],[Total]])</f>
        <v>21.3722727272727</v>
      </c>
      <c r="L593" s="14">
        <f>VENTAS[[#This Row],[Total]]-VENTAS[[#This Row],[Comisión 10%]]-VENTAS[[#This Row],[Costo SIN Comision]]</f>
        <v>8.6277272727273</v>
      </c>
      <c r="M593" s="14"/>
    </row>
    <row r="594" ht="20" hidden="1" customHeight="1" spans="1:13">
      <c r="A594" s="10" t="s">
        <v>30</v>
      </c>
      <c r="B594" s="11" t="str">
        <f>IFERROR(VLOOKUP(VENTAS[[#This Row],[Código del producto Vendido]],STOCK[],25,FALSE),"-")</f>
        <v>Recibido Freddy 24Mayo</v>
      </c>
      <c r="C594" s="11"/>
      <c r="D594" s="11"/>
      <c r="E594" s="11" t="s">
        <v>1015</v>
      </c>
      <c r="F594" s="11" t="str">
        <f>IFERROR(VLOOKUP(VENTAS[[#This Row],[Código del producto Vendido]],STOCK[],5,FALSE),"-")</f>
        <v>Set de sujetador con tira ajustable 2 paquetes</v>
      </c>
      <c r="G594" s="11">
        <v>1</v>
      </c>
      <c r="H594" s="14">
        <v>15</v>
      </c>
      <c r="I594" s="14">
        <f>VENTAS[[#This Row],[Cantidad]]*VENTAS[[#This Row],[Precio Venta]]</f>
        <v>15</v>
      </c>
      <c r="J594" s="14">
        <f>IF(VENTAS[[#This Row],[Nombre del Gestor]]&gt;1,VENTAS[[#This Row],[Total]]*10%,0)</f>
        <v>0</v>
      </c>
      <c r="K594" s="14">
        <f>IFERROR(VLOOKUP(VENTAS[[#This Row],[Código del producto Vendido]],STOCK[],16,FALSE)*VENTAS[[#This Row],[Cantidad]]+VLOOKUP(VENTAS[[#This Row],[Código del producto Vendido]],STOCK[],19,FALSE)*VENTAS[[#This Row],[Cantidad]],VENTAS[[#This Row],[Total]])</f>
        <v>7.69886363636364</v>
      </c>
      <c r="L594" s="14">
        <f>VENTAS[[#This Row],[Total]]-VENTAS[[#This Row],[Comisión 10%]]-VENTAS[[#This Row],[Costo SIN Comision]]</f>
        <v>7.30113636363636</v>
      </c>
      <c r="M594" s="14"/>
    </row>
    <row r="595" ht="20" hidden="1" customHeight="1" spans="1:13">
      <c r="A595" s="10" t="s">
        <v>30</v>
      </c>
      <c r="B595" s="11" t="str">
        <f>IFERROR(VLOOKUP(VENTAS[[#This Row],[Código del producto Vendido]],STOCK[],25,FALSE),"-")</f>
        <v>Recibido Freddy 12Mayo</v>
      </c>
      <c r="C595" s="11"/>
      <c r="D595" s="11"/>
      <c r="E595" s="11" t="s">
        <v>1032</v>
      </c>
      <c r="F595" s="11" t="str">
        <f>IFERROR(VLOOKUP(VENTAS[[#This Row],[Código del producto Vendido]],STOCK[],5,FALSE),"-")</f>
        <v>Sujetador Básico</v>
      </c>
      <c r="G595" s="11">
        <v>1</v>
      </c>
      <c r="H595" s="14">
        <v>12</v>
      </c>
      <c r="I595" s="14">
        <f>VENTAS[[#This Row],[Cantidad]]*VENTAS[[#This Row],[Precio Venta]]</f>
        <v>12</v>
      </c>
      <c r="J595" s="14">
        <f>IF(VENTAS[[#This Row],[Nombre del Gestor]]&gt;1,VENTAS[[#This Row],[Total]]*10%,0)</f>
        <v>0</v>
      </c>
      <c r="K595" s="14">
        <f>IFERROR(VLOOKUP(VENTAS[[#This Row],[Código del producto Vendido]],STOCK[],16,FALSE)*VENTAS[[#This Row],[Cantidad]]+VLOOKUP(VENTAS[[#This Row],[Código del producto Vendido]],STOCK[],19,FALSE)*VENTAS[[#This Row],[Cantidad]],VENTAS[[#This Row],[Total]])</f>
        <v>3.80340909090909</v>
      </c>
      <c r="L595" s="14">
        <f>VENTAS[[#This Row],[Total]]-VENTAS[[#This Row],[Comisión 10%]]-VENTAS[[#This Row],[Costo SIN Comision]]</f>
        <v>8.19659090909091</v>
      </c>
      <c r="M595" s="14"/>
    </row>
    <row r="596" ht="20" hidden="1" customHeight="1" spans="1:13">
      <c r="A596" s="10" t="s">
        <v>30</v>
      </c>
      <c r="B596" s="11">
        <f>IFERROR(VLOOKUP(VENTAS[[#This Row],[Código del producto Vendido]],STOCK[],25,FALSE),"-")</f>
        <v>0</v>
      </c>
      <c r="C596" s="11"/>
      <c r="D596" s="11"/>
      <c r="E596" s="11" t="s">
        <v>1052</v>
      </c>
      <c r="F596" s="11" t="str">
        <f>IFERROR(VLOOKUP(VENTAS[[#This Row],[Código del producto Vendido]],STOCK[],5,FALSE),"-")</f>
        <v>Pantaloneta Camel</v>
      </c>
      <c r="G596" s="11">
        <v>1</v>
      </c>
      <c r="H596" s="14">
        <v>30</v>
      </c>
      <c r="I596" s="14">
        <f>VENTAS[[#This Row],[Cantidad]]*VENTAS[[#This Row],[Precio Venta]]</f>
        <v>30</v>
      </c>
      <c r="J596" s="14">
        <f>IF(VENTAS[[#This Row],[Nombre del Gestor]]&gt;1,VENTAS[[#This Row],[Total]]*10%,0)</f>
        <v>0</v>
      </c>
      <c r="K596" s="14">
        <f>IFERROR(VLOOKUP(VENTAS[[#This Row],[Código del producto Vendido]],STOCK[],16,FALSE)*VENTAS[[#This Row],[Cantidad]]+VLOOKUP(VENTAS[[#This Row],[Código del producto Vendido]],STOCK[],19,FALSE)*VENTAS[[#This Row],[Cantidad]],VENTAS[[#This Row],[Total]])</f>
        <v>18.6477272727273</v>
      </c>
      <c r="L596" s="14">
        <f>VENTAS[[#This Row],[Total]]-VENTAS[[#This Row],[Comisión 10%]]-VENTAS[[#This Row],[Costo SIN Comision]]</f>
        <v>11.3522727272727</v>
      </c>
      <c r="M596" s="14"/>
    </row>
    <row r="597" ht="20" hidden="1" customHeight="1" spans="1:13">
      <c r="A597" s="10" t="s">
        <v>30</v>
      </c>
      <c r="B597" s="11">
        <f>IFERROR(VLOOKUP(VENTAS[[#This Row],[Código del producto Vendido]],STOCK[],25,FALSE),"-")</f>
        <v>0</v>
      </c>
      <c r="C597" s="11"/>
      <c r="D597" s="11"/>
      <c r="E597" s="11" t="s">
        <v>1315</v>
      </c>
      <c r="F597" s="11" t="str">
        <f>IFERROR(VLOOKUP(VENTAS[[#This Row],[Código del producto Vendido]],STOCK[],5,FALSE),"-")</f>
        <v>Blazer Crema</v>
      </c>
      <c r="G597" s="11">
        <v>1</v>
      </c>
      <c r="H597" s="14">
        <v>40</v>
      </c>
      <c r="I597" s="14">
        <f>VENTAS[[#This Row],[Cantidad]]*VENTAS[[#This Row],[Precio Venta]]</f>
        <v>40</v>
      </c>
      <c r="J597" s="14">
        <f>IF(VENTAS[[#This Row],[Nombre del Gestor]]&gt;1,VENTAS[[#This Row],[Total]]*10%,0)</f>
        <v>0</v>
      </c>
      <c r="K597" s="14">
        <f>IFERROR(VLOOKUP(VENTAS[[#This Row],[Código del producto Vendido]],STOCK[],16,FALSE)*VENTAS[[#This Row],[Cantidad]]+VLOOKUP(VENTAS[[#This Row],[Código del producto Vendido]],STOCK[],19,FALSE)*VENTAS[[#This Row],[Cantidad]],VENTAS[[#This Row],[Total]])</f>
        <v>30</v>
      </c>
      <c r="L597" s="14">
        <f>VENTAS[[#This Row],[Total]]-VENTAS[[#This Row],[Comisión 10%]]-VENTAS[[#This Row],[Costo SIN Comision]]</f>
        <v>10</v>
      </c>
      <c r="M597" s="14"/>
    </row>
    <row r="598" ht="20" hidden="1" customHeight="1" spans="1:13">
      <c r="A598" s="10" t="s">
        <v>30</v>
      </c>
      <c r="B598" s="11">
        <f>IFERROR(VLOOKUP(VENTAS[[#This Row],[Código del producto Vendido]],STOCK[],25,FALSE),"-")</f>
        <v>0</v>
      </c>
      <c r="C598" s="11"/>
      <c r="D598" s="11"/>
      <c r="E598" s="11" t="s">
        <v>1348</v>
      </c>
      <c r="F598" s="11" t="str">
        <f>IFERROR(VLOOKUP(VENTAS[[#This Row],[Código del producto Vendido]],STOCK[],5,FALSE),"-")</f>
        <v>Cardigan Amarillo</v>
      </c>
      <c r="G598" s="11">
        <v>1</v>
      </c>
      <c r="H598" s="14">
        <v>22</v>
      </c>
      <c r="I598" s="14">
        <f>VENTAS[[#This Row],[Cantidad]]*VENTAS[[#This Row],[Precio Venta]]</f>
        <v>22</v>
      </c>
      <c r="J598" s="14">
        <f>IF(VENTAS[[#This Row],[Nombre del Gestor]]&gt;1,VENTAS[[#This Row],[Total]]*10%,0)</f>
        <v>0</v>
      </c>
      <c r="K598" s="14">
        <f>IFERROR(VLOOKUP(VENTAS[[#This Row],[Código del producto Vendido]],STOCK[],16,FALSE)*VENTAS[[#This Row],[Cantidad]]+VLOOKUP(VENTAS[[#This Row],[Código del producto Vendido]],STOCK[],19,FALSE)*VENTAS[[#This Row],[Cantidad]],VENTAS[[#This Row],[Total]])</f>
        <v>15</v>
      </c>
      <c r="L598" s="14">
        <f>VENTAS[[#This Row],[Total]]-VENTAS[[#This Row],[Comisión 10%]]-VENTAS[[#This Row],[Costo SIN Comision]]</f>
        <v>7</v>
      </c>
      <c r="M598" s="14"/>
    </row>
    <row r="599" ht="20" hidden="1" customHeight="1" spans="1:13">
      <c r="A599" s="10" t="s">
        <v>30</v>
      </c>
      <c r="B599" s="11">
        <f>IFERROR(VLOOKUP(VENTAS[[#This Row],[Código del producto Vendido]],STOCK[],25,FALSE),"-")</f>
        <v>0</v>
      </c>
      <c r="C599" s="11"/>
      <c r="D599" s="11"/>
      <c r="E599" s="11" t="s">
        <v>1350</v>
      </c>
      <c r="F599" s="11" t="str">
        <f>IFERROR(VLOOKUP(VENTAS[[#This Row],[Código del producto Vendido]],STOCK[],5,FALSE),"-")</f>
        <v>Cardigan Amarillo</v>
      </c>
      <c r="G599" s="11">
        <v>1</v>
      </c>
      <c r="H599" s="14">
        <v>22</v>
      </c>
      <c r="I599" s="14">
        <f>VENTAS[[#This Row],[Cantidad]]*VENTAS[[#This Row],[Precio Venta]]</f>
        <v>22</v>
      </c>
      <c r="J599" s="14">
        <f>IF(VENTAS[[#This Row],[Nombre del Gestor]]&gt;1,VENTAS[[#This Row],[Total]]*10%,0)</f>
        <v>0</v>
      </c>
      <c r="K599" s="14">
        <f>IFERROR(VLOOKUP(VENTAS[[#This Row],[Código del producto Vendido]],STOCK[],16,FALSE)*VENTAS[[#This Row],[Cantidad]]+VLOOKUP(VENTAS[[#This Row],[Código del producto Vendido]],STOCK[],19,FALSE)*VENTAS[[#This Row],[Cantidad]],VENTAS[[#This Row],[Total]])</f>
        <v>15</v>
      </c>
      <c r="L599" s="14">
        <f>VENTAS[[#This Row],[Total]]-VENTAS[[#This Row],[Comisión 10%]]-VENTAS[[#This Row],[Costo SIN Comision]]</f>
        <v>7</v>
      </c>
      <c r="M599" s="14"/>
    </row>
    <row r="600" ht="20" hidden="1" customHeight="1" spans="1:13">
      <c r="A600" s="10" t="s">
        <v>30</v>
      </c>
      <c r="B600" s="11">
        <f>IFERROR(VLOOKUP(VENTAS[[#This Row],[Código del producto Vendido]],STOCK[],25,FALSE),"-")</f>
        <v>0</v>
      </c>
      <c r="C600" s="11"/>
      <c r="D600" s="11"/>
      <c r="E600" s="11" t="s">
        <v>1353</v>
      </c>
      <c r="F600" s="11" t="str">
        <f>IFERROR(VLOOKUP(VENTAS[[#This Row],[Código del producto Vendido]],STOCK[],5,FALSE),"-")</f>
        <v>Sweater rosa con mangas abiertas</v>
      </c>
      <c r="G600" s="11">
        <v>2</v>
      </c>
      <c r="H600" s="14">
        <v>22</v>
      </c>
      <c r="I600" s="14">
        <f>VENTAS[[#This Row],[Cantidad]]*VENTAS[[#This Row],[Precio Venta]]</f>
        <v>44</v>
      </c>
      <c r="J600" s="14">
        <f>IF(VENTAS[[#This Row],[Nombre del Gestor]]&gt;1,VENTAS[[#This Row],[Total]]*10%,0)</f>
        <v>0</v>
      </c>
      <c r="K600" s="14">
        <f>IFERROR(VLOOKUP(VENTAS[[#This Row],[Código del producto Vendido]],STOCK[],16,FALSE)*VENTAS[[#This Row],[Cantidad]]+VLOOKUP(VENTAS[[#This Row],[Código del producto Vendido]],STOCK[],19,FALSE)*VENTAS[[#This Row],[Cantidad]],VENTAS[[#This Row],[Total]])</f>
        <v>40</v>
      </c>
      <c r="L600" s="14">
        <f>VENTAS[[#This Row],[Total]]-VENTAS[[#This Row],[Comisión 10%]]-VENTAS[[#This Row],[Costo SIN Comision]]</f>
        <v>4</v>
      </c>
      <c r="M600" s="14"/>
    </row>
    <row r="601" ht="20" hidden="1" customHeight="1" spans="1:13">
      <c r="A601" s="10" t="s">
        <v>30</v>
      </c>
      <c r="B601" s="11">
        <f>IFERROR(VLOOKUP(VENTAS[[#This Row],[Código del producto Vendido]],STOCK[],25,FALSE),"-")</f>
        <v>0</v>
      </c>
      <c r="C601" s="11"/>
      <c r="D601" s="11"/>
      <c r="E601" s="11" t="s">
        <v>1568</v>
      </c>
      <c r="F601" s="11" t="str">
        <f>IFERROR(VLOOKUP(VENTAS[[#This Row],[Código del producto Vendido]],STOCK[],5,FALSE),"-")</f>
        <v>Blazer azul Rey</v>
      </c>
      <c r="G601" s="11">
        <v>1</v>
      </c>
      <c r="H601" s="14">
        <v>40</v>
      </c>
      <c r="I601" s="14">
        <f>VENTAS[[#This Row],[Cantidad]]*VENTAS[[#This Row],[Precio Venta]]</f>
        <v>40</v>
      </c>
      <c r="J601" s="14">
        <f>IF(VENTAS[[#This Row],[Nombre del Gestor]]&gt;1,VENTAS[[#This Row],[Total]]*10%,0)</f>
        <v>0</v>
      </c>
      <c r="K601" s="14">
        <f>IFERROR(VLOOKUP(VENTAS[[#This Row],[Código del producto Vendido]],STOCK[],16,FALSE)*VENTAS[[#This Row],[Cantidad]]+VLOOKUP(VENTAS[[#This Row],[Código del producto Vendido]],STOCK[],19,FALSE)*VENTAS[[#This Row],[Cantidad]],VENTAS[[#This Row],[Total]])</f>
        <v>20</v>
      </c>
      <c r="L601" s="14">
        <f>VENTAS[[#This Row],[Total]]-VENTAS[[#This Row],[Comisión 10%]]-VENTAS[[#This Row],[Costo SIN Comision]]</f>
        <v>20</v>
      </c>
      <c r="M601" s="14"/>
    </row>
    <row r="602" ht="20" hidden="1" customHeight="1" spans="1:13">
      <c r="A602" s="10" t="s">
        <v>30</v>
      </c>
      <c r="B602" s="11" t="str">
        <f>IFERROR(VLOOKUP(VENTAS[[#This Row],[Código del producto Vendido]],STOCK[],25,FALSE),"-")</f>
        <v>COMPRA F21</v>
      </c>
      <c r="C602" s="11"/>
      <c r="D602" s="11"/>
      <c r="E602" s="11" t="s">
        <v>1446</v>
      </c>
      <c r="F602" s="11" t="str">
        <f>IFERROR(VLOOKUP(VENTAS[[#This Row],[Código del producto Vendido]],STOCK[],5,FALSE),"-")</f>
        <v>Mocasín con herrajes</v>
      </c>
      <c r="G602" s="11">
        <v>1</v>
      </c>
      <c r="H602" s="14">
        <v>43</v>
      </c>
      <c r="I602" s="14">
        <f>VENTAS[[#This Row],[Cantidad]]*VENTAS[[#This Row],[Precio Venta]]</f>
        <v>43</v>
      </c>
      <c r="J602" s="14">
        <f>IF(VENTAS[[#This Row],[Nombre del Gestor]]&gt;1,VENTAS[[#This Row],[Total]]*10%,0)</f>
        <v>0</v>
      </c>
      <c r="K602" s="14">
        <f>IFERROR(VLOOKUP(VENTAS[[#This Row],[Código del producto Vendido]],STOCK[],16,FALSE)*VENTAS[[#This Row],[Cantidad]]+VLOOKUP(VENTAS[[#This Row],[Código del producto Vendido]],STOCK[],19,FALSE)*VENTAS[[#This Row],[Cantidad]],VENTAS[[#This Row],[Total]])</f>
        <v>27.49</v>
      </c>
      <c r="L602" s="14">
        <f>VENTAS[[#This Row],[Total]]-VENTAS[[#This Row],[Comisión 10%]]-VENTAS[[#This Row],[Costo SIN Comision]]</f>
        <v>15.51</v>
      </c>
      <c r="M602" s="14"/>
    </row>
    <row r="603" ht="20" hidden="1" customHeight="1" spans="1:13">
      <c r="A603" s="10" t="s">
        <v>30</v>
      </c>
      <c r="B603" s="11" t="str">
        <f>IFERROR(VLOOKUP(VENTAS[[#This Row],[Código del producto Vendido]],STOCK[],25,FALSE),"-")</f>
        <v>COMPRA F21</v>
      </c>
      <c r="C603" s="11"/>
      <c r="D603" s="11"/>
      <c r="E603" s="11" t="s">
        <v>1449</v>
      </c>
      <c r="F603" s="11" t="str">
        <f>IFERROR(VLOOKUP(VENTAS[[#This Row],[Código del producto Vendido]],STOCK[],5,FALSE),"-")</f>
        <v>Mocasín con herrajes</v>
      </c>
      <c r="G603" s="11">
        <v>1</v>
      </c>
      <c r="H603" s="14">
        <v>43</v>
      </c>
      <c r="I603" s="14">
        <f>VENTAS[[#This Row],[Cantidad]]*VENTAS[[#This Row],[Precio Venta]]</f>
        <v>43</v>
      </c>
      <c r="J603" s="14">
        <f>IF(VENTAS[[#This Row],[Nombre del Gestor]]&gt;1,VENTAS[[#This Row],[Total]]*10%,0)</f>
        <v>0</v>
      </c>
      <c r="K603" s="14">
        <f>IFERROR(VLOOKUP(VENTAS[[#This Row],[Código del producto Vendido]],STOCK[],16,FALSE)*VENTAS[[#This Row],[Cantidad]]+VLOOKUP(VENTAS[[#This Row],[Código del producto Vendido]],STOCK[],19,FALSE)*VENTAS[[#This Row],[Cantidad]],VENTAS[[#This Row],[Total]])</f>
        <v>27.49</v>
      </c>
      <c r="L603" s="14">
        <f>VENTAS[[#This Row],[Total]]-VENTAS[[#This Row],[Comisión 10%]]-VENTAS[[#This Row],[Costo SIN Comision]]</f>
        <v>15.51</v>
      </c>
      <c r="M603" s="14"/>
    </row>
    <row r="604" ht="20" hidden="1" customHeight="1" spans="1:13">
      <c r="A604" s="10" t="s">
        <v>30</v>
      </c>
      <c r="B604" s="11" t="str">
        <f>IFERROR(VLOOKUP(VENTAS[[#This Row],[Código del producto Vendido]],STOCK[],25,FALSE),"-")</f>
        <v>COMPRA F21</v>
      </c>
      <c r="C604" s="11"/>
      <c r="D604" s="11"/>
      <c r="E604" s="11" t="s">
        <v>1450</v>
      </c>
      <c r="F604" s="11" t="str">
        <f>IFERROR(VLOOKUP(VENTAS[[#This Row],[Código del producto Vendido]],STOCK[],5,FALSE),"-")</f>
        <v>Sandalias minimalistas de plataforma</v>
      </c>
      <c r="G604" s="11">
        <v>1</v>
      </c>
      <c r="H604" s="14">
        <v>30</v>
      </c>
      <c r="I604" s="14">
        <f>VENTAS[[#This Row],[Cantidad]]*VENTAS[[#This Row],[Precio Venta]]</f>
        <v>30</v>
      </c>
      <c r="J604" s="14">
        <f>IF(VENTAS[[#This Row],[Nombre del Gestor]]&gt;1,VENTAS[[#This Row],[Total]]*10%,0)</f>
        <v>0</v>
      </c>
      <c r="K604" s="14">
        <f>IFERROR(VLOOKUP(VENTAS[[#This Row],[Código del producto Vendido]],STOCK[],16,FALSE)*VENTAS[[#This Row],[Cantidad]]+VLOOKUP(VENTAS[[#This Row],[Código del producto Vendido]],STOCK[],19,FALSE)*VENTAS[[#This Row],[Cantidad]],VENTAS[[#This Row],[Total]])</f>
        <v>22.49</v>
      </c>
      <c r="L604" s="14">
        <f>VENTAS[[#This Row],[Total]]-VENTAS[[#This Row],[Comisión 10%]]-VENTAS[[#This Row],[Costo SIN Comision]]</f>
        <v>7.51</v>
      </c>
      <c r="M604" s="14"/>
    </row>
    <row r="605" ht="20" hidden="1" customHeight="1" spans="1:13">
      <c r="A605" s="10" t="s">
        <v>30</v>
      </c>
      <c r="B605" s="11">
        <f>IFERROR(VLOOKUP(VENTAS[[#This Row],[Código del producto Vendido]],STOCK[],25,FALSE),"-")</f>
        <v>0</v>
      </c>
      <c r="C605" s="11"/>
      <c r="D605" s="11"/>
      <c r="E605" s="11" t="s">
        <v>752</v>
      </c>
      <c r="F605" s="11" t="str">
        <f>IFERROR(VLOOKUP(VENTAS[[#This Row],[Código del producto Vendido]],STOCK[],5,FALSE),"-")</f>
        <v>Sandalias trenzadas</v>
      </c>
      <c r="G605" s="11">
        <v>1</v>
      </c>
      <c r="H605" s="14">
        <v>35</v>
      </c>
      <c r="I605" s="14">
        <f>VENTAS[[#This Row],[Cantidad]]*VENTAS[[#This Row],[Precio Venta]]</f>
        <v>35</v>
      </c>
      <c r="J605" s="14">
        <f>IF(VENTAS[[#This Row],[Nombre del Gestor]]&gt;1,VENTAS[[#This Row],[Total]]*10%,0)</f>
        <v>0</v>
      </c>
      <c r="K605" s="14">
        <f>IFERROR(VLOOKUP(VENTAS[[#This Row],[Código del producto Vendido]],STOCK[],16,FALSE)*VENTAS[[#This Row],[Cantidad]]+VLOOKUP(VENTAS[[#This Row],[Código del producto Vendido]],STOCK[],19,FALSE)*VENTAS[[#This Row],[Cantidad]],VENTAS[[#This Row],[Total]])</f>
        <v>27</v>
      </c>
      <c r="L605" s="14">
        <f>VENTAS[[#This Row],[Total]]-VENTAS[[#This Row],[Comisión 10%]]-VENTAS[[#This Row],[Costo SIN Comision]]</f>
        <v>8</v>
      </c>
      <c r="M605" s="14"/>
    </row>
    <row r="606" ht="20" hidden="1" customHeight="1" spans="1:13">
      <c r="A606" s="10" t="s">
        <v>30</v>
      </c>
      <c r="B606" s="11">
        <f>IFERROR(VLOOKUP(VENTAS[[#This Row],[Código del producto Vendido]],STOCK[],25,FALSE),"-")</f>
        <v>0</v>
      </c>
      <c r="C606" s="11"/>
      <c r="D606" s="11"/>
      <c r="E606" s="11" t="s">
        <v>728</v>
      </c>
      <c r="F606" s="11" t="str">
        <f>IFERROR(VLOOKUP(VENTAS[[#This Row],[Código del producto Vendido]],STOCK[],5,FALSE),"-")</f>
        <v>Top acanalado sin mangas</v>
      </c>
      <c r="G606" s="11">
        <v>1</v>
      </c>
      <c r="H606" s="14">
        <v>10</v>
      </c>
      <c r="I606" s="14">
        <f>VENTAS[[#This Row],[Cantidad]]*VENTAS[[#This Row],[Precio Venta]]</f>
        <v>10</v>
      </c>
      <c r="J606" s="14">
        <f>IF(VENTAS[[#This Row],[Nombre del Gestor]]&gt;1,VENTAS[[#This Row],[Total]]*10%,0)</f>
        <v>0</v>
      </c>
      <c r="K606" s="14">
        <f>IFERROR(VLOOKUP(VENTAS[[#This Row],[Código del producto Vendido]],STOCK[],16,FALSE)*VENTAS[[#This Row],[Cantidad]]+VLOOKUP(VENTAS[[#This Row],[Código del producto Vendido]],STOCK[],19,FALSE)*VENTAS[[#This Row],[Cantidad]],VENTAS[[#This Row],[Total]])</f>
        <v>5.02222222222222</v>
      </c>
      <c r="L606" s="14">
        <f>VENTAS[[#This Row],[Total]]-VENTAS[[#This Row],[Comisión 10%]]-VENTAS[[#This Row],[Costo SIN Comision]]</f>
        <v>4.97777777777778</v>
      </c>
      <c r="M606" s="14"/>
    </row>
    <row r="607" ht="20" hidden="1" customHeight="1" spans="1:13">
      <c r="A607" s="10" t="s">
        <v>30</v>
      </c>
      <c r="B607" s="11" t="str">
        <f>IFERROR(VLOOKUP(VENTAS[[#This Row],[Código del producto Vendido]],STOCK[],25,FALSE),"-")</f>
        <v>-</v>
      </c>
      <c r="C607" s="11"/>
      <c r="D607" s="11"/>
      <c r="E607" s="11" t="s">
        <v>4214</v>
      </c>
      <c r="F607" s="11" t="str">
        <f>IFERROR(VLOOKUP(VENTAS[[#This Row],[Código del producto Vendido]],STOCK[],5,FALSE),"-")</f>
        <v>-</v>
      </c>
      <c r="G607" s="11">
        <v>1</v>
      </c>
      <c r="H607" s="14">
        <v>23</v>
      </c>
      <c r="I607" s="14">
        <f>VENTAS[[#This Row],[Cantidad]]*VENTAS[[#This Row],[Precio Venta]]</f>
        <v>23</v>
      </c>
      <c r="J607" s="14">
        <f>IF(VENTAS[[#This Row],[Nombre del Gestor]]&gt;1,VENTAS[[#This Row],[Total]]*10%,0)</f>
        <v>0</v>
      </c>
      <c r="K607" s="14">
        <f>IFERROR(VLOOKUP(VENTAS[[#This Row],[Código del producto Vendido]],STOCK[],16,FALSE)*VENTAS[[#This Row],[Cantidad]]+VLOOKUP(VENTAS[[#This Row],[Código del producto Vendido]],STOCK[],19,FALSE)*VENTAS[[#This Row],[Cantidad]],VENTAS[[#This Row],[Total]])</f>
        <v>23</v>
      </c>
      <c r="L607" s="14">
        <f>VENTAS[[#This Row],[Total]]-VENTAS[[#This Row],[Comisión 10%]]-VENTAS[[#This Row],[Costo SIN Comision]]</f>
        <v>0</v>
      </c>
      <c r="M607" s="14"/>
    </row>
    <row r="608" ht="20" hidden="1" customHeight="1" spans="1:13">
      <c r="A608" s="10" t="s">
        <v>30</v>
      </c>
      <c r="B608" s="11">
        <f>IFERROR(VLOOKUP(VENTAS[[#This Row],[Código del producto Vendido]],STOCK[],25,FALSE),"-")</f>
        <v>0</v>
      </c>
      <c r="C608" s="11"/>
      <c r="D608" s="11"/>
      <c r="E608" s="11" t="s">
        <v>1556</v>
      </c>
      <c r="F608" s="11" t="str">
        <f>IFERROR(VLOOKUP(VENTAS[[#This Row],[Código del producto Vendido]],STOCK[],5,FALSE),"-")</f>
        <v>Botas Chalsesa</v>
      </c>
      <c r="G608" s="11">
        <v>1</v>
      </c>
      <c r="H608" s="14">
        <v>90</v>
      </c>
      <c r="I608" s="14">
        <f>VENTAS[[#This Row],[Cantidad]]*VENTAS[[#This Row],[Precio Venta]]</f>
        <v>90</v>
      </c>
      <c r="J608" s="14">
        <f>IF(VENTAS[[#This Row],[Nombre del Gestor]]&gt;1,VENTAS[[#This Row],[Total]]*10%,0)</f>
        <v>0</v>
      </c>
      <c r="K608" s="14">
        <f>IFERROR(VLOOKUP(VENTAS[[#This Row],[Código del producto Vendido]],STOCK[],16,FALSE)*VENTAS[[#This Row],[Cantidad]]+VLOOKUP(VENTAS[[#This Row],[Código del producto Vendido]],STOCK[],19,FALSE)*VENTAS[[#This Row],[Cantidad]],VENTAS[[#This Row],[Total]])</f>
        <v>78</v>
      </c>
      <c r="L608" s="14">
        <f>VENTAS[[#This Row],[Total]]-VENTAS[[#This Row],[Comisión 10%]]-VENTAS[[#This Row],[Costo SIN Comision]]</f>
        <v>12</v>
      </c>
      <c r="M608" s="14"/>
    </row>
    <row r="609" ht="20" hidden="1" customHeight="1" spans="1:13">
      <c r="A609" s="10" t="s">
        <v>30</v>
      </c>
      <c r="B609" s="11">
        <f>IFERROR(VLOOKUP(VENTAS[[#This Row],[Código del producto Vendido]],STOCK[],25,FALSE),"-")</f>
        <v>0</v>
      </c>
      <c r="C609" s="11"/>
      <c r="D609" s="11"/>
      <c r="E609" s="11" t="s">
        <v>1568</v>
      </c>
      <c r="F609" s="11" t="str">
        <f>IFERROR(VLOOKUP(VENTAS[[#This Row],[Código del producto Vendido]],STOCK[],5,FALSE),"-")</f>
        <v>Blazer azul Rey</v>
      </c>
      <c r="G609" s="11">
        <v>1</v>
      </c>
      <c r="H609" s="14">
        <v>40</v>
      </c>
      <c r="I609" s="14">
        <f>VENTAS[[#This Row],[Cantidad]]*VENTAS[[#This Row],[Precio Venta]]</f>
        <v>40</v>
      </c>
      <c r="J609" s="14">
        <f>IF(VENTAS[[#This Row],[Nombre del Gestor]]&gt;1,VENTAS[[#This Row],[Total]]*10%,0)</f>
        <v>0</v>
      </c>
      <c r="K609" s="14">
        <f>IFERROR(VLOOKUP(VENTAS[[#This Row],[Código del producto Vendido]],STOCK[],16,FALSE)*VENTAS[[#This Row],[Cantidad]]+VLOOKUP(VENTAS[[#This Row],[Código del producto Vendido]],STOCK[],19,FALSE)*VENTAS[[#This Row],[Cantidad]],VENTAS[[#This Row],[Total]])</f>
        <v>20</v>
      </c>
      <c r="L609" s="14">
        <f>VENTAS[[#This Row],[Total]]-VENTAS[[#This Row],[Comisión 10%]]-VENTAS[[#This Row],[Costo SIN Comision]]</f>
        <v>20</v>
      </c>
      <c r="M609" s="14"/>
    </row>
    <row r="610" ht="20" hidden="1" customHeight="1" spans="1:13">
      <c r="A610" s="10" t="s">
        <v>30</v>
      </c>
      <c r="B610" s="11">
        <f>IFERROR(VLOOKUP(VENTAS[[#This Row],[Código del producto Vendido]],STOCK[],25,FALSE),"-")</f>
        <v>0</v>
      </c>
      <c r="C610" s="11"/>
      <c r="D610" s="11"/>
      <c r="E610" s="11" t="s">
        <v>728</v>
      </c>
      <c r="F610" s="11" t="str">
        <f>IFERROR(VLOOKUP(VENTAS[[#This Row],[Código del producto Vendido]],STOCK[],5,FALSE),"-")</f>
        <v>Top acanalado sin mangas</v>
      </c>
      <c r="G610" s="11">
        <v>1</v>
      </c>
      <c r="H610" s="14">
        <v>10</v>
      </c>
      <c r="I610" s="14">
        <f>VENTAS[[#This Row],[Cantidad]]*VENTAS[[#This Row],[Precio Venta]]</f>
        <v>10</v>
      </c>
      <c r="J610" s="14">
        <f>IF(VENTAS[[#This Row],[Nombre del Gestor]]&gt;1,VENTAS[[#This Row],[Total]]*10%,0)</f>
        <v>0</v>
      </c>
      <c r="K610" s="14">
        <f>IFERROR(VLOOKUP(VENTAS[[#This Row],[Código del producto Vendido]],STOCK[],16,FALSE)*VENTAS[[#This Row],[Cantidad]]+VLOOKUP(VENTAS[[#This Row],[Código del producto Vendido]],STOCK[],19,FALSE)*VENTAS[[#This Row],[Cantidad]],VENTAS[[#This Row],[Total]])</f>
        <v>5.02222222222222</v>
      </c>
      <c r="L610" s="14">
        <f>VENTAS[[#This Row],[Total]]-VENTAS[[#This Row],[Comisión 10%]]-VENTAS[[#This Row],[Costo SIN Comision]]</f>
        <v>4.97777777777778</v>
      </c>
      <c r="M610" s="14"/>
    </row>
    <row r="611" ht="20" hidden="1" customHeight="1" spans="1:13">
      <c r="A611" s="10" t="s">
        <v>4215</v>
      </c>
      <c r="B611" s="11">
        <f>IFERROR(VLOOKUP(VENTAS[[#This Row],[Código del producto Vendido]],STOCK[],25,FALSE),"-")</f>
        <v>0</v>
      </c>
      <c r="C611" s="11"/>
      <c r="D611" s="11"/>
      <c r="E611" s="11" t="s">
        <v>362</v>
      </c>
      <c r="F611" s="11" t="str">
        <f>IFERROR(VLOOKUP(VENTAS[[#This Row],[Código del producto Vendido]],STOCK[],5,FALSE),"-")</f>
        <v>Pantalones tejido de rayas </v>
      </c>
      <c r="G611" s="11">
        <v>1</v>
      </c>
      <c r="H611" s="14">
        <v>30</v>
      </c>
      <c r="I611" s="14">
        <f>VENTAS[[#This Row],[Cantidad]]*VENTAS[[#This Row],[Precio Venta]]</f>
        <v>30</v>
      </c>
      <c r="J611" s="14">
        <f>IF(VENTAS[[#This Row],[Nombre del Gestor]]&gt;1,VENTAS[[#This Row],[Total]]*10%,0)</f>
        <v>0</v>
      </c>
      <c r="K611" s="14">
        <f>IFERROR(VLOOKUP(VENTAS[[#This Row],[Código del producto Vendido]],STOCK[],16,FALSE)*VENTAS[[#This Row],[Cantidad]]+VLOOKUP(VENTAS[[#This Row],[Código del producto Vendido]],STOCK[],19,FALSE)*VENTAS[[#This Row],[Cantidad]],VENTAS[[#This Row],[Total]])</f>
        <v>12.8833333333333</v>
      </c>
      <c r="L611" s="14">
        <f>VENTAS[[#This Row],[Total]]-VENTAS[[#This Row],[Comisión 10%]]-VENTAS[[#This Row],[Costo SIN Comision]]</f>
        <v>17.1166666666667</v>
      </c>
      <c r="M611" s="14"/>
    </row>
    <row r="612" ht="20" hidden="1" customHeight="1" spans="1:13">
      <c r="A612" s="10" t="s">
        <v>4215</v>
      </c>
      <c r="B612" s="11">
        <f>IFERROR(VLOOKUP(VENTAS[[#This Row],[Código del producto Vendido]],STOCK[],25,FALSE),"-")</f>
        <v>0</v>
      </c>
      <c r="C612" s="11"/>
      <c r="D612" s="11" t="s">
        <v>4216</v>
      </c>
      <c r="E612" s="11" t="s">
        <v>154</v>
      </c>
      <c r="F612" s="11" t="str">
        <f>IFERROR(VLOOKUP(VENTAS[[#This Row],[Código del producto Vendido]],STOCK[],5,FALSE),"-")</f>
        <v>Jeans de pierna recta desgarro</v>
      </c>
      <c r="G612" s="11">
        <v>1</v>
      </c>
      <c r="H612" s="14">
        <v>30</v>
      </c>
      <c r="I612" s="14">
        <f>VENTAS[[#This Row],[Cantidad]]*VENTAS[[#This Row],[Precio Venta]]</f>
        <v>30</v>
      </c>
      <c r="J612" s="14">
        <f>IF(VENTAS[[#This Row],[Nombre del Gestor]]&gt;1,VENTAS[[#This Row],[Total]]*10%,0)</f>
        <v>3</v>
      </c>
      <c r="K612" s="14">
        <f>IFERROR(VLOOKUP(VENTAS[[#This Row],[Código del producto Vendido]],STOCK[],16,FALSE)*VENTAS[[#This Row],[Cantidad]]+VLOOKUP(VENTAS[[#This Row],[Código del producto Vendido]],STOCK[],19,FALSE)*VENTAS[[#This Row],[Cantidad]],VENTAS[[#This Row],[Total]])</f>
        <v>18.6866666666667</v>
      </c>
      <c r="L612" s="14">
        <f>VENTAS[[#This Row],[Total]]-VENTAS[[#This Row],[Comisión 10%]]-VENTAS[[#This Row],[Costo SIN Comision]]</f>
        <v>8.31333333333333</v>
      </c>
      <c r="M612" s="14"/>
    </row>
    <row r="613" ht="20" hidden="1" customHeight="1" spans="1:13">
      <c r="A613" s="10" t="s">
        <v>4215</v>
      </c>
      <c r="B613" s="11">
        <f>IFERROR(VLOOKUP(VENTAS[[#This Row],[Código del producto Vendido]],STOCK[],25,FALSE),"-")</f>
        <v>0</v>
      </c>
      <c r="C613" s="11"/>
      <c r="D613" s="11"/>
      <c r="E613" s="11" t="s">
        <v>154</v>
      </c>
      <c r="F613" s="11" t="str">
        <f>IFERROR(VLOOKUP(VENTAS[[#This Row],[Código del producto Vendido]],STOCK[],5,FALSE),"-")</f>
        <v>Jeans de pierna recta desgarro</v>
      </c>
      <c r="G613" s="11">
        <v>1</v>
      </c>
      <c r="H613" s="14">
        <v>30</v>
      </c>
      <c r="I613" s="14">
        <f>VENTAS[[#This Row],[Cantidad]]*VENTAS[[#This Row],[Precio Venta]]</f>
        <v>30</v>
      </c>
      <c r="J613" s="14">
        <f>IF(VENTAS[[#This Row],[Nombre del Gestor]]&gt;1,VENTAS[[#This Row],[Total]]*10%,0)</f>
        <v>0</v>
      </c>
      <c r="K613" s="14">
        <f>IFERROR(VLOOKUP(VENTAS[[#This Row],[Código del producto Vendido]],STOCK[],16,FALSE)*VENTAS[[#This Row],[Cantidad]]+VLOOKUP(VENTAS[[#This Row],[Código del producto Vendido]],STOCK[],19,FALSE)*VENTAS[[#This Row],[Cantidad]],VENTAS[[#This Row],[Total]])</f>
        <v>18.6866666666667</v>
      </c>
      <c r="L613" s="14">
        <f>VENTAS[[#This Row],[Total]]-VENTAS[[#This Row],[Comisión 10%]]-VENTAS[[#This Row],[Costo SIN Comision]]</f>
        <v>11.3133333333333</v>
      </c>
      <c r="M613" s="14"/>
    </row>
    <row r="614" ht="20" hidden="1" customHeight="1" spans="1:13">
      <c r="A614" s="10" t="s">
        <v>4215</v>
      </c>
      <c r="B614" s="11" t="str">
        <f>IFERROR(VLOOKUP(VENTAS[[#This Row],[Código del producto Vendido]],STOCK[],25,FALSE),"-")</f>
        <v>Yenma 19 Mayo</v>
      </c>
      <c r="C614" s="11"/>
      <c r="D614" s="11" t="s">
        <v>4216</v>
      </c>
      <c r="E614" s="11" t="s">
        <v>264</v>
      </c>
      <c r="F614" s="11" t="str">
        <f>IFERROR(VLOOKUP(VENTAS[[#This Row],[Código del producto Vendido]],STOCK[],5,FALSE),"-")</f>
        <v>Blusas Botón Floral Casual</v>
      </c>
      <c r="G614" s="11">
        <v>1</v>
      </c>
      <c r="H614" s="14">
        <v>14</v>
      </c>
      <c r="I614" s="14">
        <f>VENTAS[[#This Row],[Cantidad]]*VENTAS[[#This Row],[Precio Venta]]</f>
        <v>14</v>
      </c>
      <c r="J614" s="14">
        <f>IF(VENTAS[[#This Row],[Nombre del Gestor]]&gt;1,VENTAS[[#This Row],[Total]]*10%,0)</f>
        <v>1.4</v>
      </c>
      <c r="K614" s="14">
        <f>IFERROR(VLOOKUP(VENTAS[[#This Row],[Código del producto Vendido]],STOCK[],16,FALSE)*VENTAS[[#This Row],[Cantidad]]+VLOOKUP(VENTAS[[#This Row],[Código del producto Vendido]],STOCK[],19,FALSE)*VENTAS[[#This Row],[Cantidad]],VENTAS[[#This Row],[Total]])</f>
        <v>8.26222222222222</v>
      </c>
      <c r="L614" s="14">
        <f>VENTAS[[#This Row],[Total]]-VENTAS[[#This Row],[Comisión 10%]]-VENTAS[[#This Row],[Costo SIN Comision]]</f>
        <v>4.33777777777778</v>
      </c>
      <c r="M614" s="14"/>
    </row>
    <row r="615" ht="20" hidden="1" customHeight="1" spans="1:13">
      <c r="A615" s="10" t="s">
        <v>4215</v>
      </c>
      <c r="B615" s="11" t="str">
        <f>IFERROR(VLOOKUP(VENTAS[[#This Row],[Código del producto Vendido]],STOCK[],25,FALSE),"-")</f>
        <v>Recibido Freddy 12Mayo</v>
      </c>
      <c r="C615" s="11"/>
      <c r="D615" s="11"/>
      <c r="E615" s="11" t="s">
        <v>904</v>
      </c>
      <c r="F615" s="11" t="str">
        <f>IFERROR(VLOOKUP(VENTAS[[#This Row],[Código del producto Vendido]],STOCK[],5,FALSE),"-")</f>
        <v>Maxi Vestido Fruncido</v>
      </c>
      <c r="G615" s="11">
        <v>1</v>
      </c>
      <c r="H615" s="14">
        <v>35</v>
      </c>
      <c r="I615" s="14">
        <f>VENTAS[[#This Row],[Cantidad]]*VENTAS[[#This Row],[Precio Venta]]</f>
        <v>35</v>
      </c>
      <c r="J615" s="14">
        <f>IF(VENTAS[[#This Row],[Nombre del Gestor]]&gt;1,VENTAS[[#This Row],[Total]]*10%,0)</f>
        <v>0</v>
      </c>
      <c r="K615" s="14">
        <f>IFERROR(VLOOKUP(VENTAS[[#This Row],[Código del producto Vendido]],STOCK[],16,FALSE)*VENTAS[[#This Row],[Cantidad]]+VLOOKUP(VENTAS[[#This Row],[Código del producto Vendido]],STOCK[],19,FALSE)*VENTAS[[#This Row],[Cantidad]],VENTAS[[#This Row],[Total]])</f>
        <v>21.4563636363636</v>
      </c>
      <c r="L615" s="14">
        <f>VENTAS[[#This Row],[Total]]-VENTAS[[#This Row],[Comisión 10%]]-VENTAS[[#This Row],[Costo SIN Comision]]</f>
        <v>13.5436363636364</v>
      </c>
      <c r="M615" s="14"/>
    </row>
    <row r="616" ht="20" hidden="1" customHeight="1" spans="1:13">
      <c r="A616" s="10" t="s">
        <v>4215</v>
      </c>
      <c r="B616" s="11">
        <f>IFERROR(VLOOKUP(VENTAS[[#This Row],[Código del producto Vendido]],STOCK[],25,FALSE),"-")</f>
        <v>0</v>
      </c>
      <c r="C616" s="11"/>
      <c r="D616" s="11"/>
      <c r="E616" s="11" t="s">
        <v>964</v>
      </c>
      <c r="F616" s="11" t="str">
        <f>IFERROR(VLOOKUP(VENTAS[[#This Row],[Código del producto Vendido]],STOCK[],5,FALSE),"-")</f>
        <v>Pantalón business básico</v>
      </c>
      <c r="G616" s="11">
        <v>1</v>
      </c>
      <c r="H616" s="14">
        <v>28</v>
      </c>
      <c r="I616" s="14">
        <f>VENTAS[[#This Row],[Cantidad]]*VENTAS[[#This Row],[Precio Venta]]</f>
        <v>28</v>
      </c>
      <c r="J616" s="14">
        <f>IF(VENTAS[[#This Row],[Nombre del Gestor]]&gt;1,VENTAS[[#This Row],[Total]]*10%,0)</f>
        <v>0</v>
      </c>
      <c r="K616" s="14">
        <f>IFERROR(VLOOKUP(VENTAS[[#This Row],[Código del producto Vendido]],STOCK[],16,FALSE)*VENTAS[[#This Row],[Cantidad]]+VLOOKUP(VENTAS[[#This Row],[Código del producto Vendido]],STOCK[],19,FALSE)*VENTAS[[#This Row],[Cantidad]],VENTAS[[#This Row],[Total]])</f>
        <v>21.3722727272727</v>
      </c>
      <c r="L616" s="14">
        <f>VENTAS[[#This Row],[Total]]-VENTAS[[#This Row],[Comisión 10%]]-VENTAS[[#This Row],[Costo SIN Comision]]</f>
        <v>6.6277272727273</v>
      </c>
      <c r="M616" s="14"/>
    </row>
    <row r="617" ht="20" hidden="1" customHeight="1" spans="1:13">
      <c r="A617" s="10" t="s">
        <v>4215</v>
      </c>
      <c r="B617" s="11" t="str">
        <f>IFERROR(VLOOKUP(VENTAS[[#This Row],[Código del producto Vendido]],STOCK[],25,FALSE),"-")</f>
        <v>Recibido Freddy 12 junio</v>
      </c>
      <c r="C617" s="11"/>
      <c r="D617" s="11"/>
      <c r="E617" s="11" t="s">
        <v>1085</v>
      </c>
      <c r="F617" s="11" t="str">
        <f>IFERROR(VLOOKUP(VENTAS[[#This Row],[Código del producto Vendido]],STOCK[],5,FALSE),"-")</f>
        <v>Camisero blanco con pinzas</v>
      </c>
      <c r="G617" s="11">
        <v>1</v>
      </c>
      <c r="H617" s="14">
        <v>25</v>
      </c>
      <c r="I617" s="14">
        <f>VENTAS[[#This Row],[Cantidad]]*VENTAS[[#This Row],[Precio Venta]]</f>
        <v>25</v>
      </c>
      <c r="J617" s="14">
        <f>IF(VENTAS[[#This Row],[Nombre del Gestor]]&gt;1,VENTAS[[#This Row],[Total]]*10%,0)</f>
        <v>0</v>
      </c>
      <c r="K617" s="14">
        <f>IFERROR(VLOOKUP(VENTAS[[#This Row],[Código del producto Vendido]],STOCK[],16,FALSE)*VENTAS[[#This Row],[Cantidad]]+VLOOKUP(VENTAS[[#This Row],[Código del producto Vendido]],STOCK[],19,FALSE)*VENTAS[[#This Row],[Cantidad]],VENTAS[[#This Row],[Total]])</f>
        <v>16.8</v>
      </c>
      <c r="L617" s="14">
        <f>VENTAS[[#This Row],[Total]]-VENTAS[[#This Row],[Comisión 10%]]-VENTAS[[#This Row],[Costo SIN Comision]]</f>
        <v>8.2</v>
      </c>
      <c r="M617" s="14"/>
    </row>
    <row r="618" ht="20" hidden="1" customHeight="1" spans="1:13">
      <c r="A618" s="10" t="s">
        <v>4215</v>
      </c>
      <c r="B618" s="11" t="str">
        <f>IFERROR(VLOOKUP(VENTAS[[#This Row],[Código del producto Vendido]],STOCK[],25,FALSE),"-")</f>
        <v>Viaje Agosto</v>
      </c>
      <c r="C618" s="11"/>
      <c r="D618" s="11"/>
      <c r="E618" s="11" t="s">
        <v>1211</v>
      </c>
      <c r="F618" s="11" t="str">
        <f>IFERROR(VLOOKUP(VENTAS[[#This Row],[Código del producto Vendido]],STOCK[],5,FALSE),"-")</f>
        <v>Falda negra con flores y abertura</v>
      </c>
      <c r="G618" s="11">
        <v>1</v>
      </c>
      <c r="H618" s="14">
        <v>19</v>
      </c>
      <c r="I618" s="14">
        <f>VENTAS[[#This Row],[Cantidad]]*VENTAS[[#This Row],[Precio Venta]]</f>
        <v>19</v>
      </c>
      <c r="J618" s="14">
        <f>IF(VENTAS[[#This Row],[Nombre del Gestor]]&gt;1,VENTAS[[#This Row],[Total]]*10%,0)</f>
        <v>0</v>
      </c>
      <c r="K618" s="14">
        <f>IFERROR(VLOOKUP(VENTAS[[#This Row],[Código del producto Vendido]],STOCK[],16,FALSE)*VENTAS[[#This Row],[Cantidad]]+VLOOKUP(VENTAS[[#This Row],[Código del producto Vendido]],STOCK[],19,FALSE)*VENTAS[[#This Row],[Cantidad]],VENTAS[[#This Row],[Total]])</f>
        <v>10.77</v>
      </c>
      <c r="L618" s="14">
        <f>VENTAS[[#This Row],[Total]]-VENTAS[[#This Row],[Comisión 10%]]-VENTAS[[#This Row],[Costo SIN Comision]]</f>
        <v>8.23</v>
      </c>
      <c r="M618" s="14"/>
    </row>
    <row r="619" ht="20" hidden="1" customHeight="1" spans="1:13">
      <c r="A619" s="10" t="s">
        <v>4215</v>
      </c>
      <c r="B619" s="11" t="str">
        <f>IFERROR(VLOOKUP(VENTAS[[#This Row],[Código del producto Vendido]],STOCK[],25,FALSE),"-")</f>
        <v>Recibido Freddy 24Mayo</v>
      </c>
      <c r="C619" s="11"/>
      <c r="D619" s="11"/>
      <c r="E619" s="11" t="s">
        <v>1019</v>
      </c>
      <c r="F619" s="11" t="str">
        <f>IFERROR(VLOOKUP(VENTAS[[#This Row],[Código del producto Vendido]],STOCK[],5,FALSE),"-")</f>
        <v>Top Dreamer Negro</v>
      </c>
      <c r="G619" s="11">
        <v>1</v>
      </c>
      <c r="H619" s="14">
        <v>12</v>
      </c>
      <c r="I619" s="14">
        <f>VENTAS[[#This Row],[Cantidad]]*VENTAS[[#This Row],[Precio Venta]]</f>
        <v>12</v>
      </c>
      <c r="J619" s="14">
        <f>IF(VENTAS[[#This Row],[Nombre del Gestor]]&gt;1,VENTAS[[#This Row],[Total]]*10%,0)</f>
        <v>0</v>
      </c>
      <c r="K619" s="14">
        <f>IFERROR(VLOOKUP(VENTAS[[#This Row],[Código del producto Vendido]],STOCK[],16,FALSE)*VENTAS[[#This Row],[Cantidad]]+VLOOKUP(VENTAS[[#This Row],[Código del producto Vendido]],STOCK[],19,FALSE)*VENTAS[[#This Row],[Cantidad]],VENTAS[[#This Row],[Total]])</f>
        <v>7.15681818181818</v>
      </c>
      <c r="L619" s="14">
        <f>VENTAS[[#This Row],[Total]]-VENTAS[[#This Row],[Comisión 10%]]-VENTAS[[#This Row],[Costo SIN Comision]]</f>
        <v>4.84318181818182</v>
      </c>
      <c r="M619" s="14"/>
    </row>
    <row r="620" ht="20" hidden="1" customHeight="1" spans="1:13">
      <c r="A620" s="10" t="s">
        <v>4215</v>
      </c>
      <c r="B620" s="11" t="str">
        <f>IFERROR(VLOOKUP(VENTAS[[#This Row],[Código del producto Vendido]],STOCK[],25,FALSE),"-")</f>
        <v>Viaje Agosto</v>
      </c>
      <c r="C620" s="11"/>
      <c r="D620" s="11"/>
      <c r="E620" s="11" t="s">
        <v>1264</v>
      </c>
      <c r="F620" s="11" t="str">
        <f>IFERROR(VLOOKUP(VENTAS[[#This Row],[Código del producto Vendido]],STOCK[],5,FALSE),"-")</f>
        <v>Maxi vestido playero naranja quemada</v>
      </c>
      <c r="G620" s="11">
        <v>2</v>
      </c>
      <c r="H620" s="14">
        <v>35</v>
      </c>
      <c r="I620" s="14">
        <f>VENTAS[[#This Row],[Cantidad]]*VENTAS[[#This Row],[Precio Venta]]</f>
        <v>70</v>
      </c>
      <c r="J620" s="14">
        <f>IF(VENTAS[[#This Row],[Nombre del Gestor]]&gt;1,VENTAS[[#This Row],[Total]]*10%,0)</f>
        <v>0</v>
      </c>
      <c r="K620" s="14">
        <f>IFERROR(VLOOKUP(VENTAS[[#This Row],[Código del producto Vendido]],STOCK[],16,FALSE)*VENTAS[[#This Row],[Cantidad]]+VLOOKUP(VENTAS[[#This Row],[Código del producto Vendido]],STOCK[],19,FALSE)*VENTAS[[#This Row],[Cantidad]],VENTAS[[#This Row],[Total]])</f>
        <v>47.9</v>
      </c>
      <c r="L620" s="14">
        <f>VENTAS[[#This Row],[Total]]-VENTAS[[#This Row],[Comisión 10%]]-VENTAS[[#This Row],[Costo SIN Comision]]</f>
        <v>22.1</v>
      </c>
      <c r="M620" s="14"/>
    </row>
    <row r="621" ht="20" hidden="1" customHeight="1" spans="1:13">
      <c r="A621" s="10" t="s">
        <v>4215</v>
      </c>
      <c r="B621" s="11">
        <f>IFERROR(VLOOKUP(VENTAS[[#This Row],[Código del producto Vendido]],STOCK[],25,FALSE),"-")</f>
        <v>0</v>
      </c>
      <c r="C621" s="11"/>
      <c r="D621" s="11"/>
      <c r="E621" s="11" t="s">
        <v>1315</v>
      </c>
      <c r="F621" s="11" t="str">
        <f>IFERROR(VLOOKUP(VENTAS[[#This Row],[Código del producto Vendido]],STOCK[],5,FALSE),"-")</f>
        <v>Blazer Crema</v>
      </c>
      <c r="G621" s="11">
        <v>1</v>
      </c>
      <c r="H621" s="14">
        <v>40</v>
      </c>
      <c r="I621" s="14">
        <f>VENTAS[[#This Row],[Cantidad]]*VENTAS[[#This Row],[Precio Venta]]</f>
        <v>40</v>
      </c>
      <c r="J621" s="14">
        <f>IF(VENTAS[[#This Row],[Nombre del Gestor]]&gt;1,VENTAS[[#This Row],[Total]]*10%,0)</f>
        <v>0</v>
      </c>
      <c r="K621" s="14">
        <f>IFERROR(VLOOKUP(VENTAS[[#This Row],[Código del producto Vendido]],STOCK[],16,FALSE)*VENTAS[[#This Row],[Cantidad]]+VLOOKUP(VENTAS[[#This Row],[Código del producto Vendido]],STOCK[],19,FALSE)*VENTAS[[#This Row],[Cantidad]],VENTAS[[#This Row],[Total]])</f>
        <v>30</v>
      </c>
      <c r="L621" s="14">
        <f>VENTAS[[#This Row],[Total]]-VENTAS[[#This Row],[Comisión 10%]]-VENTAS[[#This Row],[Costo SIN Comision]]</f>
        <v>10</v>
      </c>
      <c r="M621" s="14"/>
    </row>
    <row r="622" ht="20" hidden="1" customHeight="1" spans="1:13">
      <c r="A622" s="10" t="s">
        <v>4215</v>
      </c>
      <c r="B622" s="11">
        <f>IFERROR(VLOOKUP(VENTAS[[#This Row],[Código del producto Vendido]],STOCK[],25,FALSE),"-")</f>
        <v>0</v>
      </c>
      <c r="C622" s="11"/>
      <c r="D622" s="11"/>
      <c r="E622" s="11" t="s">
        <v>1326</v>
      </c>
      <c r="F622" s="11" t="str">
        <f>IFERROR(VLOOKUP(VENTAS[[#This Row],[Código del producto Vendido]],STOCK[],5,FALSE),"-")</f>
        <v>Camisa Blanca </v>
      </c>
      <c r="G622" s="11">
        <v>1</v>
      </c>
      <c r="H622" s="14">
        <v>25</v>
      </c>
      <c r="I622" s="14">
        <f>VENTAS[[#This Row],[Cantidad]]*VENTAS[[#This Row],[Precio Venta]]</f>
        <v>25</v>
      </c>
      <c r="J622" s="14">
        <f>IF(VENTAS[[#This Row],[Nombre del Gestor]]&gt;1,VENTAS[[#This Row],[Total]]*10%,0)</f>
        <v>0</v>
      </c>
      <c r="K622" s="14">
        <f>IFERROR(VLOOKUP(VENTAS[[#This Row],[Código del producto Vendido]],STOCK[],16,FALSE)*VENTAS[[#This Row],[Cantidad]]+VLOOKUP(VENTAS[[#This Row],[Código del producto Vendido]],STOCK[],19,FALSE)*VENTAS[[#This Row],[Cantidad]],VENTAS[[#This Row],[Total]])</f>
        <v>19</v>
      </c>
      <c r="L622" s="14">
        <f>VENTAS[[#This Row],[Total]]-VENTAS[[#This Row],[Comisión 10%]]-VENTAS[[#This Row],[Costo SIN Comision]]</f>
        <v>6</v>
      </c>
      <c r="M622" s="14"/>
    </row>
    <row r="623" ht="20" hidden="1" customHeight="1" spans="1:13">
      <c r="A623" s="10" t="s">
        <v>4215</v>
      </c>
      <c r="B623" s="11">
        <f>IFERROR(VLOOKUP(VENTAS[[#This Row],[Código del producto Vendido]],STOCK[],25,FALSE),"-")</f>
        <v>0</v>
      </c>
      <c r="C623" s="11"/>
      <c r="D623" s="11"/>
      <c r="E623" s="11" t="s">
        <v>1337</v>
      </c>
      <c r="F623" s="11" t="str">
        <f>IFERROR(VLOOKUP(VENTAS[[#This Row],[Código del producto Vendido]],STOCK[],5,FALSE),"-")</f>
        <v>Blusa Camisa de puño largo</v>
      </c>
      <c r="G623" s="11">
        <v>2</v>
      </c>
      <c r="H623" s="14">
        <v>25</v>
      </c>
      <c r="I623" s="14">
        <f>VENTAS[[#This Row],[Cantidad]]*VENTAS[[#This Row],[Precio Venta]]</f>
        <v>50</v>
      </c>
      <c r="J623" s="14">
        <f>IF(VENTAS[[#This Row],[Nombre del Gestor]]&gt;1,VENTAS[[#This Row],[Total]]*10%,0)</f>
        <v>0</v>
      </c>
      <c r="K623" s="14">
        <f>IFERROR(VLOOKUP(VENTAS[[#This Row],[Código del producto Vendido]],STOCK[],16,FALSE)*VENTAS[[#This Row],[Cantidad]]+VLOOKUP(VENTAS[[#This Row],[Código del producto Vendido]],STOCK[],19,FALSE)*VENTAS[[#This Row],[Cantidad]],VENTAS[[#This Row],[Total]])</f>
        <v>32.74</v>
      </c>
      <c r="L623" s="14">
        <f>VENTAS[[#This Row],[Total]]-VENTAS[[#This Row],[Comisión 10%]]-VENTAS[[#This Row],[Costo SIN Comision]]</f>
        <v>17.26</v>
      </c>
      <c r="M623" s="14"/>
    </row>
    <row r="624" ht="20" hidden="1" customHeight="1" spans="1:13">
      <c r="A624" s="10" t="s">
        <v>4215</v>
      </c>
      <c r="B624" s="11">
        <f>IFERROR(VLOOKUP(VENTAS[[#This Row],[Código del producto Vendido]],STOCK[],25,FALSE),"-")</f>
        <v>0</v>
      </c>
      <c r="C624" s="11"/>
      <c r="D624" s="11"/>
      <c r="E624" s="11" t="s">
        <v>1339</v>
      </c>
      <c r="F624" s="11" t="str">
        <f>IFERROR(VLOOKUP(VENTAS[[#This Row],[Código del producto Vendido]],STOCK[],5,FALSE),"-")</f>
        <v>Blusa camisa de puño largo</v>
      </c>
      <c r="G624" s="11">
        <v>1</v>
      </c>
      <c r="H624" s="14">
        <v>25</v>
      </c>
      <c r="I624" s="14">
        <f>VENTAS[[#This Row],[Cantidad]]*VENTAS[[#This Row],[Precio Venta]]</f>
        <v>25</v>
      </c>
      <c r="J624" s="14">
        <f>IF(VENTAS[[#This Row],[Nombre del Gestor]]&gt;1,VENTAS[[#This Row],[Total]]*10%,0)</f>
        <v>0</v>
      </c>
      <c r="K624" s="14">
        <f>IFERROR(VLOOKUP(VENTAS[[#This Row],[Código del producto Vendido]],STOCK[],16,FALSE)*VENTAS[[#This Row],[Cantidad]]+VLOOKUP(VENTAS[[#This Row],[Código del producto Vendido]],STOCK[],19,FALSE)*VENTAS[[#This Row],[Cantidad]],VENTAS[[#This Row],[Total]])</f>
        <v>16.37</v>
      </c>
      <c r="L624" s="14">
        <f>VENTAS[[#This Row],[Total]]-VENTAS[[#This Row],[Comisión 10%]]-VENTAS[[#This Row],[Costo SIN Comision]]</f>
        <v>8.63</v>
      </c>
      <c r="M624" s="14"/>
    </row>
    <row r="625" ht="20" hidden="1" customHeight="1" spans="1:13">
      <c r="A625" s="10" t="s">
        <v>4215</v>
      </c>
      <c r="B625" s="11">
        <f>IFERROR(VLOOKUP(VENTAS[[#This Row],[Código del producto Vendido]],STOCK[],25,FALSE),"-")</f>
        <v>0</v>
      </c>
      <c r="C625" s="11"/>
      <c r="D625" s="11"/>
      <c r="E625" s="11" t="s">
        <v>1341</v>
      </c>
      <c r="F625" s="11" t="str">
        <f>IFERROR(VLOOKUP(VENTAS[[#This Row],[Código del producto Vendido]],STOCK[],5,FALSE),"-")</f>
        <v>Camisa entallada dazy</v>
      </c>
      <c r="G625" s="11">
        <v>2</v>
      </c>
      <c r="H625" s="14">
        <v>25</v>
      </c>
      <c r="I625" s="14">
        <f>VENTAS[[#This Row],[Cantidad]]*VENTAS[[#This Row],[Precio Venta]]</f>
        <v>50</v>
      </c>
      <c r="J625" s="14">
        <f>IF(VENTAS[[#This Row],[Nombre del Gestor]]&gt;1,VENTAS[[#This Row],[Total]]*10%,0)</f>
        <v>0</v>
      </c>
      <c r="K625" s="14">
        <f>IFERROR(VLOOKUP(VENTAS[[#This Row],[Código del producto Vendido]],STOCK[],16,FALSE)*VENTAS[[#This Row],[Cantidad]]+VLOOKUP(VENTAS[[#This Row],[Código del producto Vendido]],STOCK[],19,FALSE)*VENTAS[[#This Row],[Cantidad]],VENTAS[[#This Row],[Total]])</f>
        <v>31.3</v>
      </c>
      <c r="L625" s="14">
        <f>VENTAS[[#This Row],[Total]]-VENTAS[[#This Row],[Comisión 10%]]-VENTAS[[#This Row],[Costo SIN Comision]]</f>
        <v>18.7</v>
      </c>
      <c r="M625" s="14"/>
    </row>
    <row r="626" ht="20" hidden="1" customHeight="1" spans="1:13">
      <c r="A626" s="10" t="s">
        <v>4215</v>
      </c>
      <c r="B626" s="11">
        <f>IFERROR(VLOOKUP(VENTAS[[#This Row],[Código del producto Vendido]],STOCK[],25,FALSE),"-")</f>
        <v>0</v>
      </c>
      <c r="C626" s="11"/>
      <c r="D626" s="11"/>
      <c r="E626" s="11" t="s">
        <v>1343</v>
      </c>
      <c r="F626" s="11" t="str">
        <f>IFERROR(VLOOKUP(VENTAS[[#This Row],[Código del producto Vendido]],STOCK[],5,FALSE),"-")</f>
        <v>Camisa entallada dazy</v>
      </c>
      <c r="G626" s="11">
        <v>2</v>
      </c>
      <c r="H626" s="14">
        <v>25</v>
      </c>
      <c r="I626" s="14">
        <f>VENTAS[[#This Row],[Cantidad]]*VENTAS[[#This Row],[Precio Venta]]</f>
        <v>50</v>
      </c>
      <c r="J626" s="14">
        <f>IF(VENTAS[[#This Row],[Nombre del Gestor]]&gt;1,VENTAS[[#This Row],[Total]]*10%,0)</f>
        <v>0</v>
      </c>
      <c r="K626" s="14">
        <f>IFERROR(VLOOKUP(VENTAS[[#This Row],[Código del producto Vendido]],STOCK[],16,FALSE)*VENTAS[[#This Row],[Cantidad]]+VLOOKUP(VENTAS[[#This Row],[Código del producto Vendido]],STOCK[],19,FALSE)*VENTAS[[#This Row],[Cantidad]],VENTAS[[#This Row],[Total]])</f>
        <v>31.3</v>
      </c>
      <c r="L626" s="14">
        <f>VENTAS[[#This Row],[Total]]-VENTAS[[#This Row],[Comisión 10%]]-VENTAS[[#This Row],[Costo SIN Comision]]</f>
        <v>18.7</v>
      </c>
      <c r="M626" s="14"/>
    </row>
    <row r="627" ht="20" hidden="1" customHeight="1" spans="1:13">
      <c r="A627" s="10" t="s">
        <v>4215</v>
      </c>
      <c r="B627" s="11">
        <f>IFERROR(VLOOKUP(VENTAS[[#This Row],[Código del producto Vendido]],STOCK[],25,FALSE),"-")</f>
        <v>0</v>
      </c>
      <c r="C627" s="11"/>
      <c r="D627" s="11"/>
      <c r="E627" s="11" t="s">
        <v>1390</v>
      </c>
      <c r="F627" s="11" t="str">
        <f>IFERROR(VLOOKUP(VENTAS[[#This Row],[Código del producto Vendido]],STOCK[],5,FALSE),"-")</f>
        <v>Playera negra de cuello cisne</v>
      </c>
      <c r="G627" s="11">
        <v>1</v>
      </c>
      <c r="H627" s="14">
        <v>18</v>
      </c>
      <c r="I627" s="14">
        <f>VENTAS[[#This Row],[Cantidad]]*VENTAS[[#This Row],[Precio Venta]]</f>
        <v>18</v>
      </c>
      <c r="J627" s="14">
        <f>IF(VENTAS[[#This Row],[Nombre del Gestor]]&gt;1,VENTAS[[#This Row],[Total]]*10%,0)</f>
        <v>0</v>
      </c>
      <c r="K627" s="14">
        <f>IFERROR(VLOOKUP(VENTAS[[#This Row],[Código del producto Vendido]],STOCK[],16,FALSE)*VENTAS[[#This Row],[Cantidad]]+VLOOKUP(VENTAS[[#This Row],[Código del producto Vendido]],STOCK[],19,FALSE)*VENTAS[[#This Row],[Cantidad]],VENTAS[[#This Row],[Total]])</f>
        <v>11.32</v>
      </c>
      <c r="L627" s="14">
        <f>VENTAS[[#This Row],[Total]]-VENTAS[[#This Row],[Comisión 10%]]-VENTAS[[#This Row],[Costo SIN Comision]]</f>
        <v>6.68</v>
      </c>
      <c r="M627" s="14"/>
    </row>
    <row r="628" ht="20" hidden="1" customHeight="1" spans="1:13">
      <c r="A628" s="10" t="s">
        <v>4215</v>
      </c>
      <c r="B628" s="11">
        <f>IFERROR(VLOOKUP(VENTAS[[#This Row],[Código del producto Vendido]],STOCK[],25,FALSE),"-")</f>
        <v>0</v>
      </c>
      <c r="C628" s="11"/>
      <c r="D628" s="11"/>
      <c r="E628" s="11" t="s">
        <v>1394</v>
      </c>
      <c r="F628" s="11" t="str">
        <f>IFERROR(VLOOKUP(VENTAS[[#This Row],[Código del producto Vendido]],STOCK[],5,FALSE),"-")</f>
        <v>Playera negra de cuello cisne</v>
      </c>
      <c r="G628" s="11">
        <v>1</v>
      </c>
      <c r="H628" s="14">
        <v>18</v>
      </c>
      <c r="I628" s="14">
        <f>VENTAS[[#This Row],[Cantidad]]*VENTAS[[#This Row],[Precio Venta]]</f>
        <v>18</v>
      </c>
      <c r="J628" s="14">
        <f>IF(VENTAS[[#This Row],[Nombre del Gestor]]&gt;1,VENTAS[[#This Row],[Total]]*10%,0)</f>
        <v>0</v>
      </c>
      <c r="K628" s="14">
        <f>IFERROR(VLOOKUP(VENTAS[[#This Row],[Código del producto Vendido]],STOCK[],16,FALSE)*VENTAS[[#This Row],[Cantidad]]+VLOOKUP(VENTAS[[#This Row],[Código del producto Vendido]],STOCK[],19,FALSE)*VENTAS[[#This Row],[Cantidad]],VENTAS[[#This Row],[Total]])</f>
        <v>11.32</v>
      </c>
      <c r="L628" s="14">
        <f>VENTAS[[#This Row],[Total]]-VENTAS[[#This Row],[Comisión 10%]]-VENTAS[[#This Row],[Costo SIN Comision]]</f>
        <v>6.68</v>
      </c>
      <c r="M628" s="14"/>
    </row>
    <row r="629" ht="20" hidden="1" customHeight="1" spans="1:13">
      <c r="A629" s="10" t="s">
        <v>4215</v>
      </c>
      <c r="B629" s="11" t="str">
        <f>IFERROR(VLOOKUP(VENTAS[[#This Row],[Código del producto Vendido]],STOCK[],25,FALSE),"-")</f>
        <v>Compra 11 dic 2023</v>
      </c>
      <c r="C629" s="11"/>
      <c r="D629" s="11"/>
      <c r="E629" s="11" t="s">
        <v>1404</v>
      </c>
      <c r="F629" s="11" t="str">
        <f>IFERROR(VLOOKUP(VENTAS[[#This Row],[Código del producto Vendido]],STOCK[],5,FALSE),"-")</f>
        <v>Top bustier corsetero</v>
      </c>
      <c r="G629" s="11">
        <v>1</v>
      </c>
      <c r="H629" s="14">
        <v>22</v>
      </c>
      <c r="I629" s="14">
        <f>VENTAS[[#This Row],[Cantidad]]*VENTAS[[#This Row],[Precio Venta]]</f>
        <v>22</v>
      </c>
      <c r="J629" s="14">
        <f>IF(VENTAS[[#This Row],[Nombre del Gestor]]&gt;1,VENTAS[[#This Row],[Total]]*10%,0)</f>
        <v>0</v>
      </c>
      <c r="K629" s="14">
        <f>IFERROR(VLOOKUP(VENTAS[[#This Row],[Código del producto Vendido]],STOCK[],16,FALSE)*VENTAS[[#This Row],[Cantidad]]+VLOOKUP(VENTAS[[#This Row],[Código del producto Vendido]],STOCK[],19,FALSE)*VENTAS[[#This Row],[Cantidad]],VENTAS[[#This Row],[Total]])</f>
        <v>5.5</v>
      </c>
      <c r="L629" s="14">
        <f>VENTAS[[#This Row],[Total]]-VENTAS[[#This Row],[Comisión 10%]]-VENTAS[[#This Row],[Costo SIN Comision]]</f>
        <v>16.5</v>
      </c>
      <c r="M629" s="14"/>
    </row>
    <row r="630" ht="20" hidden="1" customHeight="1" spans="1:13">
      <c r="A630" s="10" t="s">
        <v>4215</v>
      </c>
      <c r="B630" s="11">
        <f>IFERROR(VLOOKUP(VENTAS[[#This Row],[Código del producto Vendido]],STOCK[],25,FALSE),"-")</f>
        <v>0</v>
      </c>
      <c r="C630" s="11"/>
      <c r="D630" s="11"/>
      <c r="E630" s="11" t="s">
        <v>1420</v>
      </c>
      <c r="F630" s="11" t="str">
        <f>IFERROR(VLOOKUP(VENTAS[[#This Row],[Código del producto Vendido]],STOCK[],5,FALSE),"-")</f>
        <v>Vestido acanalado cruzado color crema</v>
      </c>
      <c r="G630" s="11">
        <v>2</v>
      </c>
      <c r="H630" s="14">
        <v>28</v>
      </c>
      <c r="I630" s="14">
        <f>VENTAS[[#This Row],[Cantidad]]*VENTAS[[#This Row],[Precio Venta]]</f>
        <v>56</v>
      </c>
      <c r="J630" s="14">
        <f>IF(VENTAS[[#This Row],[Nombre del Gestor]]&gt;1,VENTAS[[#This Row],[Total]]*10%,0)</f>
        <v>0</v>
      </c>
      <c r="K630" s="14">
        <f>IFERROR(VLOOKUP(VENTAS[[#This Row],[Código del producto Vendido]],STOCK[],16,FALSE)*VENTAS[[#This Row],[Cantidad]]+VLOOKUP(VENTAS[[#This Row],[Código del producto Vendido]],STOCK[],19,FALSE)*VENTAS[[#This Row],[Cantidad]],VENTAS[[#This Row],[Total]])</f>
        <v>49.18</v>
      </c>
      <c r="L630" s="14">
        <f>VENTAS[[#This Row],[Total]]-VENTAS[[#This Row],[Comisión 10%]]-VENTAS[[#This Row],[Costo SIN Comision]]</f>
        <v>6.82</v>
      </c>
      <c r="M630" s="14"/>
    </row>
    <row r="631" ht="20" hidden="1" customHeight="1" spans="1:13">
      <c r="A631" s="10" t="s">
        <v>4215</v>
      </c>
      <c r="B631" s="11">
        <f>IFERROR(VLOOKUP(VENTAS[[#This Row],[Código del producto Vendido]],STOCK[],25,FALSE),"-")</f>
        <v>0</v>
      </c>
      <c r="C631" s="11"/>
      <c r="D631" s="11"/>
      <c r="E631" s="11" t="s">
        <v>1421</v>
      </c>
      <c r="F631" s="11" t="str">
        <f>IFERROR(VLOOKUP(VENTAS[[#This Row],[Código del producto Vendido]],STOCK[],5,FALSE),"-")</f>
        <v>Short de tela suave con cinturón</v>
      </c>
      <c r="G631" s="11">
        <v>1</v>
      </c>
      <c r="H631" s="14">
        <v>20</v>
      </c>
      <c r="I631" s="14">
        <f>VENTAS[[#This Row],[Cantidad]]*VENTAS[[#This Row],[Precio Venta]]</f>
        <v>20</v>
      </c>
      <c r="J631" s="14">
        <f>IF(VENTAS[[#This Row],[Nombre del Gestor]]&gt;1,VENTAS[[#This Row],[Total]]*10%,0)</f>
        <v>0</v>
      </c>
      <c r="K631" s="14">
        <f>IFERROR(VLOOKUP(VENTAS[[#This Row],[Código del producto Vendido]],STOCK[],16,FALSE)*VENTAS[[#This Row],[Cantidad]]+VLOOKUP(VENTAS[[#This Row],[Código del producto Vendido]],STOCK[],19,FALSE)*VENTAS[[#This Row],[Cantidad]],VENTAS[[#This Row],[Total]])</f>
        <v>12.99</v>
      </c>
      <c r="L631" s="14">
        <f>VENTAS[[#This Row],[Total]]-VENTAS[[#This Row],[Comisión 10%]]-VENTAS[[#This Row],[Costo SIN Comision]]</f>
        <v>7.01</v>
      </c>
      <c r="M631" s="14"/>
    </row>
    <row r="632" ht="20" hidden="1" customHeight="1" spans="1:13">
      <c r="A632" s="10" t="s">
        <v>4215</v>
      </c>
      <c r="B632" s="11" t="str">
        <f>IFERROR(VLOOKUP(VENTAS[[#This Row],[Código del producto Vendido]],STOCK[],25,FALSE),"-")</f>
        <v>Yenma 19 Mayo</v>
      </c>
      <c r="C632" s="11"/>
      <c r="D632" s="11"/>
      <c r="E632" s="11" t="s">
        <v>206</v>
      </c>
      <c r="F632" s="11" t="str">
        <f>IFERROR(VLOOKUP(VENTAS[[#This Row],[Código del producto Vendido]],STOCK[],5,FALSE),"-")</f>
        <v>Vestido de satén ajustado de tirantes fruncido</v>
      </c>
      <c r="G632" s="11">
        <v>1</v>
      </c>
      <c r="H632" s="14">
        <v>25</v>
      </c>
      <c r="I632" s="14">
        <f>VENTAS[[#This Row],[Cantidad]]*VENTAS[[#This Row],[Precio Venta]]</f>
        <v>25</v>
      </c>
      <c r="J632" s="14">
        <f>IF(VENTAS[[#This Row],[Nombre del Gestor]]&gt;1,VENTAS[[#This Row],[Total]]*10%,0)</f>
        <v>0</v>
      </c>
      <c r="K632" s="14">
        <f>IFERROR(VLOOKUP(VENTAS[[#This Row],[Código del producto Vendido]],STOCK[],16,FALSE)*VENTAS[[#This Row],[Cantidad]]+VLOOKUP(VENTAS[[#This Row],[Código del producto Vendido]],STOCK[],19,FALSE)*VENTAS[[#This Row],[Cantidad]],VENTAS[[#This Row],[Total]])</f>
        <v>12.8755555555556</v>
      </c>
      <c r="L632" s="14">
        <f>VENTAS[[#This Row],[Total]]-VENTAS[[#This Row],[Comisión 10%]]-VENTAS[[#This Row],[Costo SIN Comision]]</f>
        <v>12.1244444444444</v>
      </c>
      <c r="M632" s="14"/>
    </row>
    <row r="633" ht="20" hidden="1" customHeight="1" spans="1:13">
      <c r="A633" s="10" t="s">
        <v>4215</v>
      </c>
      <c r="B633" s="11">
        <f>IFERROR(VLOOKUP(VENTAS[[#This Row],[Código del producto Vendido]],STOCK[],25,FALSE),"-")</f>
        <v>0</v>
      </c>
      <c r="C633" s="11"/>
      <c r="D633" s="11"/>
      <c r="E633" s="11" t="s">
        <v>647</v>
      </c>
      <c r="F633" s="11" t="str">
        <f>IFERROR(VLOOKUP(VENTAS[[#This Row],[Código del producto Vendido]],STOCK[],5,FALSE),"-")</f>
        <v>Vestido con estampado jungla</v>
      </c>
      <c r="G633" s="11">
        <v>1</v>
      </c>
      <c r="H633" s="14">
        <v>16</v>
      </c>
      <c r="I633" s="14">
        <f>VENTAS[[#This Row],[Cantidad]]*VENTAS[[#This Row],[Precio Venta]]</f>
        <v>16</v>
      </c>
      <c r="J633" s="14">
        <f>IF(VENTAS[[#This Row],[Nombre del Gestor]]&gt;1,VENTAS[[#This Row],[Total]]*10%,0)</f>
        <v>0</v>
      </c>
      <c r="K633" s="14">
        <f>IFERROR(VLOOKUP(VENTAS[[#This Row],[Código del producto Vendido]],STOCK[],16,FALSE)*VENTAS[[#This Row],[Cantidad]]+VLOOKUP(VENTAS[[#This Row],[Código del producto Vendido]],STOCK[],19,FALSE)*VENTAS[[#This Row],[Cantidad]],VENTAS[[#This Row],[Total]])</f>
        <v>10.7222222222222</v>
      </c>
      <c r="L633" s="14">
        <f>VENTAS[[#This Row],[Total]]-VENTAS[[#This Row],[Comisión 10%]]-VENTAS[[#This Row],[Costo SIN Comision]]</f>
        <v>5.27777777777778</v>
      </c>
      <c r="M633" s="14"/>
    </row>
    <row r="634" ht="20" hidden="1" customHeight="1" spans="1:13">
      <c r="A634" s="10" t="s">
        <v>4215</v>
      </c>
      <c r="B634" s="11" t="str">
        <f>IFERROR(VLOOKUP(VENTAS[[#This Row],[Código del producto Vendido]],STOCK[],25,FALSE),"-")</f>
        <v>Compra 7/12/2023</v>
      </c>
      <c r="C634" s="11"/>
      <c r="D634" s="11"/>
      <c r="E634" s="11" t="s">
        <v>1527</v>
      </c>
      <c r="F634" s="11" t="str">
        <f>IFERROR(VLOOKUP(VENTAS[[#This Row],[Código del producto Vendido]],STOCK[],5,FALSE),"-")</f>
        <v>Top Bustier encaje</v>
      </c>
      <c r="G634" s="11">
        <v>1</v>
      </c>
      <c r="H634" s="14">
        <v>22</v>
      </c>
      <c r="I634" s="14">
        <f>VENTAS[[#This Row],[Cantidad]]*VENTAS[[#This Row],[Precio Venta]]</f>
        <v>22</v>
      </c>
      <c r="J634" s="14">
        <f>IF(VENTAS[[#This Row],[Nombre del Gestor]]&gt;1,VENTAS[[#This Row],[Total]]*10%,0)</f>
        <v>0</v>
      </c>
      <c r="K634" s="14">
        <f>IFERROR(VLOOKUP(VENTAS[[#This Row],[Código del producto Vendido]],STOCK[],16,FALSE)*VENTAS[[#This Row],[Cantidad]]+VLOOKUP(VENTAS[[#This Row],[Código del producto Vendido]],STOCK[],19,FALSE)*VENTAS[[#This Row],[Cantidad]],VENTAS[[#This Row],[Total]])</f>
        <v>14.7</v>
      </c>
      <c r="L634" s="14">
        <f>VENTAS[[#This Row],[Total]]-VENTAS[[#This Row],[Comisión 10%]]-VENTAS[[#This Row],[Costo SIN Comision]]</f>
        <v>7.3</v>
      </c>
      <c r="M634" s="14"/>
    </row>
    <row r="635" ht="20" hidden="1" customHeight="1" spans="1:13">
      <c r="A635" s="10" t="s">
        <v>4215</v>
      </c>
      <c r="B635" s="11" t="str">
        <f>IFERROR(VLOOKUP(VENTAS[[#This Row],[Código del producto Vendido]],STOCK[],25,FALSE),"-")</f>
        <v>Compra 7/12/2023</v>
      </c>
      <c r="C635" s="11"/>
      <c r="D635" s="11"/>
      <c r="E635" s="11" t="s">
        <v>1546</v>
      </c>
      <c r="F635" s="11" t="str">
        <f>IFERROR(VLOOKUP(VENTAS[[#This Row],[Código del producto Vendido]],STOCK[],5,FALSE),"-")</f>
        <v>Gafas de sol Dama</v>
      </c>
      <c r="G635" s="11">
        <v>1</v>
      </c>
      <c r="H635" s="14">
        <v>9</v>
      </c>
      <c r="I635" s="14">
        <f>VENTAS[[#This Row],[Cantidad]]*VENTAS[[#This Row],[Precio Venta]]</f>
        <v>9</v>
      </c>
      <c r="J635" s="14">
        <f>IF(VENTAS[[#This Row],[Nombre del Gestor]]&gt;1,VENTAS[[#This Row],[Total]]*10%,0)</f>
        <v>0</v>
      </c>
      <c r="K635" s="14">
        <f>IFERROR(VLOOKUP(VENTAS[[#This Row],[Código del producto Vendido]],STOCK[],16,FALSE)*VENTAS[[#This Row],[Cantidad]]+VLOOKUP(VENTAS[[#This Row],[Código del producto Vendido]],STOCK[],19,FALSE)*VENTAS[[#This Row],[Cantidad]],VENTAS[[#This Row],[Total]])</f>
        <v>6.05</v>
      </c>
      <c r="L635" s="14">
        <f>VENTAS[[#This Row],[Total]]-VENTAS[[#This Row],[Comisión 10%]]-VENTAS[[#This Row],[Costo SIN Comision]]</f>
        <v>2.95</v>
      </c>
      <c r="M635" s="14"/>
    </row>
    <row r="636" ht="20" hidden="1" customHeight="1" spans="1:13">
      <c r="A636" s="10" t="s">
        <v>4215</v>
      </c>
      <c r="B636" s="11" t="str">
        <f>IFERROR(VLOOKUP(VENTAS[[#This Row],[Código del producto Vendido]],STOCK[],25,FALSE),"-")</f>
        <v>Compra 9/12/2023</v>
      </c>
      <c r="C636" s="11"/>
      <c r="D636" s="11"/>
      <c r="E636" s="11" t="s">
        <v>1679</v>
      </c>
      <c r="F636" s="11" t="str">
        <f>IFERROR(VLOOKUP(VENTAS[[#This Row],[Código del producto Vendido]],STOCK[],5,FALSE),"-")</f>
        <v>Botas negras de zíper</v>
      </c>
      <c r="G636" s="11">
        <v>1</v>
      </c>
      <c r="H636" s="14">
        <v>40</v>
      </c>
      <c r="I636" s="14">
        <f>VENTAS[[#This Row],[Cantidad]]*VENTAS[[#This Row],[Precio Venta]]</f>
        <v>40</v>
      </c>
      <c r="J636" s="14">
        <f>IF(VENTAS[[#This Row],[Nombre del Gestor]]&gt;1,VENTAS[[#This Row],[Total]]*10%,0)</f>
        <v>0</v>
      </c>
      <c r="K636" s="14">
        <f>IFERROR(VLOOKUP(VENTAS[[#This Row],[Código del producto Vendido]],STOCK[],16,FALSE)*VENTAS[[#This Row],[Cantidad]]+VLOOKUP(VENTAS[[#This Row],[Código del producto Vendido]],STOCK[],19,FALSE)*VENTAS[[#This Row],[Cantidad]],VENTAS[[#This Row],[Total]])</f>
        <v>22.42</v>
      </c>
      <c r="L636" s="14">
        <f>VENTAS[[#This Row],[Total]]-VENTAS[[#This Row],[Comisión 10%]]-VENTAS[[#This Row],[Costo SIN Comision]]</f>
        <v>17.58</v>
      </c>
      <c r="M636" s="14"/>
    </row>
    <row r="637" ht="20" hidden="1" customHeight="1" spans="1:13">
      <c r="A637" s="10" t="s">
        <v>4215</v>
      </c>
      <c r="B637" s="11" t="str">
        <f>IFERROR(VLOOKUP(VENTAS[[#This Row],[Código del producto Vendido]],STOCK[],25,FALSE),"-")</f>
        <v>Compra 7/12/2023</v>
      </c>
      <c r="C637" s="11" t="s">
        <v>4217</v>
      </c>
      <c r="D637" s="11" t="s">
        <v>4218</v>
      </c>
      <c r="E637" s="11" t="s">
        <v>1523</v>
      </c>
      <c r="F637" s="11" t="str">
        <f>IFERROR(VLOOKUP(VENTAS[[#This Row],[Código del producto Vendido]],STOCK[],5,FALSE),"-")</f>
        <v>Sandalias Albaricoque</v>
      </c>
      <c r="G637" s="11">
        <v>1</v>
      </c>
      <c r="H637" s="14">
        <v>40</v>
      </c>
      <c r="I637" s="14">
        <f>VENTAS[[#This Row],[Cantidad]]*VENTAS[[#This Row],[Precio Venta]]</f>
        <v>40</v>
      </c>
      <c r="J637" s="14">
        <f>IF(VENTAS[[#This Row],[Nombre del Gestor]]&gt;1,VENTAS[[#This Row],[Total]]*10%,0)</f>
        <v>4</v>
      </c>
      <c r="K637" s="14">
        <f>IFERROR(VLOOKUP(VENTAS[[#This Row],[Código del producto Vendido]],STOCK[],16,FALSE)*VENTAS[[#This Row],[Cantidad]]+VLOOKUP(VENTAS[[#This Row],[Código del producto Vendido]],STOCK[],19,FALSE)*VENTAS[[#This Row],[Cantidad]],VENTAS[[#This Row],[Total]])</f>
        <v>23</v>
      </c>
      <c r="L637" s="14">
        <f>VENTAS[[#This Row],[Total]]-VENTAS[[#This Row],[Comisión 10%]]-VENTAS[[#This Row],[Costo SIN Comision]]</f>
        <v>13</v>
      </c>
      <c r="M637" s="14"/>
    </row>
    <row r="638" ht="20" hidden="1" customHeight="1" spans="1:13">
      <c r="A638" s="10" t="s">
        <v>4215</v>
      </c>
      <c r="B638" s="11" t="str">
        <f>IFERROR(VLOOKUP(VENTAS[[#This Row],[Código del producto Vendido]],STOCK[],25,FALSE),"-")</f>
        <v>Compra 7/12/2023</v>
      </c>
      <c r="C638" s="11"/>
      <c r="D638" s="11" t="s">
        <v>4219</v>
      </c>
      <c r="E638" s="11" t="s">
        <v>1538</v>
      </c>
      <c r="F638" s="11" t="str">
        <f>IFERROR(VLOOKUP(VENTAS[[#This Row],[Código del producto Vendido]],STOCK[],5,FALSE),"-")</f>
        <v>Falda de mezclilla negra a la cintura</v>
      </c>
      <c r="G638" s="11">
        <v>1</v>
      </c>
      <c r="H638" s="14">
        <v>0</v>
      </c>
      <c r="I638" s="14">
        <f>VENTAS[[#This Row],[Cantidad]]*VENTAS[[#This Row],[Precio Venta]]</f>
        <v>0</v>
      </c>
      <c r="J638" s="14">
        <f>IF(VENTAS[[#This Row],[Nombre del Gestor]]&gt;1,VENTAS[[#This Row],[Total]]*10%,0)</f>
        <v>0</v>
      </c>
      <c r="K638" s="14">
        <f>IFERROR(VLOOKUP(VENTAS[[#This Row],[Código del producto Vendido]],STOCK[],16,FALSE)*VENTAS[[#This Row],[Cantidad]]+VLOOKUP(VENTAS[[#This Row],[Código del producto Vendido]],STOCK[],19,FALSE)*VENTAS[[#This Row],[Cantidad]],VENTAS[[#This Row],[Total]])</f>
        <v>15</v>
      </c>
      <c r="L638" s="14">
        <f>VENTAS[[#This Row],[Total]]-VENTAS[[#This Row],[Comisión 10%]]-VENTAS[[#This Row],[Costo SIN Comision]]</f>
        <v>-15</v>
      </c>
      <c r="M638" s="14"/>
    </row>
    <row r="639" ht="20" hidden="1" customHeight="1" spans="1:13">
      <c r="A639" s="10" t="s">
        <v>4215</v>
      </c>
      <c r="B639" s="11" t="str">
        <f>IFERROR(VLOOKUP(VENTAS[[#This Row],[Código del producto Vendido]],STOCK[],25,FALSE),"-")</f>
        <v>Compra 7/12/2023</v>
      </c>
      <c r="C639" s="11"/>
      <c r="D639" s="11" t="s">
        <v>4220</v>
      </c>
      <c r="E639" s="11" t="s">
        <v>1506</v>
      </c>
      <c r="F639" s="11" t="str">
        <f>IFERROR(VLOOKUP(VENTAS[[#This Row],[Código del producto Vendido]],STOCK[],5,FALSE),"-")</f>
        <v>Vestido Frenchy Ajustado</v>
      </c>
      <c r="G639" s="11">
        <v>1</v>
      </c>
      <c r="H639" s="14">
        <v>25</v>
      </c>
      <c r="I639" s="14">
        <f>VENTAS[[#This Row],[Cantidad]]*VENTAS[[#This Row],[Precio Venta]]</f>
        <v>25</v>
      </c>
      <c r="J639" s="14">
        <f>IF(VENTAS[[#This Row],[Nombre del Gestor]]&gt;1,VENTAS[[#This Row],[Total]]*10%,0)</f>
        <v>2.5</v>
      </c>
      <c r="K639" s="14">
        <f>IFERROR(VLOOKUP(VENTAS[[#This Row],[Código del producto Vendido]],STOCK[],16,FALSE)*VENTAS[[#This Row],[Cantidad]]+VLOOKUP(VENTAS[[#This Row],[Código del producto Vendido]],STOCK[],19,FALSE)*VENTAS[[#This Row],[Cantidad]],VENTAS[[#This Row],[Total]])</f>
        <v>11.5</v>
      </c>
      <c r="L639" s="14">
        <f>VENTAS[[#This Row],[Total]]-VENTAS[[#This Row],[Comisión 10%]]-VENTAS[[#This Row],[Costo SIN Comision]]</f>
        <v>11</v>
      </c>
      <c r="M639" s="14"/>
    </row>
    <row r="640" ht="20" hidden="1" customHeight="1" spans="1:13">
      <c r="A640" s="10" t="s">
        <v>4215</v>
      </c>
      <c r="B640" s="11" t="str">
        <f>IFERROR(VLOOKUP(VENTAS[[#This Row],[Código del producto Vendido]],STOCK[],25,FALSE),"-")</f>
        <v>Compra 7/12/2023</v>
      </c>
      <c r="C640" s="11"/>
      <c r="D640" s="11" t="s">
        <v>4216</v>
      </c>
      <c r="E640" s="11" t="s">
        <v>1512</v>
      </c>
      <c r="F640" s="11" t="str">
        <f>IFERROR(VLOOKUP(VENTAS[[#This Row],[Código del producto Vendido]],STOCK[],5,FALSE),"-")</f>
        <v>Pantalón Negro Acampanado</v>
      </c>
      <c r="G640" s="11">
        <v>1</v>
      </c>
      <c r="H640" s="14">
        <v>28</v>
      </c>
      <c r="I640" s="14">
        <f>VENTAS[[#This Row],[Cantidad]]*VENTAS[[#This Row],[Precio Venta]]</f>
        <v>28</v>
      </c>
      <c r="J640" s="14">
        <f>IF(VENTAS[[#This Row],[Nombre del Gestor]]&gt;1,VENTAS[[#This Row],[Total]]*10%,0)</f>
        <v>2.8</v>
      </c>
      <c r="K640" s="14">
        <f>IFERROR(VLOOKUP(VENTAS[[#This Row],[Código del producto Vendido]],STOCK[],16,FALSE)*VENTAS[[#This Row],[Cantidad]]+VLOOKUP(VENTAS[[#This Row],[Código del producto Vendido]],STOCK[],19,FALSE)*VENTAS[[#This Row],[Cantidad]],VENTAS[[#This Row],[Total]])</f>
        <v>16.5</v>
      </c>
      <c r="L640" s="14">
        <f>VENTAS[[#This Row],[Total]]-VENTAS[[#This Row],[Comisión 10%]]-VENTAS[[#This Row],[Costo SIN Comision]]</f>
        <v>8.7</v>
      </c>
      <c r="M640" s="14"/>
    </row>
    <row r="641" ht="20" hidden="1" customHeight="1" spans="1:13">
      <c r="A641" s="10" t="s">
        <v>4215</v>
      </c>
      <c r="B641" s="11" t="str">
        <f>IFERROR(VLOOKUP(VENTAS[[#This Row],[Código del producto Vendido]],STOCK[],25,FALSE),"-")</f>
        <v>-</v>
      </c>
      <c r="C641" s="11"/>
      <c r="D641" s="11" t="s">
        <v>4220</v>
      </c>
      <c r="E641" s="11" t="s">
        <v>4221</v>
      </c>
      <c r="F641" s="11" t="str">
        <f>IFERROR(VLOOKUP(VENTAS[[#This Row],[Código del producto Vendido]],STOCK[],5,FALSE),"-")</f>
        <v>-</v>
      </c>
      <c r="G641" s="11">
        <v>1</v>
      </c>
      <c r="H641" s="14">
        <v>13</v>
      </c>
      <c r="I641" s="14">
        <f>VENTAS[[#This Row],[Cantidad]]*VENTAS[[#This Row],[Precio Venta]]</f>
        <v>13</v>
      </c>
      <c r="J641" s="14">
        <f>IF(VENTAS[[#This Row],[Nombre del Gestor]]&gt;1,VENTAS[[#This Row],[Total]]*10%,0)</f>
        <v>1.3</v>
      </c>
      <c r="K641" s="14">
        <f>IFERROR(VLOOKUP(VENTAS[[#This Row],[Código del producto Vendido]],STOCK[],16,FALSE)*VENTAS[[#This Row],[Cantidad]]+VLOOKUP(VENTAS[[#This Row],[Código del producto Vendido]],STOCK[],19,FALSE)*VENTAS[[#This Row],[Cantidad]],VENTAS[[#This Row],[Total]])</f>
        <v>13</v>
      </c>
      <c r="L641" s="14">
        <f>VENTAS[[#This Row],[Total]]-VENTAS[[#This Row],[Comisión 10%]]-VENTAS[[#This Row],[Costo SIN Comision]]</f>
        <v>-1.3</v>
      </c>
      <c r="M641" s="14"/>
    </row>
    <row r="642" ht="20" hidden="1" customHeight="1" spans="1:13">
      <c r="A642" s="10" t="s">
        <v>4215</v>
      </c>
      <c r="B642" s="11" t="str">
        <f>IFERROR(VLOOKUP(VENTAS[[#This Row],[Código del producto Vendido]],STOCK[],25,FALSE),"-")</f>
        <v>Compra 7/12/2023</v>
      </c>
      <c r="C642" s="11"/>
      <c r="D642" s="11" t="s">
        <v>4220</v>
      </c>
      <c r="E642" s="11" t="s">
        <v>1505</v>
      </c>
      <c r="F642" s="11" t="str">
        <f>IFERROR(VLOOKUP(VENTAS[[#This Row],[Código del producto Vendido]],STOCK[],5,FALSE),"-")</f>
        <v>Pullover Dazy cuello redondo Blanco</v>
      </c>
      <c r="G642" s="11">
        <v>1</v>
      </c>
      <c r="H642" s="14">
        <v>13</v>
      </c>
      <c r="I642" s="14">
        <f>VENTAS[[#This Row],[Cantidad]]*VENTAS[[#This Row],[Precio Venta]]</f>
        <v>13</v>
      </c>
      <c r="J642" s="14">
        <f>IF(VENTAS[[#This Row],[Nombre del Gestor]]&gt;1,VENTAS[[#This Row],[Total]]*10%,0)</f>
        <v>1.3</v>
      </c>
      <c r="K642" s="14">
        <f>IFERROR(VLOOKUP(VENTAS[[#This Row],[Código del producto Vendido]],STOCK[],16,FALSE)*VENTAS[[#This Row],[Cantidad]]+VLOOKUP(VENTAS[[#This Row],[Código del producto Vendido]],STOCK[],19,FALSE)*VENTAS[[#This Row],[Cantidad]],VENTAS[[#This Row],[Total]])</f>
        <v>7.5</v>
      </c>
      <c r="L642" s="14">
        <f>VENTAS[[#This Row],[Total]]-VENTAS[[#This Row],[Comisión 10%]]-VENTAS[[#This Row],[Costo SIN Comision]]</f>
        <v>4.2</v>
      </c>
      <c r="M642" s="14"/>
    </row>
    <row r="643" ht="20" hidden="1" customHeight="1" spans="1:13">
      <c r="A643" s="10" t="s">
        <v>4215</v>
      </c>
      <c r="B643" s="11" t="str">
        <f>IFERROR(VLOOKUP(VENTAS[[#This Row],[Código del producto Vendido]],STOCK[],25,FALSE),"-")</f>
        <v>Recibido Freddy 24Mayo</v>
      </c>
      <c r="C643" s="11"/>
      <c r="D643" s="11" t="s">
        <v>4220</v>
      </c>
      <c r="E643" s="11" t="s">
        <v>1020</v>
      </c>
      <c r="F643" s="11" t="str">
        <f>IFERROR(VLOOKUP(VENTAS[[#This Row],[Código del producto Vendido]],STOCK[],5,FALSE),"-")</f>
        <v>Top Dreamer Negro</v>
      </c>
      <c r="G643" s="11">
        <v>1</v>
      </c>
      <c r="H643" s="14">
        <v>12</v>
      </c>
      <c r="I643" s="14">
        <f>VENTAS[[#This Row],[Cantidad]]*VENTAS[[#This Row],[Precio Venta]]</f>
        <v>12</v>
      </c>
      <c r="J643" s="14">
        <f>IF(VENTAS[[#This Row],[Nombre del Gestor]]&gt;1,VENTAS[[#This Row],[Total]]*10%,0)</f>
        <v>1.2</v>
      </c>
      <c r="K643" s="14">
        <f>IFERROR(VLOOKUP(VENTAS[[#This Row],[Código del producto Vendido]],STOCK[],16,FALSE)*VENTAS[[#This Row],[Cantidad]]+VLOOKUP(VENTAS[[#This Row],[Código del producto Vendido]],STOCK[],19,FALSE)*VENTAS[[#This Row],[Cantidad]],VENTAS[[#This Row],[Total]])</f>
        <v>7.15681818181818</v>
      </c>
      <c r="L643" s="14">
        <f>VENTAS[[#This Row],[Total]]-VENTAS[[#This Row],[Comisión 10%]]-VENTAS[[#This Row],[Costo SIN Comision]]</f>
        <v>3.64318181818182</v>
      </c>
      <c r="M643" s="14"/>
    </row>
    <row r="644" ht="20" hidden="1" customHeight="1" spans="1:13">
      <c r="A644" s="10" t="s">
        <v>4215</v>
      </c>
      <c r="B644" s="11" t="str">
        <f>IFERROR(VLOOKUP(VENTAS[[#This Row],[Código del producto Vendido]],STOCK[],25,FALSE),"-")</f>
        <v>Viaje Agosto</v>
      </c>
      <c r="C644" s="11"/>
      <c r="D644" s="11" t="s">
        <v>4220</v>
      </c>
      <c r="E644" s="11" t="s">
        <v>1157</v>
      </c>
      <c r="F644" s="11" t="str">
        <f>IFERROR(VLOOKUP(VENTAS[[#This Row],[Código del producto Vendido]],STOCK[],5,FALSE),"-")</f>
        <v>Pullover negro cuello redondo</v>
      </c>
      <c r="G644" s="11">
        <v>1</v>
      </c>
      <c r="H644" s="14">
        <v>12</v>
      </c>
      <c r="I644" s="14">
        <f>VENTAS[[#This Row],[Cantidad]]*VENTAS[[#This Row],[Precio Venta]]</f>
        <v>12</v>
      </c>
      <c r="J644" s="14">
        <f>IF(VENTAS[[#This Row],[Nombre del Gestor]]&gt;1,VENTAS[[#This Row],[Total]]*10%,0)</f>
        <v>1.2</v>
      </c>
      <c r="K644" s="14">
        <f>IFERROR(VLOOKUP(VENTAS[[#This Row],[Código del producto Vendido]],STOCK[],16,FALSE)*VENTAS[[#This Row],[Cantidad]]+VLOOKUP(VENTAS[[#This Row],[Código del producto Vendido]],STOCK[],19,FALSE)*VENTAS[[#This Row],[Cantidad]],VENTAS[[#This Row],[Total]])</f>
        <v>8.53</v>
      </c>
      <c r="L644" s="14">
        <f>VENTAS[[#This Row],[Total]]-VENTAS[[#This Row],[Comisión 10%]]-VENTAS[[#This Row],[Costo SIN Comision]]</f>
        <v>2.27</v>
      </c>
      <c r="M644" s="14"/>
    </row>
    <row r="645" ht="20" hidden="1" customHeight="1" spans="1:13">
      <c r="A645" s="10" t="s">
        <v>4215</v>
      </c>
      <c r="B645" s="11" t="str">
        <f>IFERROR(VLOOKUP(VENTAS[[#This Row],[Código del producto Vendido]],STOCK[],25,FALSE),"-")</f>
        <v>Compra 7/12/2023</v>
      </c>
      <c r="C645" s="11"/>
      <c r="D645" s="11"/>
      <c r="E645" s="11" t="s">
        <v>1477</v>
      </c>
      <c r="F645" s="11" t="str">
        <f>IFERROR(VLOOKUP(VENTAS[[#This Row],[Código del producto Vendido]],STOCK[],5,FALSE),"-")</f>
        <v>Camiseta Dazy Blanco</v>
      </c>
      <c r="G645" s="11">
        <v>1</v>
      </c>
      <c r="H645" s="14">
        <v>13</v>
      </c>
      <c r="I645" s="14">
        <f>VENTAS[[#This Row],[Cantidad]]*VENTAS[[#This Row],[Precio Venta]]</f>
        <v>13</v>
      </c>
      <c r="J645" s="14">
        <f>IF(VENTAS[[#This Row],[Nombre del Gestor]]&gt;1,VENTAS[[#This Row],[Total]]*10%,0)</f>
        <v>0</v>
      </c>
      <c r="K645" s="14">
        <f>IFERROR(VLOOKUP(VENTAS[[#This Row],[Código del producto Vendido]],STOCK[],16,FALSE)*VENTAS[[#This Row],[Cantidad]]+VLOOKUP(VENTAS[[#This Row],[Código del producto Vendido]],STOCK[],19,FALSE)*VENTAS[[#This Row],[Cantidad]],VENTAS[[#This Row],[Total]])</f>
        <v>11</v>
      </c>
      <c r="L645" s="14">
        <f>VENTAS[[#This Row],[Total]]-VENTAS[[#This Row],[Comisión 10%]]-VENTAS[[#This Row],[Costo SIN Comision]]</f>
        <v>2</v>
      </c>
      <c r="M645" s="14"/>
    </row>
    <row r="646" ht="20" hidden="1" customHeight="1" spans="1:13">
      <c r="A646" s="10" t="s">
        <v>4215</v>
      </c>
      <c r="B646" s="11" t="str">
        <f>IFERROR(VLOOKUP(VENTAS[[#This Row],[Código del producto Vendido]],STOCK[],25,FALSE),"-")</f>
        <v>Compra 7/12/2023</v>
      </c>
      <c r="C646" s="11"/>
      <c r="D646" s="11"/>
      <c r="E646" s="11" t="s">
        <v>1479</v>
      </c>
      <c r="F646" s="11" t="str">
        <f>IFERROR(VLOOKUP(VENTAS[[#This Row],[Código del producto Vendido]],STOCK[],5,FALSE),"-")</f>
        <v>Pantalón negro acampanado</v>
      </c>
      <c r="G646" s="11">
        <v>1</v>
      </c>
      <c r="H646" s="14">
        <v>28</v>
      </c>
      <c r="I646" s="14">
        <f>VENTAS[[#This Row],[Cantidad]]*VENTAS[[#This Row],[Precio Venta]]</f>
        <v>28</v>
      </c>
      <c r="J646" s="14">
        <f>IF(VENTAS[[#This Row],[Nombre del Gestor]]&gt;1,VENTAS[[#This Row],[Total]]*10%,0)</f>
        <v>0</v>
      </c>
      <c r="K646" s="14">
        <f>IFERROR(VLOOKUP(VENTAS[[#This Row],[Código del producto Vendido]],STOCK[],16,FALSE)*VENTAS[[#This Row],[Cantidad]]+VLOOKUP(VENTAS[[#This Row],[Código del producto Vendido]],STOCK[],19,FALSE)*VENTAS[[#This Row],[Cantidad]],VENTAS[[#This Row],[Total]])</f>
        <v>18.5</v>
      </c>
      <c r="L646" s="14">
        <f>VENTAS[[#This Row],[Total]]-VENTAS[[#This Row],[Comisión 10%]]-VENTAS[[#This Row],[Costo SIN Comision]]</f>
        <v>9.5</v>
      </c>
      <c r="M646" s="14"/>
    </row>
    <row r="647" ht="20" hidden="1" customHeight="1" spans="1:13">
      <c r="A647" s="10" t="s">
        <v>4215</v>
      </c>
      <c r="B647" s="11" t="str">
        <f>IFERROR(VLOOKUP(VENTAS[[#This Row],[Código del producto Vendido]],STOCK[],25,FALSE),"-")</f>
        <v>Compra 7/12/2023</v>
      </c>
      <c r="C647" s="11"/>
      <c r="D647" s="11" t="s">
        <v>4222</v>
      </c>
      <c r="E647" s="11" t="s">
        <v>1487</v>
      </c>
      <c r="F647" s="11" t="str">
        <f>IFERROR(VLOOKUP(VENTAS[[#This Row],[Código del producto Vendido]],STOCK[],5,FALSE),"-")</f>
        <v>Vestido Camisero flores</v>
      </c>
      <c r="G647" s="11">
        <v>1</v>
      </c>
      <c r="H647" s="14">
        <v>35</v>
      </c>
      <c r="I647" s="14">
        <f>VENTAS[[#This Row],[Cantidad]]*VENTAS[[#This Row],[Precio Venta]]</f>
        <v>35</v>
      </c>
      <c r="J647" s="14">
        <f>IF(VENTAS[[#This Row],[Nombre del Gestor]]&gt;1,VENTAS[[#This Row],[Total]]*10%,0)</f>
        <v>3.5</v>
      </c>
      <c r="K647" s="14">
        <f>IFERROR(VLOOKUP(VENTAS[[#This Row],[Código del producto Vendido]],STOCK[],16,FALSE)*VENTAS[[#This Row],[Cantidad]]+VLOOKUP(VENTAS[[#This Row],[Código del producto Vendido]],STOCK[],19,FALSE)*VENTAS[[#This Row],[Cantidad]],VENTAS[[#This Row],[Total]])</f>
        <v>20.6</v>
      </c>
      <c r="L647" s="14">
        <f>VENTAS[[#This Row],[Total]]-VENTAS[[#This Row],[Comisión 10%]]-VENTAS[[#This Row],[Costo SIN Comision]]</f>
        <v>10.9</v>
      </c>
      <c r="M647" s="14"/>
    </row>
    <row r="648" ht="20" hidden="1" customHeight="1" spans="1:13">
      <c r="A648" s="10" t="s">
        <v>4215</v>
      </c>
      <c r="B648" s="11" t="str">
        <f>IFERROR(VLOOKUP(VENTAS[[#This Row],[Código del producto Vendido]],STOCK[],25,FALSE),"-")</f>
        <v>Compra 7/12/2023</v>
      </c>
      <c r="C648" s="11"/>
      <c r="D648" s="11"/>
      <c r="E648" s="11" t="s">
        <v>1502</v>
      </c>
      <c r="F648" s="11" t="str">
        <f>IFERROR(VLOOKUP(VENTAS[[#This Row],[Código del producto Vendido]],STOCK[],5,FALSE),"-")</f>
        <v>Chaleco blanco botones</v>
      </c>
      <c r="G648" s="11">
        <v>1</v>
      </c>
      <c r="H648" s="14">
        <v>25</v>
      </c>
      <c r="I648" s="14">
        <f>VENTAS[[#This Row],[Cantidad]]*VENTAS[[#This Row],[Precio Venta]]</f>
        <v>25</v>
      </c>
      <c r="J648" s="14">
        <f>IF(VENTAS[[#This Row],[Nombre del Gestor]]&gt;1,VENTAS[[#This Row],[Total]]*10%,0)</f>
        <v>0</v>
      </c>
      <c r="K648" s="14">
        <f>IFERROR(VLOOKUP(VENTAS[[#This Row],[Código del producto Vendido]],STOCK[],16,FALSE)*VENTAS[[#This Row],[Cantidad]]+VLOOKUP(VENTAS[[#This Row],[Código del producto Vendido]],STOCK[],19,FALSE)*VENTAS[[#This Row],[Cantidad]],VENTAS[[#This Row],[Total]])</f>
        <v>13.5</v>
      </c>
      <c r="L648" s="14">
        <f>VENTAS[[#This Row],[Total]]-VENTAS[[#This Row],[Comisión 10%]]-VENTAS[[#This Row],[Costo SIN Comision]]</f>
        <v>11.5</v>
      </c>
      <c r="M648" s="14"/>
    </row>
    <row r="649" ht="20" hidden="1" customHeight="1" spans="1:13">
      <c r="A649" s="10" t="s">
        <v>4215</v>
      </c>
      <c r="B649" s="11" t="str">
        <f>IFERROR(VLOOKUP(VENTAS[[#This Row],[Código del producto Vendido]],STOCK[],25,FALSE),"-")</f>
        <v>Compra 7/12/2023</v>
      </c>
      <c r="C649" s="11"/>
      <c r="D649" s="11"/>
      <c r="E649" s="11" t="s">
        <v>1518</v>
      </c>
      <c r="F649" s="11" t="str">
        <f>IFERROR(VLOOKUP(VENTAS[[#This Row],[Código del producto Vendido]],STOCK[],5,FALSE),"-")</f>
        <v>Chaleco de traje</v>
      </c>
      <c r="G649" s="11">
        <v>1</v>
      </c>
      <c r="H649" s="14">
        <v>25</v>
      </c>
      <c r="I649" s="14">
        <f>VENTAS[[#This Row],[Cantidad]]*VENTAS[[#This Row],[Precio Venta]]</f>
        <v>25</v>
      </c>
      <c r="J649" s="14">
        <f>IF(VENTAS[[#This Row],[Nombre del Gestor]]&gt;1,VENTAS[[#This Row],[Total]]*10%,0)</f>
        <v>0</v>
      </c>
      <c r="K649" s="14">
        <f>IFERROR(VLOOKUP(VENTAS[[#This Row],[Código del producto Vendido]],STOCK[],16,FALSE)*VENTAS[[#This Row],[Cantidad]]+VLOOKUP(VENTAS[[#This Row],[Código del producto Vendido]],STOCK[],19,FALSE)*VENTAS[[#This Row],[Cantidad]],VENTAS[[#This Row],[Total]])</f>
        <v>13.5</v>
      </c>
      <c r="L649" s="14">
        <f>VENTAS[[#This Row],[Total]]-VENTAS[[#This Row],[Comisión 10%]]-VENTAS[[#This Row],[Costo SIN Comision]]</f>
        <v>11.5</v>
      </c>
      <c r="M649" s="14"/>
    </row>
    <row r="650" ht="20" hidden="1" customHeight="1" spans="1:13">
      <c r="A650" s="10" t="s">
        <v>4215</v>
      </c>
      <c r="B650" s="11" t="str">
        <f>IFERROR(VLOOKUP(VENTAS[[#This Row],[Código del producto Vendido]],STOCK[],25,FALSE),"-")</f>
        <v>Compra 7/12/2023</v>
      </c>
      <c r="C650" s="11"/>
      <c r="D650" s="11"/>
      <c r="E650" s="11" t="s">
        <v>1520</v>
      </c>
      <c r="F650" s="11" t="str">
        <f>IFERROR(VLOOKUP(VENTAS[[#This Row],[Código del producto Vendido]],STOCK[],5,FALSE),"-")</f>
        <v>Chaleco de traje</v>
      </c>
      <c r="G650" s="11">
        <v>1</v>
      </c>
      <c r="H650" s="14">
        <v>25</v>
      </c>
      <c r="I650" s="14">
        <f>VENTAS[[#This Row],[Cantidad]]*VENTAS[[#This Row],[Precio Venta]]</f>
        <v>25</v>
      </c>
      <c r="J650" s="14">
        <f>IF(VENTAS[[#This Row],[Nombre del Gestor]]&gt;1,VENTAS[[#This Row],[Total]]*10%,0)</f>
        <v>0</v>
      </c>
      <c r="K650" s="14">
        <f>IFERROR(VLOOKUP(VENTAS[[#This Row],[Código del producto Vendido]],STOCK[],16,FALSE)*VENTAS[[#This Row],[Cantidad]]+VLOOKUP(VENTAS[[#This Row],[Código del producto Vendido]],STOCK[],19,FALSE)*VENTAS[[#This Row],[Cantidad]],VENTAS[[#This Row],[Total]])</f>
        <v>13.5</v>
      </c>
      <c r="L650" s="14">
        <f>VENTAS[[#This Row],[Total]]-VENTAS[[#This Row],[Comisión 10%]]-VENTAS[[#This Row],[Costo SIN Comision]]</f>
        <v>11.5</v>
      </c>
      <c r="M650" s="14"/>
    </row>
    <row r="651" ht="20" hidden="1" customHeight="1" spans="1:13">
      <c r="A651" s="10" t="s">
        <v>4215</v>
      </c>
      <c r="B651" s="11" t="str">
        <f>IFERROR(VLOOKUP(VENTAS[[#This Row],[Código del producto Vendido]],STOCK[],25,FALSE),"-")</f>
        <v>Compra 7/12/2023</v>
      </c>
      <c r="C651" s="11"/>
      <c r="D651" s="11"/>
      <c r="E651" s="11" t="s">
        <v>1535</v>
      </c>
      <c r="F651" s="11" t="str">
        <f>IFERROR(VLOOKUP(VENTAS[[#This Row],[Código del producto Vendido]],STOCK[],5,FALSE),"-")</f>
        <v>Top de encaje</v>
      </c>
      <c r="G651" s="11">
        <v>1</v>
      </c>
      <c r="H651" s="14">
        <v>22</v>
      </c>
      <c r="I651" s="14">
        <f>VENTAS[[#This Row],[Cantidad]]*VENTAS[[#This Row],[Precio Venta]]</f>
        <v>22</v>
      </c>
      <c r="J651" s="14">
        <f>IF(VENTAS[[#This Row],[Nombre del Gestor]]&gt;1,VENTAS[[#This Row],[Total]]*10%,0)</f>
        <v>0</v>
      </c>
      <c r="K651" s="14">
        <f>IFERROR(VLOOKUP(VENTAS[[#This Row],[Código del producto Vendido]],STOCK[],16,FALSE)*VENTAS[[#This Row],[Cantidad]]+VLOOKUP(VENTAS[[#This Row],[Código del producto Vendido]],STOCK[],19,FALSE)*VENTAS[[#This Row],[Cantidad]],VENTAS[[#This Row],[Total]])</f>
        <v>14.7</v>
      </c>
      <c r="L651" s="14">
        <f>VENTAS[[#This Row],[Total]]-VENTAS[[#This Row],[Comisión 10%]]-VENTAS[[#This Row],[Costo SIN Comision]]</f>
        <v>7.3</v>
      </c>
      <c r="M651" s="14"/>
    </row>
    <row r="652" ht="20" hidden="1" customHeight="1" spans="1:13">
      <c r="A652" s="10" t="s">
        <v>4215</v>
      </c>
      <c r="B652" s="11" t="str">
        <f>IFERROR(VLOOKUP(VENTAS[[#This Row],[Código del producto Vendido]],STOCK[],25,FALSE),"-")</f>
        <v>Compra 7/12/2023</v>
      </c>
      <c r="C652" s="11"/>
      <c r="D652" s="11"/>
      <c r="E652" s="11" t="s">
        <v>1473</v>
      </c>
      <c r="F652" s="11" t="str">
        <f>IFERROR(VLOOKUP(VENTAS[[#This Row],[Código del producto Vendido]],STOCK[],5,FALSE),"-")</f>
        <v>Camiseta Dazy Negro</v>
      </c>
      <c r="G652" s="11">
        <v>1</v>
      </c>
      <c r="H652" s="14">
        <v>13</v>
      </c>
      <c r="I652" s="14">
        <f>VENTAS[[#This Row],[Cantidad]]*VENTAS[[#This Row],[Precio Venta]]</f>
        <v>13</v>
      </c>
      <c r="J652" s="14">
        <f>IF(VENTAS[[#This Row],[Nombre del Gestor]]&gt;1,VENTAS[[#This Row],[Total]]*10%,0)</f>
        <v>0</v>
      </c>
      <c r="K652" s="14">
        <f>IFERROR(VLOOKUP(VENTAS[[#This Row],[Código del producto Vendido]],STOCK[],16,FALSE)*VENTAS[[#This Row],[Cantidad]]+VLOOKUP(VENTAS[[#This Row],[Código del producto Vendido]],STOCK[],19,FALSE)*VENTAS[[#This Row],[Cantidad]],VENTAS[[#This Row],[Total]])</f>
        <v>11</v>
      </c>
      <c r="L652" s="14">
        <f>VENTAS[[#This Row],[Total]]-VENTAS[[#This Row],[Comisión 10%]]-VENTAS[[#This Row],[Costo SIN Comision]]</f>
        <v>2</v>
      </c>
      <c r="M652" s="14"/>
    </row>
    <row r="653" ht="20" hidden="1" customHeight="1" spans="1:13">
      <c r="A653" s="10" t="s">
        <v>4215</v>
      </c>
      <c r="B653" s="11" t="str">
        <f>IFERROR(VLOOKUP(VENTAS[[#This Row],[Código del producto Vendido]],STOCK[],25,FALSE),"-")</f>
        <v>Compra 7/12/2023</v>
      </c>
      <c r="C653" s="11"/>
      <c r="D653" s="11" t="s">
        <v>4220</v>
      </c>
      <c r="E653" s="11" t="s">
        <v>1508</v>
      </c>
      <c r="F653" s="11" t="str">
        <f>IFERROR(VLOOKUP(VENTAS[[#This Row],[Código del producto Vendido]],STOCK[],5,FALSE),"-")</f>
        <v>Camiseta Dazy Blanco</v>
      </c>
      <c r="G653" s="11">
        <v>1</v>
      </c>
      <c r="H653" s="14">
        <v>13</v>
      </c>
      <c r="I653" s="14">
        <f>VENTAS[[#This Row],[Cantidad]]*VENTAS[[#This Row],[Precio Venta]]</f>
        <v>13</v>
      </c>
      <c r="J653" s="14">
        <f>IF(VENTAS[[#This Row],[Nombre del Gestor]]&gt;1,VENTAS[[#This Row],[Total]]*10%,0)</f>
        <v>1.3</v>
      </c>
      <c r="K653" s="14">
        <f>IFERROR(VLOOKUP(VENTAS[[#This Row],[Código del producto Vendido]],STOCK[],16,FALSE)*VENTAS[[#This Row],[Cantidad]]+VLOOKUP(VENTAS[[#This Row],[Código del producto Vendido]],STOCK[],19,FALSE)*VENTAS[[#This Row],[Cantidad]],VENTAS[[#This Row],[Total]])</f>
        <v>1.5</v>
      </c>
      <c r="L653" s="14">
        <f>VENTAS[[#This Row],[Total]]-VENTAS[[#This Row],[Comisión 10%]]-VENTAS[[#This Row],[Costo SIN Comision]]</f>
        <v>10.2</v>
      </c>
      <c r="M653" s="14"/>
    </row>
    <row r="654" ht="20" hidden="1" customHeight="1" spans="1:13">
      <c r="A654" s="10" t="s">
        <v>4215</v>
      </c>
      <c r="B654" s="11" t="str">
        <f>IFERROR(VLOOKUP(VENTAS[[#This Row],[Código del producto Vendido]],STOCK[],25,FALSE),"-")</f>
        <v>COMPRA F21</v>
      </c>
      <c r="C654" s="11"/>
      <c r="D654" s="11"/>
      <c r="E654" s="11" t="s">
        <v>1452</v>
      </c>
      <c r="F654" s="11" t="str">
        <f>IFERROR(VLOOKUP(VENTAS[[#This Row],[Código del producto Vendido]],STOCK[],5,FALSE),"-")</f>
        <v>Sandalias minimalistas de plataforma</v>
      </c>
      <c r="G654" s="11">
        <v>1</v>
      </c>
      <c r="H654" s="14">
        <v>30</v>
      </c>
      <c r="I654" s="14">
        <f>VENTAS[[#This Row],[Cantidad]]*VENTAS[[#This Row],[Precio Venta]]</f>
        <v>30</v>
      </c>
      <c r="J654" s="14">
        <f>IF(VENTAS[[#This Row],[Nombre del Gestor]]&gt;1,VENTAS[[#This Row],[Total]]*10%,0)</f>
        <v>0</v>
      </c>
      <c r="K654" s="14">
        <f>IFERROR(VLOOKUP(VENTAS[[#This Row],[Código del producto Vendido]],STOCK[],16,FALSE)*VENTAS[[#This Row],[Cantidad]]+VLOOKUP(VENTAS[[#This Row],[Código del producto Vendido]],STOCK[],19,FALSE)*VENTAS[[#This Row],[Cantidad]],VENTAS[[#This Row],[Total]])</f>
        <v>22.49</v>
      </c>
      <c r="L654" s="14">
        <f>VENTAS[[#This Row],[Total]]-VENTAS[[#This Row],[Comisión 10%]]-VENTAS[[#This Row],[Costo SIN Comision]]</f>
        <v>7.51</v>
      </c>
      <c r="M654" s="14"/>
    </row>
    <row r="655" ht="20" hidden="1" customHeight="1" spans="1:13">
      <c r="A655" s="10" t="s">
        <v>4215</v>
      </c>
      <c r="B655" s="11" t="str">
        <f>IFERROR(VLOOKUP(VENTAS[[#This Row],[Código del producto Vendido]],STOCK[],25,FALSE),"-")</f>
        <v>COMPRA F21</v>
      </c>
      <c r="C655" s="11"/>
      <c r="D655" s="11"/>
      <c r="E655" s="11" t="s">
        <v>1454</v>
      </c>
      <c r="F655" s="11" t="str">
        <f>IFERROR(VLOOKUP(VENTAS[[#This Row],[Código del producto Vendido]],STOCK[],5,FALSE),"-")</f>
        <v>Sandalias minimalistas de plataforma</v>
      </c>
      <c r="G655" s="11">
        <v>1</v>
      </c>
      <c r="H655" s="14">
        <v>35</v>
      </c>
      <c r="I655" s="14">
        <f>VENTAS[[#This Row],[Cantidad]]*VENTAS[[#This Row],[Precio Venta]]</f>
        <v>35</v>
      </c>
      <c r="J655" s="14">
        <f>IF(VENTAS[[#This Row],[Nombre del Gestor]]&gt;1,VENTAS[[#This Row],[Total]]*10%,0)</f>
        <v>0</v>
      </c>
      <c r="K655" s="14">
        <f>IFERROR(VLOOKUP(VENTAS[[#This Row],[Código del producto Vendido]],STOCK[],16,FALSE)*VENTAS[[#This Row],[Cantidad]]+VLOOKUP(VENTAS[[#This Row],[Código del producto Vendido]],STOCK[],19,FALSE)*VENTAS[[#This Row],[Cantidad]],VENTAS[[#This Row],[Total]])</f>
        <v>22.49</v>
      </c>
      <c r="L655" s="14">
        <f>VENTAS[[#This Row],[Total]]-VENTAS[[#This Row],[Comisión 10%]]-VENTAS[[#This Row],[Costo SIN Comision]]</f>
        <v>12.51</v>
      </c>
      <c r="M655" s="14"/>
    </row>
    <row r="656" ht="20" hidden="1" customHeight="1" spans="1:13">
      <c r="A656" s="10" t="s">
        <v>4215</v>
      </c>
      <c r="B656" s="11">
        <f>IFERROR(VLOOKUP(VENTAS[[#This Row],[Código del producto Vendido]],STOCK[],25,FALSE),"-")</f>
        <v>0</v>
      </c>
      <c r="C656" s="11"/>
      <c r="D656" s="11"/>
      <c r="E656" s="11" t="s">
        <v>1461</v>
      </c>
      <c r="F656" s="11" t="str">
        <f>IFERROR(VLOOKUP(VENTAS[[#This Row],[Código del producto Vendido]],STOCK[],5,FALSE),"-")</f>
        <v>Pantalón alto de bajo elegante</v>
      </c>
      <c r="G656" s="11">
        <v>1</v>
      </c>
      <c r="H656" s="14">
        <v>32</v>
      </c>
      <c r="I656" s="14">
        <f>VENTAS[[#This Row],[Cantidad]]*VENTAS[[#This Row],[Precio Venta]]</f>
        <v>32</v>
      </c>
      <c r="J656" s="14">
        <f>IF(VENTAS[[#This Row],[Nombre del Gestor]]&gt;1,VENTAS[[#This Row],[Total]]*10%,0)</f>
        <v>0</v>
      </c>
      <c r="K656" s="14">
        <f>IFERROR(VLOOKUP(VENTAS[[#This Row],[Código del producto Vendido]],STOCK[],16,FALSE)*VENTAS[[#This Row],[Cantidad]]+VLOOKUP(VENTAS[[#This Row],[Código del producto Vendido]],STOCK[],19,FALSE)*VENTAS[[#This Row],[Cantidad]],VENTAS[[#This Row],[Total]])</f>
        <v>16.19</v>
      </c>
      <c r="L656" s="14">
        <f>VENTAS[[#This Row],[Total]]-VENTAS[[#This Row],[Comisión 10%]]-VENTAS[[#This Row],[Costo SIN Comision]]</f>
        <v>15.81</v>
      </c>
      <c r="M656" s="14"/>
    </row>
    <row r="657" ht="20" hidden="1" customHeight="1" spans="1:13">
      <c r="A657" s="10" t="s">
        <v>4215</v>
      </c>
      <c r="B657" s="11" t="str">
        <f>IFERROR(VLOOKUP(VENTAS[[#This Row],[Código del producto Vendido]],STOCK[],25,FALSE),"-")</f>
        <v>Compra 7/12/2023</v>
      </c>
      <c r="C657" s="11"/>
      <c r="D657" s="11"/>
      <c r="E657" s="11" t="s">
        <v>1491</v>
      </c>
      <c r="F657" s="11" t="str">
        <f>IFERROR(VLOOKUP(VENTAS[[#This Row],[Código del producto Vendido]],STOCK[],5,FALSE),"-")</f>
        <v>Pullover cuello redondo</v>
      </c>
      <c r="G657" s="11">
        <v>1</v>
      </c>
      <c r="H657" s="14">
        <v>13</v>
      </c>
      <c r="I657" s="14">
        <f>VENTAS[[#This Row],[Cantidad]]*VENTAS[[#This Row],[Precio Venta]]</f>
        <v>13</v>
      </c>
      <c r="J657" s="14">
        <f>IF(VENTAS[[#This Row],[Nombre del Gestor]]&gt;1,VENTAS[[#This Row],[Total]]*10%,0)</f>
        <v>0</v>
      </c>
      <c r="K657" s="14">
        <f>IFERROR(VLOOKUP(VENTAS[[#This Row],[Código del producto Vendido]],STOCK[],16,FALSE)*VENTAS[[#This Row],[Cantidad]]+VLOOKUP(VENTAS[[#This Row],[Código del producto Vendido]],STOCK[],19,FALSE)*VENTAS[[#This Row],[Cantidad]],VENTAS[[#This Row],[Total]])</f>
        <v>7.5</v>
      </c>
      <c r="L657" s="14">
        <f>VENTAS[[#This Row],[Total]]-VENTAS[[#This Row],[Comisión 10%]]-VENTAS[[#This Row],[Costo SIN Comision]]</f>
        <v>5.5</v>
      </c>
      <c r="M657" s="14"/>
    </row>
    <row r="658" ht="20" hidden="1" customHeight="1" spans="1:13">
      <c r="A658" s="10" t="s">
        <v>4215</v>
      </c>
      <c r="B658" s="11">
        <f>IFERROR(VLOOKUP(VENTAS[[#This Row],[Código del producto Vendido]],STOCK[],25,FALSE),"-")</f>
        <v>0</v>
      </c>
      <c r="C658" s="11"/>
      <c r="D658" s="11"/>
      <c r="E658" s="11" t="s">
        <v>151</v>
      </c>
      <c r="F658" s="11" t="str">
        <f>IFERROR(VLOOKUP(VENTAS[[#This Row],[Código del producto Vendido]],STOCK[],5,FALSE),"-")</f>
        <v>Jean Boyfriend con rotos</v>
      </c>
      <c r="G658" s="11">
        <v>1</v>
      </c>
      <c r="H658" s="14">
        <v>30</v>
      </c>
      <c r="I658" s="14">
        <f>VENTAS[[#This Row],[Cantidad]]*VENTAS[[#This Row],[Precio Venta]]</f>
        <v>30</v>
      </c>
      <c r="J658" s="14">
        <f>IF(VENTAS[[#This Row],[Nombre del Gestor]]&gt;1,VENTAS[[#This Row],[Total]]*10%,0)</f>
        <v>0</v>
      </c>
      <c r="K658" s="14">
        <f>IFERROR(VLOOKUP(VENTAS[[#This Row],[Código del producto Vendido]],STOCK[],16,FALSE)*VENTAS[[#This Row],[Cantidad]]+VLOOKUP(VENTAS[[#This Row],[Código del producto Vendido]],STOCK[],19,FALSE)*VENTAS[[#This Row],[Cantidad]],VENTAS[[#This Row],[Total]])</f>
        <v>18.6866666666667</v>
      </c>
      <c r="L658" s="14">
        <f>VENTAS[[#This Row],[Total]]-VENTAS[[#This Row],[Comisión 10%]]-VENTAS[[#This Row],[Costo SIN Comision]]</f>
        <v>11.3133333333333</v>
      </c>
      <c r="M658" s="14"/>
    </row>
    <row r="659" ht="20" hidden="1" customHeight="1" spans="1:13">
      <c r="A659" s="10" t="s">
        <v>4215</v>
      </c>
      <c r="B659" s="11">
        <f>IFERROR(VLOOKUP(VENTAS[[#This Row],[Código del producto Vendido]],STOCK[],25,FALSE),"-")</f>
        <v>0</v>
      </c>
      <c r="C659" s="11"/>
      <c r="D659" s="11" t="s">
        <v>4216</v>
      </c>
      <c r="E659" s="11" t="s">
        <v>151</v>
      </c>
      <c r="F659" s="11" t="str">
        <f>IFERROR(VLOOKUP(VENTAS[[#This Row],[Código del producto Vendido]],STOCK[],5,FALSE),"-")</f>
        <v>Jean Boyfriend con rotos</v>
      </c>
      <c r="G659" s="11">
        <v>1</v>
      </c>
      <c r="H659" s="14">
        <v>30</v>
      </c>
      <c r="I659" s="14">
        <f>VENTAS[[#This Row],[Cantidad]]*VENTAS[[#This Row],[Precio Venta]]</f>
        <v>30</v>
      </c>
      <c r="J659" s="14">
        <f>IF(VENTAS[[#This Row],[Nombre del Gestor]]&gt;1,VENTAS[[#This Row],[Total]]*10%,0)</f>
        <v>3</v>
      </c>
      <c r="K659" s="14">
        <f>IFERROR(VLOOKUP(VENTAS[[#This Row],[Código del producto Vendido]],STOCK[],16,FALSE)*VENTAS[[#This Row],[Cantidad]]+VLOOKUP(VENTAS[[#This Row],[Código del producto Vendido]],STOCK[],19,FALSE)*VENTAS[[#This Row],[Cantidad]],VENTAS[[#This Row],[Total]])</f>
        <v>18.6866666666667</v>
      </c>
      <c r="L659" s="14">
        <f>VENTAS[[#This Row],[Total]]-VENTAS[[#This Row],[Comisión 10%]]-VENTAS[[#This Row],[Costo SIN Comision]]</f>
        <v>8.31333333333333</v>
      </c>
      <c r="M659" s="14"/>
    </row>
    <row r="660" ht="20" hidden="1" customHeight="1" spans="1:13">
      <c r="A660" s="10" t="s">
        <v>4215</v>
      </c>
      <c r="B660" s="11" t="str">
        <f>IFERROR(VLOOKUP(VENTAS[[#This Row],[Código del producto Vendido]],STOCK[],25,FALSE),"-")</f>
        <v>Compra 7/12/2023</v>
      </c>
      <c r="C660" s="11"/>
      <c r="D660" s="11"/>
      <c r="E660" s="11" t="s">
        <v>1518</v>
      </c>
      <c r="F660" s="11" t="str">
        <f>IFERROR(VLOOKUP(VENTAS[[#This Row],[Código del producto Vendido]],STOCK[],5,FALSE),"-")</f>
        <v>Chaleco de traje</v>
      </c>
      <c r="G660" s="11">
        <v>1</v>
      </c>
      <c r="H660" s="14">
        <v>25</v>
      </c>
      <c r="I660" s="14">
        <f>VENTAS[[#This Row],[Cantidad]]*VENTAS[[#This Row],[Precio Venta]]</f>
        <v>25</v>
      </c>
      <c r="J660" s="14">
        <f>IF(VENTAS[[#This Row],[Nombre del Gestor]]&gt;1,VENTAS[[#This Row],[Total]]*10%,0)</f>
        <v>0</v>
      </c>
      <c r="K660" s="14">
        <f>IFERROR(VLOOKUP(VENTAS[[#This Row],[Código del producto Vendido]],STOCK[],16,FALSE)*VENTAS[[#This Row],[Cantidad]]+VLOOKUP(VENTAS[[#This Row],[Código del producto Vendido]],STOCK[],19,FALSE)*VENTAS[[#This Row],[Cantidad]],VENTAS[[#This Row],[Total]])</f>
        <v>13.5</v>
      </c>
      <c r="L660" s="14">
        <f>VENTAS[[#This Row],[Total]]-VENTAS[[#This Row],[Comisión 10%]]-VENTAS[[#This Row],[Costo SIN Comision]]</f>
        <v>11.5</v>
      </c>
      <c r="M660" s="14"/>
    </row>
    <row r="661" ht="20" hidden="1" customHeight="1" spans="1:13">
      <c r="A661" s="10"/>
      <c r="B661" s="11" t="str">
        <f>IFERROR(VLOOKUP(VENTAS[[#This Row],[Código del producto Vendido]],STOCK[],25,FALSE),"-")</f>
        <v>Compra 9/12/2023</v>
      </c>
      <c r="C661" s="11"/>
      <c r="D661" s="11"/>
      <c r="E661" s="11" t="s">
        <v>1615</v>
      </c>
      <c r="F661" s="11" t="str">
        <f>IFERROR(VLOOKUP(VENTAS[[#This Row],[Código del producto Vendido]],STOCK[],5,FALSE),"-")</f>
        <v>Camisa Modely</v>
      </c>
      <c r="G661" s="11">
        <v>1</v>
      </c>
      <c r="H661" s="14">
        <v>22</v>
      </c>
      <c r="I661" s="14">
        <f>VENTAS[[#This Row],[Cantidad]]*VENTAS[[#This Row],[Precio Venta]]</f>
        <v>22</v>
      </c>
      <c r="J661" s="14">
        <f>IF(VENTAS[[#This Row],[Nombre del Gestor]]&gt;1,VENTAS[[#This Row],[Total]]*10%,0)</f>
        <v>0</v>
      </c>
      <c r="K661" s="14">
        <f>IFERROR(VLOOKUP(VENTAS[[#This Row],[Código del producto Vendido]],STOCK[],16,FALSE)*VENTAS[[#This Row],[Cantidad]]+VLOOKUP(VENTAS[[#This Row],[Código del producto Vendido]],STOCK[],19,FALSE)*VENTAS[[#This Row],[Cantidad]],VENTAS[[#This Row],[Total]])</f>
        <v>9.74</v>
      </c>
      <c r="L661" s="14">
        <f>VENTAS[[#This Row],[Total]]-VENTAS[[#This Row],[Comisión 10%]]-VENTAS[[#This Row],[Costo SIN Comision]]</f>
        <v>12.26</v>
      </c>
      <c r="M661" s="14"/>
    </row>
    <row r="662" ht="20" hidden="1" customHeight="1" spans="1:13">
      <c r="A662" s="10"/>
      <c r="B662" s="11" t="str">
        <f>IFERROR(VLOOKUP(VENTAS[[#This Row],[Código del producto Vendido]],STOCK[],25,FALSE),"-")</f>
        <v>Compra 9/12/2023</v>
      </c>
      <c r="C662" s="11"/>
      <c r="D662" s="11"/>
      <c r="E662" s="11" t="s">
        <v>1627</v>
      </c>
      <c r="F662" s="11" t="str">
        <f>IFERROR(VLOOKUP(VENTAS[[#This Row],[Código del producto Vendido]],STOCK[],5,FALSE),"-")</f>
        <v>Vestido Tarsha</v>
      </c>
      <c r="G662" s="11">
        <v>1</v>
      </c>
      <c r="H662" s="14">
        <v>27</v>
      </c>
      <c r="I662" s="14">
        <f>VENTAS[[#This Row],[Cantidad]]*VENTAS[[#This Row],[Precio Venta]]</f>
        <v>27</v>
      </c>
      <c r="J662" s="14">
        <f>IF(VENTAS[[#This Row],[Nombre del Gestor]]&gt;1,VENTAS[[#This Row],[Total]]*10%,0)</f>
        <v>0</v>
      </c>
      <c r="K662" s="14">
        <f>IFERROR(VLOOKUP(VENTAS[[#This Row],[Código del producto Vendido]],STOCK[],16,FALSE)*VENTAS[[#This Row],[Cantidad]]+VLOOKUP(VENTAS[[#This Row],[Código del producto Vendido]],STOCK[],19,FALSE)*VENTAS[[#This Row],[Cantidad]],VENTAS[[#This Row],[Total]])</f>
        <v>13.97</v>
      </c>
      <c r="L662" s="14">
        <f>VENTAS[[#This Row],[Total]]-VENTAS[[#This Row],[Comisión 10%]]-VENTAS[[#This Row],[Costo SIN Comision]]</f>
        <v>13.03</v>
      </c>
      <c r="M662" s="14"/>
    </row>
    <row r="663" ht="20" hidden="1" customHeight="1" spans="1:13">
      <c r="A663" s="10"/>
      <c r="B663" s="11" t="str">
        <f>IFERROR(VLOOKUP(VENTAS[[#This Row],[Código del producto Vendido]],STOCK[],25,FALSE),"-")</f>
        <v>Compra 9/12/2023</v>
      </c>
      <c r="C663" s="11"/>
      <c r="D663" s="11" t="s">
        <v>4194</v>
      </c>
      <c r="E663" s="11" t="s">
        <v>1640</v>
      </c>
      <c r="F663" s="11" t="str">
        <f>IFERROR(VLOOKUP(VENTAS[[#This Row],[Código del producto Vendido]],STOCK[],5,FALSE),"-")</f>
        <v>Top Asimétrico Acanalado</v>
      </c>
      <c r="G663" s="11">
        <v>1</v>
      </c>
      <c r="H663" s="14">
        <v>12</v>
      </c>
      <c r="I663" s="14">
        <f>VENTAS[[#This Row],[Cantidad]]*VENTAS[[#This Row],[Precio Venta]]</f>
        <v>12</v>
      </c>
      <c r="J663" s="14">
        <f>IF(VENTAS[[#This Row],[Nombre del Gestor]]&gt;1,VENTAS[[#This Row],[Total]]*10%,0)</f>
        <v>1.2</v>
      </c>
      <c r="K663" s="14">
        <f>IFERROR(VLOOKUP(VENTAS[[#This Row],[Código del producto Vendido]],STOCK[],16,FALSE)*VENTAS[[#This Row],[Cantidad]]+VLOOKUP(VENTAS[[#This Row],[Código del producto Vendido]],STOCK[],19,FALSE)*VENTAS[[#This Row],[Cantidad]],VENTAS[[#This Row],[Total]])</f>
        <v>5.7</v>
      </c>
      <c r="L663" s="14">
        <f>VENTAS[[#This Row],[Total]]-VENTAS[[#This Row],[Comisión 10%]]-VENTAS[[#This Row],[Costo SIN Comision]]</f>
        <v>5.1</v>
      </c>
      <c r="M663" s="14"/>
    </row>
    <row r="664" ht="20" hidden="1" customHeight="1" spans="1:13">
      <c r="A664" s="10"/>
      <c r="B664" s="11" t="str">
        <f>IFERROR(VLOOKUP(VENTAS[[#This Row],[Código del producto Vendido]],STOCK[],25,FALSE),"-")</f>
        <v>Compra 9/12/2023</v>
      </c>
      <c r="C664" s="11"/>
      <c r="D664" s="11" t="s">
        <v>4220</v>
      </c>
      <c r="E664" s="11" t="s">
        <v>1654</v>
      </c>
      <c r="F664" s="11" t="str">
        <f>IFERROR(VLOOKUP(VENTAS[[#This Row],[Código del producto Vendido]],STOCK[],5,FALSE),"-")</f>
        <v>Vestido Margarita</v>
      </c>
      <c r="G664" s="11">
        <v>1</v>
      </c>
      <c r="H664" s="14">
        <v>28</v>
      </c>
      <c r="I664" s="14">
        <f>VENTAS[[#This Row],[Cantidad]]*VENTAS[[#This Row],[Precio Venta]]</f>
        <v>28</v>
      </c>
      <c r="J664" s="14">
        <f>IF(VENTAS[[#This Row],[Nombre del Gestor]]&gt;1,VENTAS[[#This Row],[Total]]*10%,0)</f>
        <v>2.8</v>
      </c>
      <c r="K664" s="14">
        <f>IFERROR(VLOOKUP(VENTAS[[#This Row],[Código del producto Vendido]],STOCK[],16,FALSE)*VENTAS[[#This Row],[Cantidad]]+VLOOKUP(VENTAS[[#This Row],[Código del producto Vendido]],STOCK[],19,FALSE)*VENTAS[[#This Row],[Cantidad]],VENTAS[[#This Row],[Total]])</f>
        <v>15.05</v>
      </c>
      <c r="L664" s="14">
        <f>VENTAS[[#This Row],[Total]]-VENTAS[[#This Row],[Comisión 10%]]-VENTAS[[#This Row],[Costo SIN Comision]]</f>
        <v>10.15</v>
      </c>
      <c r="M664" s="14"/>
    </row>
    <row r="665" ht="20" hidden="1" customHeight="1" spans="1:13">
      <c r="A665" s="10">
        <v>45326</v>
      </c>
      <c r="B665" s="11" t="str">
        <f>IFERROR(VLOOKUP(VENTAS[[#This Row],[Código del producto Vendido]],STOCK[],25,FALSE),"-")</f>
        <v>Compra 9/12/2023</v>
      </c>
      <c r="C665" s="11"/>
      <c r="D665" s="11" t="s">
        <v>4129</v>
      </c>
      <c r="E665" s="11" t="s">
        <v>1660</v>
      </c>
      <c r="F665" s="11" t="str">
        <f>IFERROR(VLOOKUP(VENTAS[[#This Row],[Código del producto Vendido]],STOCK[],5,FALSE),"-")</f>
        <v>Suéter cuello de Cisne</v>
      </c>
      <c r="G665" s="11">
        <v>1</v>
      </c>
      <c r="H665" s="14">
        <v>15</v>
      </c>
      <c r="I665" s="14">
        <f>VENTAS[[#This Row],[Cantidad]]*VENTAS[[#This Row],[Precio Venta]]</f>
        <v>15</v>
      </c>
      <c r="J665" s="14">
        <f>IF(VENTAS[[#This Row],[Nombre del Gestor]]&gt;1,VENTAS[[#This Row],[Total]]*10%,0)</f>
        <v>1.5</v>
      </c>
      <c r="K665" s="14">
        <f>IFERROR(VLOOKUP(VENTAS[[#This Row],[Código del producto Vendido]],STOCK[],16,FALSE)*VENTAS[[#This Row],[Cantidad]]+VLOOKUP(VENTAS[[#This Row],[Código del producto Vendido]],STOCK[],19,FALSE)*VENTAS[[#This Row],[Cantidad]],VENTAS[[#This Row],[Total]])</f>
        <v>5.78</v>
      </c>
      <c r="L665" s="14">
        <f>VENTAS[[#This Row],[Total]]-VENTAS[[#This Row],[Comisión 10%]]-VENTAS[[#This Row],[Costo SIN Comision]]</f>
        <v>7.72</v>
      </c>
      <c r="M665" s="14"/>
    </row>
    <row r="666" ht="20" hidden="1" customHeight="1" spans="1:13">
      <c r="A666" s="10">
        <v>45326</v>
      </c>
      <c r="B666" s="11" t="str">
        <f>IFERROR(VLOOKUP(VENTAS[[#This Row],[Código del producto Vendido]],STOCK[],25,FALSE),"-")</f>
        <v>Compra 9/12/2023</v>
      </c>
      <c r="C666" s="11"/>
      <c r="D666" s="11" t="s">
        <v>4129</v>
      </c>
      <c r="E666" s="11" t="s">
        <v>1642</v>
      </c>
      <c r="F666" s="11" t="str">
        <f>IFERROR(VLOOKUP(VENTAS[[#This Row],[Código del producto Vendido]],STOCK[],5,FALSE),"-")</f>
        <v>Top Asimétrico Acanalado</v>
      </c>
      <c r="G666" s="11">
        <v>1</v>
      </c>
      <c r="H666" s="14">
        <v>12</v>
      </c>
      <c r="I666" s="14">
        <f>VENTAS[[#This Row],[Cantidad]]*VENTAS[[#This Row],[Precio Venta]]</f>
        <v>12</v>
      </c>
      <c r="J666" s="14">
        <f>IF(VENTAS[[#This Row],[Nombre del Gestor]]&gt;1,VENTAS[[#This Row],[Total]]*10%,0)</f>
        <v>1.2</v>
      </c>
      <c r="K666" s="14">
        <f>IFERROR(VLOOKUP(VENTAS[[#This Row],[Código del producto Vendido]],STOCK[],16,FALSE)*VENTAS[[#This Row],[Cantidad]]+VLOOKUP(VENTAS[[#This Row],[Código del producto Vendido]],STOCK[],19,FALSE)*VENTAS[[#This Row],[Cantidad]],VENTAS[[#This Row],[Total]])</f>
        <v>5.7</v>
      </c>
      <c r="L666" s="14">
        <f>VENTAS[[#This Row],[Total]]-VENTAS[[#This Row],[Comisión 10%]]-VENTAS[[#This Row],[Costo SIN Comision]]</f>
        <v>5.1</v>
      </c>
      <c r="M666" s="14"/>
    </row>
    <row r="667" ht="20" hidden="1" customHeight="1" spans="1:13">
      <c r="A667" s="10">
        <v>45326</v>
      </c>
      <c r="B667" s="11" t="str">
        <f>IFERROR(VLOOKUP(VENTAS[[#This Row],[Código del producto Vendido]],STOCK[],25,FALSE),"-")</f>
        <v>Compra 9/12/2023</v>
      </c>
      <c r="C667" s="11"/>
      <c r="D667" s="11" t="s">
        <v>4129</v>
      </c>
      <c r="E667" s="11" t="s">
        <v>1666</v>
      </c>
      <c r="F667" s="11" t="str">
        <f>IFERROR(VLOOKUP(VENTAS[[#This Row],[Código del producto Vendido]],STOCK[],5,FALSE),"-")</f>
        <v>Mono Con Botón Delantero</v>
      </c>
      <c r="G667" s="11">
        <v>1</v>
      </c>
      <c r="H667" s="14">
        <v>28</v>
      </c>
      <c r="I667" s="14">
        <f>VENTAS[[#This Row],[Cantidad]]*VENTAS[[#This Row],[Precio Venta]]</f>
        <v>28</v>
      </c>
      <c r="J667" s="14">
        <f>IF(VENTAS[[#This Row],[Nombre del Gestor]]&gt;1,VENTAS[[#This Row],[Total]]*10%,0)</f>
        <v>2.8</v>
      </c>
      <c r="K667" s="14">
        <f>IFERROR(VLOOKUP(VENTAS[[#This Row],[Código del producto Vendido]],STOCK[],16,FALSE)*VENTAS[[#This Row],[Cantidad]]+VLOOKUP(VENTAS[[#This Row],[Código del producto Vendido]],STOCK[],19,FALSE)*VENTAS[[#This Row],[Cantidad]],VENTAS[[#This Row],[Total]])</f>
        <v>18.7</v>
      </c>
      <c r="L667" s="14">
        <f>VENTAS[[#This Row],[Total]]-VENTAS[[#This Row],[Comisión 10%]]-VENTAS[[#This Row],[Costo SIN Comision]]</f>
        <v>6.5</v>
      </c>
      <c r="M667" s="14"/>
    </row>
    <row r="668" ht="20" hidden="1" customHeight="1" spans="1:13">
      <c r="A668" s="10">
        <v>45326</v>
      </c>
      <c r="B668" s="11">
        <f>IFERROR(VLOOKUP(VENTAS[[#This Row],[Código del producto Vendido]],STOCK[],25,FALSE),"-")</f>
        <v>0</v>
      </c>
      <c r="C668" s="11"/>
      <c r="D668" s="11" t="s">
        <v>4129</v>
      </c>
      <c r="E668" s="11" t="s">
        <v>549</v>
      </c>
      <c r="F668" s="11" t="str">
        <f>IFERROR(VLOOKUP(VENTAS[[#This Row],[Código del producto Vendido]],STOCK[],5,FALSE),"-")</f>
        <v>Shorts bajo de doblez de cintura </v>
      </c>
      <c r="G668" s="11">
        <v>1</v>
      </c>
      <c r="H668" s="14">
        <v>19</v>
      </c>
      <c r="I668" s="14">
        <f>VENTAS[[#This Row],[Cantidad]]*VENTAS[[#This Row],[Precio Venta]]</f>
        <v>19</v>
      </c>
      <c r="J668" s="14">
        <f>IF(VENTAS[[#This Row],[Nombre del Gestor]]&gt;1,VENTAS[[#This Row],[Total]]*10%,0)</f>
        <v>1.9</v>
      </c>
      <c r="K668" s="14">
        <f>IFERROR(VLOOKUP(VENTAS[[#This Row],[Código del producto Vendido]],STOCK[],16,FALSE)*VENTAS[[#This Row],[Cantidad]]+VLOOKUP(VENTAS[[#This Row],[Código del producto Vendido]],STOCK[],19,FALSE)*VENTAS[[#This Row],[Cantidad]],VENTAS[[#This Row],[Total]])</f>
        <v>8.17611111111111</v>
      </c>
      <c r="L668" s="14">
        <f>VENTAS[[#This Row],[Total]]-VENTAS[[#This Row],[Comisión 10%]]-VENTAS[[#This Row],[Costo SIN Comision]]</f>
        <v>8.92388888888889</v>
      </c>
      <c r="M668" s="14"/>
    </row>
    <row r="669" ht="20" hidden="1" customHeight="1" spans="1:13">
      <c r="A669" s="10">
        <v>45326</v>
      </c>
      <c r="B669" s="11">
        <f>IFERROR(VLOOKUP(VENTAS[[#This Row],[Código del producto Vendido]],STOCK[],25,FALSE),"-")</f>
        <v>0</v>
      </c>
      <c r="C669" s="11"/>
      <c r="D669" s="11" t="s">
        <v>4129</v>
      </c>
      <c r="E669" s="11" t="s">
        <v>1306</v>
      </c>
      <c r="F669" s="11" t="str">
        <f>IFERROR(VLOOKUP(VENTAS[[#This Row],[Código del producto Vendido]],STOCK[],5,FALSE),"-")</f>
        <v>Jean ajustado claro</v>
      </c>
      <c r="G669" s="11">
        <v>1</v>
      </c>
      <c r="H669" s="14">
        <v>30</v>
      </c>
      <c r="I669" s="14">
        <f>VENTAS[[#This Row],[Cantidad]]*VENTAS[[#This Row],[Precio Venta]]</f>
        <v>30</v>
      </c>
      <c r="J669" s="14">
        <f>IF(VENTAS[[#This Row],[Nombre del Gestor]]&gt;1,VENTAS[[#This Row],[Total]]*10%,0)</f>
        <v>3</v>
      </c>
      <c r="K669" s="14">
        <f>IFERROR(VLOOKUP(VENTAS[[#This Row],[Código del producto Vendido]],STOCK[],16,FALSE)*VENTAS[[#This Row],[Cantidad]]+VLOOKUP(VENTAS[[#This Row],[Código del producto Vendido]],STOCK[],19,FALSE)*VENTAS[[#This Row],[Cantidad]],VENTAS[[#This Row],[Total]])</f>
        <v>23.79</v>
      </c>
      <c r="L669" s="14">
        <f>VENTAS[[#This Row],[Total]]-VENTAS[[#This Row],[Comisión 10%]]-VENTAS[[#This Row],[Costo SIN Comision]]</f>
        <v>3.21</v>
      </c>
      <c r="M669" s="14"/>
    </row>
    <row r="670" ht="20" hidden="1" customHeight="1" spans="1:13">
      <c r="A670" s="10"/>
      <c r="B670" s="11" t="str">
        <f>IFERROR(VLOOKUP(VENTAS[[#This Row],[Código del producto Vendido]],STOCK[],25,FALSE),"-")</f>
        <v>Compra 9/12/2023</v>
      </c>
      <c r="C670" s="11"/>
      <c r="D670" s="11"/>
      <c r="E670" s="11" t="s">
        <v>1612</v>
      </c>
      <c r="F670" s="11" t="str">
        <f>IFERROR(VLOOKUP(VENTAS[[#This Row],[Código del producto Vendido]],STOCK[],5,FALSE),"-")</f>
        <v>Camisa Modely</v>
      </c>
      <c r="G670" s="11">
        <v>1</v>
      </c>
      <c r="H670" s="14">
        <v>22</v>
      </c>
      <c r="I670" s="14">
        <f>VENTAS[[#This Row],[Cantidad]]*VENTAS[[#This Row],[Precio Venta]]</f>
        <v>22</v>
      </c>
      <c r="J670" s="14">
        <f>IF(VENTAS[[#This Row],[Nombre del Gestor]]&gt;1,VENTAS[[#This Row],[Total]]*10%,0)</f>
        <v>0</v>
      </c>
      <c r="K670" s="14">
        <f>IFERROR(VLOOKUP(VENTAS[[#This Row],[Código del producto Vendido]],STOCK[],16,FALSE)*VENTAS[[#This Row],[Cantidad]]+VLOOKUP(VENTAS[[#This Row],[Código del producto Vendido]],STOCK[],19,FALSE)*VENTAS[[#This Row],[Cantidad]],VENTAS[[#This Row],[Total]])</f>
        <v>9.74</v>
      </c>
      <c r="L670" s="14">
        <f>VENTAS[[#This Row],[Total]]-VENTAS[[#This Row],[Comisión 10%]]-VENTAS[[#This Row],[Costo SIN Comision]]</f>
        <v>12.26</v>
      </c>
      <c r="M670" s="14"/>
    </row>
    <row r="671" ht="20" hidden="1" customHeight="1" spans="1:13">
      <c r="A671" s="10"/>
      <c r="B671" s="11" t="str">
        <f>IFERROR(VLOOKUP(VENTAS[[#This Row],[Código del producto Vendido]],STOCK[],25,FALSE),"-")</f>
        <v>Compra 7/12/2023</v>
      </c>
      <c r="C671" s="11"/>
      <c r="D671" s="11"/>
      <c r="E671" s="11" t="s">
        <v>1521</v>
      </c>
      <c r="F671" s="11" t="str">
        <f>IFERROR(VLOOKUP(VENTAS[[#This Row],[Código del producto Vendido]],STOCK[],5,FALSE),"-")</f>
        <v>Saya de Mezclilla a la Cintura</v>
      </c>
      <c r="G671" s="11">
        <v>1</v>
      </c>
      <c r="H671" s="14">
        <v>35</v>
      </c>
      <c r="I671" s="14">
        <f>VENTAS[[#This Row],[Cantidad]]*VENTAS[[#This Row],[Precio Venta]]</f>
        <v>35</v>
      </c>
      <c r="J671" s="14">
        <f>IF(VENTAS[[#This Row],[Nombre del Gestor]]&gt;1,VENTAS[[#This Row],[Total]]*10%,0)</f>
        <v>0</v>
      </c>
      <c r="K671" s="14">
        <f>IFERROR(VLOOKUP(VENTAS[[#This Row],[Código del producto Vendido]],STOCK[],16,FALSE)*VENTAS[[#This Row],[Cantidad]]+VLOOKUP(VENTAS[[#This Row],[Código del producto Vendido]],STOCK[],19,FALSE)*VENTAS[[#This Row],[Cantidad]],VENTAS[[#This Row],[Total]])</f>
        <v>18.5</v>
      </c>
      <c r="L671" s="14">
        <f>VENTAS[[#This Row],[Total]]-VENTAS[[#This Row],[Comisión 10%]]-VENTAS[[#This Row],[Costo SIN Comision]]</f>
        <v>16.5</v>
      </c>
      <c r="M671" s="14"/>
    </row>
    <row r="672" ht="20" hidden="1" customHeight="1" spans="1:13">
      <c r="A672" s="10" t="s">
        <v>4215</v>
      </c>
      <c r="B672" s="11">
        <f>IFERROR(VLOOKUP(VENTAS[[#This Row],[Código del producto Vendido]],STOCK[],25,FALSE),"-")</f>
        <v>0</v>
      </c>
      <c r="C672" s="11" t="s">
        <v>4223</v>
      </c>
      <c r="D672" s="11"/>
      <c r="E672" s="11" t="s">
        <v>755</v>
      </c>
      <c r="F672" s="11" t="str">
        <f>IFERROR(VLOOKUP(VENTAS[[#This Row],[Código del producto Vendido]],STOCK[],5,FALSE),"-")</f>
        <v>Sandalias Rojas</v>
      </c>
      <c r="G672" s="11">
        <v>1</v>
      </c>
      <c r="H672" s="14">
        <v>40</v>
      </c>
      <c r="I672" s="14">
        <f>VENTAS[[#This Row],[Cantidad]]*VENTAS[[#This Row],[Precio Venta]]</f>
        <v>40</v>
      </c>
      <c r="J672" s="14">
        <f>IF(VENTAS[[#This Row],[Nombre del Gestor]]&gt;1,VENTAS[[#This Row],[Total]]*10%,0)</f>
        <v>0</v>
      </c>
      <c r="K672" s="14">
        <f>IFERROR(VLOOKUP(VENTAS[[#This Row],[Código del producto Vendido]],STOCK[],16,FALSE)*VENTAS[[#This Row],[Cantidad]]+VLOOKUP(VENTAS[[#This Row],[Código del producto Vendido]],STOCK[],19,FALSE)*VENTAS[[#This Row],[Cantidad]],VENTAS[[#This Row],[Total]])</f>
        <v>25.7222222222222</v>
      </c>
      <c r="L672" s="14">
        <f>VENTAS[[#This Row],[Total]]-VENTAS[[#This Row],[Comisión 10%]]-VENTAS[[#This Row],[Costo SIN Comision]]</f>
        <v>14.2777777777778</v>
      </c>
      <c r="M672" s="14"/>
    </row>
    <row r="673" ht="20" hidden="1" customHeight="1" spans="1:13">
      <c r="A673" s="10"/>
      <c r="B673" s="11">
        <f>IFERROR(VLOOKUP(VENTAS[[#This Row],[Código del producto Vendido]],STOCK[],25,FALSE),"-")</f>
        <v>0</v>
      </c>
      <c r="C673" s="11" t="s">
        <v>4224</v>
      </c>
      <c r="D673" s="11"/>
      <c r="E673" s="11" t="s">
        <v>873</v>
      </c>
      <c r="F673" s="11" t="str">
        <f>IFERROR(VLOOKUP(VENTAS[[#This Row],[Código del producto Vendido]],STOCK[],5,FALSE),"-")</f>
        <v>Calzado hombre dos tonos</v>
      </c>
      <c r="G673" s="11">
        <v>1</v>
      </c>
      <c r="H673" s="14">
        <v>0</v>
      </c>
      <c r="I673" s="14">
        <f>VENTAS[[#This Row],[Cantidad]]*VENTAS[[#This Row],[Precio Venta]]</f>
        <v>0</v>
      </c>
      <c r="J673" s="14">
        <f>IF(VENTAS[[#This Row],[Nombre del Gestor]]&gt;1,VENTAS[[#This Row],[Total]]*10%,0)</f>
        <v>0</v>
      </c>
      <c r="K673" s="14">
        <f>IFERROR(VLOOKUP(VENTAS[[#This Row],[Código del producto Vendido]],STOCK[],16,FALSE)*VENTAS[[#This Row],[Cantidad]]+VLOOKUP(VENTAS[[#This Row],[Código del producto Vendido]],STOCK[],19,FALSE)*VENTAS[[#This Row],[Cantidad]],VENTAS[[#This Row],[Total]])</f>
        <v>33.9444444444444</v>
      </c>
      <c r="L673" s="14">
        <f>VENTAS[[#This Row],[Total]]-VENTAS[[#This Row],[Comisión 10%]]-VENTAS[[#This Row],[Costo SIN Comision]]</f>
        <v>-33.9444444444444</v>
      </c>
      <c r="M673" s="14"/>
    </row>
    <row r="674" ht="20" hidden="1" customHeight="1" spans="1:13">
      <c r="A674" s="10" t="s">
        <v>4225</v>
      </c>
      <c r="B674" s="11">
        <f>IFERROR(VLOOKUP(VENTAS[[#This Row],[Código del producto Vendido]],STOCK[],25,FALSE),"-")</f>
        <v>0</v>
      </c>
      <c r="C674" s="11"/>
      <c r="D674" s="11"/>
      <c r="E674" s="11" t="s">
        <v>1331</v>
      </c>
      <c r="F674" s="11" t="str">
        <f>IFERROR(VLOOKUP(VENTAS[[#This Row],[Código del producto Vendido]],STOCK[],5,FALSE),"-")</f>
        <v>Blusa de manga acampanada blanca</v>
      </c>
      <c r="G674" s="11">
        <v>1</v>
      </c>
      <c r="H674" s="14">
        <v>22</v>
      </c>
      <c r="I674" s="14">
        <f>VENTAS[[#This Row],[Cantidad]]*VENTAS[[#This Row],[Precio Venta]]</f>
        <v>22</v>
      </c>
      <c r="J674" s="14">
        <f>IF(VENTAS[[#This Row],[Nombre del Gestor]]&gt;1,VENTAS[[#This Row],[Total]]*10%,0)</f>
        <v>0</v>
      </c>
      <c r="K674" s="14">
        <f>IFERROR(VLOOKUP(VENTAS[[#This Row],[Código del producto Vendido]],STOCK[],16,FALSE)*VENTAS[[#This Row],[Cantidad]]+VLOOKUP(VENTAS[[#This Row],[Código del producto Vendido]],STOCK[],19,FALSE)*VENTAS[[#This Row],[Cantidad]],VENTAS[[#This Row],[Total]])</f>
        <v>13.24</v>
      </c>
      <c r="L674" s="14">
        <f>VENTAS[[#This Row],[Total]]-VENTAS[[#This Row],[Comisión 10%]]-VENTAS[[#This Row],[Costo SIN Comision]]</f>
        <v>8.76</v>
      </c>
      <c r="M674" s="14"/>
    </row>
    <row r="675" ht="20" hidden="1" customHeight="1" spans="1:13">
      <c r="A675" s="10" t="s">
        <v>4225</v>
      </c>
      <c r="B675" s="11">
        <f>IFERROR(VLOOKUP(VENTAS[[#This Row],[Código del producto Vendido]],STOCK[],25,FALSE),"-")</f>
        <v>0</v>
      </c>
      <c r="C675" s="11"/>
      <c r="D675" s="11"/>
      <c r="E675" s="11" t="s">
        <v>1333</v>
      </c>
      <c r="F675" s="11" t="str">
        <f>IFERROR(VLOOKUP(VENTAS[[#This Row],[Código del producto Vendido]],STOCK[],5,FALSE),"-")</f>
        <v>Blusa de manga acampanada negra</v>
      </c>
      <c r="G675" s="11">
        <v>1</v>
      </c>
      <c r="H675" s="14">
        <v>22</v>
      </c>
      <c r="I675" s="14">
        <f>VENTAS[[#This Row],[Cantidad]]*VENTAS[[#This Row],[Precio Venta]]</f>
        <v>22</v>
      </c>
      <c r="J675" s="14">
        <f>IF(VENTAS[[#This Row],[Nombre del Gestor]]&gt;1,VENTAS[[#This Row],[Total]]*10%,0)</f>
        <v>0</v>
      </c>
      <c r="K675" s="14">
        <f>IFERROR(VLOOKUP(VENTAS[[#This Row],[Código del producto Vendido]],STOCK[],16,FALSE)*VENTAS[[#This Row],[Cantidad]]+VLOOKUP(VENTAS[[#This Row],[Código del producto Vendido]],STOCK[],19,FALSE)*VENTAS[[#This Row],[Cantidad]],VENTAS[[#This Row],[Total]])</f>
        <v>14.24</v>
      </c>
      <c r="L675" s="14">
        <f>VENTAS[[#This Row],[Total]]-VENTAS[[#This Row],[Comisión 10%]]-VENTAS[[#This Row],[Costo SIN Comision]]</f>
        <v>7.76</v>
      </c>
      <c r="M675" s="14"/>
    </row>
    <row r="676" ht="20" hidden="1" customHeight="1" spans="1:13">
      <c r="A676" s="10" t="s">
        <v>4225</v>
      </c>
      <c r="B676" s="11" t="str">
        <f>IFERROR(VLOOKUP(VENTAS[[#This Row],[Código del producto Vendido]],STOCK[],25,FALSE),"-")</f>
        <v>-</v>
      </c>
      <c r="C676" s="11"/>
      <c r="D676" s="11"/>
      <c r="E676" s="11" t="s">
        <v>4226</v>
      </c>
      <c r="F676" s="11" t="str">
        <f>IFERROR(VLOOKUP(VENTAS[[#This Row],[Código del producto Vendido]],STOCK[],5,FALSE),"-")</f>
        <v>-</v>
      </c>
      <c r="G676" s="11">
        <v>1</v>
      </c>
      <c r="H676" s="14">
        <v>13</v>
      </c>
      <c r="I676" s="14">
        <f>VENTAS[[#This Row],[Cantidad]]*VENTAS[[#This Row],[Precio Venta]]</f>
        <v>13</v>
      </c>
      <c r="J676" s="14">
        <f>IF(VENTAS[[#This Row],[Nombre del Gestor]]&gt;1,VENTAS[[#This Row],[Total]]*10%,0)</f>
        <v>0</v>
      </c>
      <c r="K676" s="14">
        <f>IFERROR(VLOOKUP(VENTAS[[#This Row],[Código del producto Vendido]],STOCK[],16,FALSE)*VENTAS[[#This Row],[Cantidad]]+VLOOKUP(VENTAS[[#This Row],[Código del producto Vendido]],STOCK[],19,FALSE)*VENTAS[[#This Row],[Cantidad]],VENTAS[[#This Row],[Total]])</f>
        <v>13</v>
      </c>
      <c r="L676" s="14">
        <f>VENTAS[[#This Row],[Total]]-VENTAS[[#This Row],[Comisión 10%]]-VENTAS[[#This Row],[Costo SIN Comision]]</f>
        <v>0</v>
      </c>
      <c r="M676" s="14"/>
    </row>
    <row r="677" ht="20" hidden="1" customHeight="1" spans="1:13">
      <c r="A677" s="10">
        <v>45324</v>
      </c>
      <c r="B677" s="11" t="str">
        <f>IFERROR(VLOOKUP(VENTAS[[#This Row],[Código del producto Vendido]],STOCK[],25,FALSE),"-")</f>
        <v>Compra 9/12/2023</v>
      </c>
      <c r="C677" s="11"/>
      <c r="D677" s="11" t="s">
        <v>4220</v>
      </c>
      <c r="E677" s="11" t="s">
        <v>1599</v>
      </c>
      <c r="F677" s="11" t="str">
        <f>IFERROR(VLOOKUP(VENTAS[[#This Row],[Código del producto Vendido]],STOCK[],5,FALSE),"-")</f>
        <v>Cardigan classy</v>
      </c>
      <c r="G677" s="11">
        <v>1</v>
      </c>
      <c r="H677" s="14">
        <v>20</v>
      </c>
      <c r="I677" s="14">
        <f>VENTAS[[#This Row],[Cantidad]]*VENTAS[[#This Row],[Precio Venta]]</f>
        <v>20</v>
      </c>
      <c r="J677" s="14">
        <f>IF(VENTAS[[#This Row],[Nombre del Gestor]]&gt;1,VENTAS[[#This Row],[Total]]*10%,0)</f>
        <v>2</v>
      </c>
      <c r="K677" s="14">
        <f>IFERROR(VLOOKUP(VENTAS[[#This Row],[Código del producto Vendido]],STOCK[],16,FALSE)*VENTAS[[#This Row],[Cantidad]]+VLOOKUP(VENTAS[[#This Row],[Código del producto Vendido]],STOCK[],19,FALSE)*VENTAS[[#This Row],[Cantidad]],VENTAS[[#This Row],[Total]])</f>
        <v>11.8</v>
      </c>
      <c r="L677" s="14">
        <f>VENTAS[[#This Row],[Total]]-VENTAS[[#This Row],[Comisión 10%]]-VENTAS[[#This Row],[Costo SIN Comision]]</f>
        <v>6.2</v>
      </c>
      <c r="M677" s="14"/>
    </row>
    <row r="678" ht="20" hidden="1" customHeight="1" spans="1:13">
      <c r="A678" s="10">
        <v>45325</v>
      </c>
      <c r="B678" s="11">
        <f>IFERROR(VLOOKUP(VENTAS[[#This Row],[Código del producto Vendido]],STOCK[],25,FALSE),"-")</f>
        <v>0</v>
      </c>
      <c r="C678" s="11" t="s">
        <v>4227</v>
      </c>
      <c r="D678" s="11"/>
      <c r="E678" s="11" t="s">
        <v>1359</v>
      </c>
      <c r="F678" s="11" t="str">
        <f>IFERROR(VLOOKUP(VENTAS[[#This Row],[Código del producto Vendido]],STOCK[],5,FALSE),"-")</f>
        <v>Sweater de Lana naranja quemada</v>
      </c>
      <c r="G678" s="11">
        <v>1</v>
      </c>
      <c r="H678" s="14">
        <v>18</v>
      </c>
      <c r="I678" s="14">
        <f>VENTAS[[#This Row],[Cantidad]]*VENTAS[[#This Row],[Precio Venta]]</f>
        <v>18</v>
      </c>
      <c r="J678" s="14">
        <f>IF(VENTAS[[#This Row],[Nombre del Gestor]]&gt;1,VENTAS[[#This Row],[Total]]*10%,0)</f>
        <v>0</v>
      </c>
      <c r="K678" s="14">
        <f>IFERROR(VLOOKUP(VENTAS[[#This Row],[Código del producto Vendido]],STOCK[],16,FALSE)*VENTAS[[#This Row],[Cantidad]]+VLOOKUP(VENTAS[[#This Row],[Código del producto Vendido]],STOCK[],19,FALSE)*VENTAS[[#This Row],[Cantidad]],VENTAS[[#This Row],[Total]])</f>
        <v>15.45</v>
      </c>
      <c r="L678" s="14">
        <f>VENTAS[[#This Row],[Total]]-VENTAS[[#This Row],[Comisión 10%]]-VENTAS[[#This Row],[Costo SIN Comision]]</f>
        <v>2.55</v>
      </c>
      <c r="M678" s="14"/>
    </row>
    <row r="679" ht="20" hidden="1" customHeight="1" spans="1:13">
      <c r="A679" s="10">
        <v>45324</v>
      </c>
      <c r="B679" s="11" t="str">
        <f>IFERROR(VLOOKUP(VENTAS[[#This Row],[Código del producto Vendido]],STOCK[],25,FALSE),"-")</f>
        <v>-</v>
      </c>
      <c r="C679" s="11"/>
      <c r="D679" s="11"/>
      <c r="E679" s="11"/>
      <c r="F679" s="11" t="str">
        <f>IFERROR(VLOOKUP(VENTAS[[#This Row],[Código del producto Vendido]],STOCK[],5,FALSE),"-")</f>
        <v>-</v>
      </c>
      <c r="G679" s="11">
        <v>1</v>
      </c>
      <c r="H679" s="14">
        <v>28</v>
      </c>
      <c r="I679" s="14">
        <f>VENTAS[[#This Row],[Cantidad]]*VENTAS[[#This Row],[Precio Venta]]</f>
        <v>28</v>
      </c>
      <c r="J679" s="14">
        <f>IF(VENTAS[[#This Row],[Nombre del Gestor]]&gt;1,VENTAS[[#This Row],[Total]]*10%,0)</f>
        <v>0</v>
      </c>
      <c r="K679" s="14">
        <f>IFERROR(VLOOKUP(VENTAS[[#This Row],[Código del producto Vendido]],STOCK[],16,FALSE)*VENTAS[[#This Row],[Cantidad]]+VLOOKUP(VENTAS[[#This Row],[Código del producto Vendido]],STOCK[],19,FALSE)*VENTAS[[#This Row],[Cantidad]],VENTAS[[#This Row],[Total]])</f>
        <v>28</v>
      </c>
      <c r="L679" s="14">
        <f>VENTAS[[#This Row],[Total]]-VENTAS[[#This Row],[Comisión 10%]]-VENTAS[[#This Row],[Costo SIN Comision]]</f>
        <v>0</v>
      </c>
      <c r="M679" s="14"/>
    </row>
    <row r="680" ht="20" hidden="1" customHeight="1" spans="1:13">
      <c r="A680" s="10"/>
      <c r="B680" s="11" t="str">
        <f>IFERROR(VLOOKUP(VENTAS[[#This Row],[Código del producto Vendido]],STOCK[],25,FALSE),"-")</f>
        <v>Compra 7/12/2023</v>
      </c>
      <c r="C680" s="11"/>
      <c r="D680" s="11"/>
      <c r="E680" s="11" t="s">
        <v>1540</v>
      </c>
      <c r="F680" s="11" t="str">
        <f>IFERROR(VLOOKUP(VENTAS[[#This Row],[Código del producto Vendido]],STOCK[],5,FALSE),"-")</f>
        <v>Gafas de sol Dama</v>
      </c>
      <c r="G680" s="11">
        <v>1</v>
      </c>
      <c r="H680" s="14">
        <v>9</v>
      </c>
      <c r="I680" s="14">
        <f>VENTAS[[#This Row],[Cantidad]]*VENTAS[[#This Row],[Precio Venta]]</f>
        <v>9</v>
      </c>
      <c r="J680" s="14">
        <f>IF(VENTAS[[#This Row],[Nombre del Gestor]]&gt;1,VENTAS[[#This Row],[Total]]*10%,0)</f>
        <v>0</v>
      </c>
      <c r="K680" s="14">
        <f>IFERROR(VLOOKUP(VENTAS[[#This Row],[Código del producto Vendido]],STOCK[],16,FALSE)*VENTAS[[#This Row],[Cantidad]]+VLOOKUP(VENTAS[[#This Row],[Código del producto Vendido]],STOCK[],19,FALSE)*VENTAS[[#This Row],[Cantidad]],VENTAS[[#This Row],[Total]])</f>
        <v>4.4</v>
      </c>
      <c r="L680" s="14">
        <f>VENTAS[[#This Row],[Total]]-VENTAS[[#This Row],[Comisión 10%]]-VENTAS[[#This Row],[Costo SIN Comision]]</f>
        <v>4.6</v>
      </c>
      <c r="M680" s="14"/>
    </row>
    <row r="681" ht="20" hidden="1" customHeight="1" spans="1:13">
      <c r="A681" s="10"/>
      <c r="B681" s="11">
        <f>IFERROR(VLOOKUP(VENTAS[[#This Row],[Código del producto Vendido]],STOCK[],25,FALSE),"-")</f>
        <v>0</v>
      </c>
      <c r="C681" s="11"/>
      <c r="D681" s="11"/>
      <c r="E681" s="11" t="s">
        <v>1418</v>
      </c>
      <c r="F681" s="11" t="str">
        <f>IFERROR(VLOOKUP(VENTAS[[#This Row],[Código del producto Vendido]],STOCK[],5,FALSE),"-")</f>
        <v>Vestido acanalado cruzado color crema</v>
      </c>
      <c r="G681" s="11">
        <v>1</v>
      </c>
      <c r="H681" s="14">
        <v>28</v>
      </c>
      <c r="I681" s="14">
        <f>VENTAS[[#This Row],[Cantidad]]*VENTAS[[#This Row],[Precio Venta]]</f>
        <v>28</v>
      </c>
      <c r="J681" s="14">
        <f>IF(VENTAS[[#This Row],[Nombre del Gestor]]&gt;1,VENTAS[[#This Row],[Total]]*10%,0)</f>
        <v>0</v>
      </c>
      <c r="K681" s="14">
        <f>IFERROR(VLOOKUP(VENTAS[[#This Row],[Código del producto Vendido]],STOCK[],16,FALSE)*VENTAS[[#This Row],[Cantidad]]+VLOOKUP(VENTAS[[#This Row],[Código del producto Vendido]],STOCK[],19,FALSE)*VENTAS[[#This Row],[Cantidad]],VENTAS[[#This Row],[Total]])</f>
        <v>24.59</v>
      </c>
      <c r="L681" s="14">
        <f>VENTAS[[#This Row],[Total]]-VENTAS[[#This Row],[Comisión 10%]]-VENTAS[[#This Row],[Costo SIN Comision]]</f>
        <v>3.41</v>
      </c>
      <c r="M681" s="14"/>
    </row>
    <row r="682" ht="20" hidden="1" customHeight="1" spans="1:13">
      <c r="A682" s="10" t="s">
        <v>4210</v>
      </c>
      <c r="B682" s="11">
        <f>IFERROR(VLOOKUP(VENTAS[[#This Row],[Código del producto Vendido]],STOCK[],25,FALSE),"-")</f>
        <v>0</v>
      </c>
      <c r="C682" s="11"/>
      <c r="D682" s="11"/>
      <c r="E682" s="11" t="s">
        <v>1045</v>
      </c>
      <c r="F682" s="11" t="str">
        <f>IFERROR(VLOOKUP(VENTAS[[#This Row],[Código del producto Vendido]],STOCK[],5,FALSE),"-")</f>
        <v>Jeans Ajustados Claro</v>
      </c>
      <c r="G682" s="11">
        <v>1</v>
      </c>
      <c r="H682" s="14">
        <v>30</v>
      </c>
      <c r="I682" s="14">
        <f>VENTAS[[#This Row],[Cantidad]]*VENTAS[[#This Row],[Precio Venta]]</f>
        <v>30</v>
      </c>
      <c r="J682" s="14">
        <f>IF(VENTAS[[#This Row],[Nombre del Gestor]]&gt;1,VENTAS[[#This Row],[Total]]*10%,0)</f>
        <v>0</v>
      </c>
      <c r="K682" s="14">
        <f>IFERROR(VLOOKUP(VENTAS[[#This Row],[Código del producto Vendido]],STOCK[],16,FALSE)*VENTAS[[#This Row],[Cantidad]]+VLOOKUP(VENTAS[[#This Row],[Código del producto Vendido]],STOCK[],19,FALSE)*VENTAS[[#This Row],[Cantidad]],VENTAS[[#This Row],[Total]])</f>
        <v>25.8181818181818</v>
      </c>
      <c r="L682" s="14">
        <f>VENTAS[[#This Row],[Total]]-VENTAS[[#This Row],[Comisión 10%]]-VENTAS[[#This Row],[Costo SIN Comision]]</f>
        <v>4.1818181818182</v>
      </c>
      <c r="M682" s="14"/>
    </row>
    <row r="683" ht="20" hidden="1" customHeight="1" spans="1:13">
      <c r="A683" s="10" t="s">
        <v>4225</v>
      </c>
      <c r="B683" s="11">
        <f>IFERROR(VLOOKUP(VENTAS[[#This Row],[Código del producto Vendido]],STOCK[],25,FALSE),"-")</f>
        <v>0</v>
      </c>
      <c r="C683" s="11"/>
      <c r="D683" s="11"/>
      <c r="E683" s="11" t="s">
        <v>963</v>
      </c>
      <c r="F683" s="11" t="str">
        <f>IFERROR(VLOOKUP(VENTAS[[#This Row],[Código del producto Vendido]],STOCK[],5,FALSE),"-")</f>
        <v>Pantalón Business Básico</v>
      </c>
      <c r="G683" s="11">
        <v>1</v>
      </c>
      <c r="H683" s="14">
        <v>28</v>
      </c>
      <c r="I683" s="14">
        <f>VENTAS[[#This Row],[Cantidad]]*VENTAS[[#This Row],[Precio Venta]]</f>
        <v>28</v>
      </c>
      <c r="J683" s="14">
        <f>IF(VENTAS[[#This Row],[Nombre del Gestor]]&gt;1,VENTAS[[#This Row],[Total]]*10%,0)</f>
        <v>0</v>
      </c>
      <c r="K683" s="14">
        <f>IFERROR(VLOOKUP(VENTAS[[#This Row],[Código del producto Vendido]],STOCK[],16,FALSE)*VENTAS[[#This Row],[Cantidad]]+VLOOKUP(VENTAS[[#This Row],[Código del producto Vendido]],STOCK[],19,FALSE)*VENTAS[[#This Row],[Cantidad]],VENTAS[[#This Row],[Total]])</f>
        <v>21.3722727272727</v>
      </c>
      <c r="L683" s="14">
        <f>VENTAS[[#This Row],[Total]]-VENTAS[[#This Row],[Comisión 10%]]-VENTAS[[#This Row],[Costo SIN Comision]]</f>
        <v>6.6277272727273</v>
      </c>
      <c r="M683" s="14"/>
    </row>
    <row r="684" ht="20" hidden="1" customHeight="1" spans="1:13">
      <c r="A684" s="10"/>
      <c r="B684" s="11">
        <f>IFERROR(VLOOKUP(VENTAS[[#This Row],[Código del producto Vendido]],STOCK[],25,FALSE),"-")</f>
        <v>0</v>
      </c>
      <c r="C684" s="11"/>
      <c r="D684" s="11"/>
      <c r="E684" s="11" t="s">
        <v>1418</v>
      </c>
      <c r="F684" s="11" t="str">
        <f>IFERROR(VLOOKUP(VENTAS[[#This Row],[Código del producto Vendido]],STOCK[],5,FALSE),"-")</f>
        <v>Vestido acanalado cruzado color crema</v>
      </c>
      <c r="G684" s="11">
        <v>1</v>
      </c>
      <c r="H684" s="14">
        <v>28</v>
      </c>
      <c r="I684" s="14">
        <f>VENTAS[[#This Row],[Cantidad]]*VENTAS[[#This Row],[Precio Venta]]</f>
        <v>28</v>
      </c>
      <c r="J684" s="14">
        <f>IF(VENTAS[[#This Row],[Nombre del Gestor]]&gt;1,VENTAS[[#This Row],[Total]]*10%,0)</f>
        <v>0</v>
      </c>
      <c r="K684" s="14">
        <f>IFERROR(VLOOKUP(VENTAS[[#This Row],[Código del producto Vendido]],STOCK[],16,FALSE)*VENTAS[[#This Row],[Cantidad]]+VLOOKUP(VENTAS[[#This Row],[Código del producto Vendido]],STOCK[],19,FALSE)*VENTAS[[#This Row],[Cantidad]],VENTAS[[#This Row],[Total]])</f>
        <v>24.59</v>
      </c>
      <c r="L684" s="14">
        <f>VENTAS[[#This Row],[Total]]-VENTAS[[#This Row],[Comisión 10%]]-VENTAS[[#This Row],[Costo SIN Comision]]</f>
        <v>3.41</v>
      </c>
      <c r="M684" s="14"/>
    </row>
    <row r="685" ht="20" hidden="1" customHeight="1" spans="1:13">
      <c r="A685" s="10" t="s">
        <v>4210</v>
      </c>
      <c r="B685" s="11" t="str">
        <f>IFERROR(VLOOKUP(VENTAS[[#This Row],[Código del producto Vendido]],STOCK[],25,FALSE),"-")</f>
        <v>COMPRA F21</v>
      </c>
      <c r="C685" s="11"/>
      <c r="D685" s="11"/>
      <c r="E685" s="11" t="s">
        <v>1433</v>
      </c>
      <c r="F685" s="11" t="str">
        <f>IFERROR(VLOOKUP(VENTAS[[#This Row],[Código del producto Vendido]],STOCK[],5,FALSE),"-")</f>
        <v>Sandalias blancas cruzadas</v>
      </c>
      <c r="G685" s="11">
        <v>1</v>
      </c>
      <c r="H685" s="14">
        <v>15</v>
      </c>
      <c r="I685" s="14">
        <f>VENTAS[[#This Row],[Cantidad]]*VENTAS[[#This Row],[Precio Venta]]</f>
        <v>15</v>
      </c>
      <c r="J685" s="14">
        <f>IF(VENTAS[[#This Row],[Nombre del Gestor]]&gt;1,VENTAS[[#This Row],[Total]]*10%,0)</f>
        <v>0</v>
      </c>
      <c r="K685" s="14">
        <f>IFERROR(VLOOKUP(VENTAS[[#This Row],[Código del producto Vendido]],STOCK[],16,FALSE)*VENTAS[[#This Row],[Cantidad]]+VLOOKUP(VENTAS[[#This Row],[Código del producto Vendido]],STOCK[],19,FALSE)*VENTAS[[#This Row],[Cantidad]],VENTAS[[#This Row],[Total]])</f>
        <v>11.49</v>
      </c>
      <c r="L685" s="14">
        <f>VENTAS[[#This Row],[Total]]-VENTAS[[#This Row],[Comisión 10%]]-VENTAS[[#This Row],[Costo SIN Comision]]</f>
        <v>3.51</v>
      </c>
      <c r="M685" s="14"/>
    </row>
    <row r="686" ht="20" hidden="1" customHeight="1" spans="1:13">
      <c r="A686" s="10"/>
      <c r="B686" s="11">
        <f>IFERROR(VLOOKUP(VENTAS[[#This Row],[Código del producto Vendido]],STOCK[],25,FALSE),"-")</f>
        <v>0</v>
      </c>
      <c r="C686" s="11"/>
      <c r="D686" s="11"/>
      <c r="E686" s="11" t="s">
        <v>1138</v>
      </c>
      <c r="F686" s="11" t="str">
        <f>IFERROR(VLOOKUP(VENTAS[[#This Row],[Código del producto Vendido]],STOCK[],5,FALSE),"-")</f>
        <v>Vestido rojo con aberturas H&amp;M</v>
      </c>
      <c r="G686" s="11">
        <v>1</v>
      </c>
      <c r="H686" s="14">
        <v>25</v>
      </c>
      <c r="I686" s="14">
        <f>VENTAS[[#This Row],[Cantidad]]*VENTAS[[#This Row],[Precio Venta]]</f>
        <v>25</v>
      </c>
      <c r="J686" s="14">
        <f>IF(VENTAS[[#This Row],[Nombre del Gestor]]&gt;1,VENTAS[[#This Row],[Total]]*10%,0)</f>
        <v>0</v>
      </c>
      <c r="K686" s="14">
        <f>IFERROR(VLOOKUP(VENTAS[[#This Row],[Código del producto Vendido]],STOCK[],16,FALSE)*VENTAS[[#This Row],[Cantidad]]+VLOOKUP(VENTAS[[#This Row],[Código del producto Vendido]],STOCK[],19,FALSE)*VENTAS[[#This Row],[Cantidad]],VENTAS[[#This Row],[Total]])</f>
        <v>18.1176470588235</v>
      </c>
      <c r="L686" s="14">
        <f>VENTAS[[#This Row],[Total]]-VENTAS[[#This Row],[Comisión 10%]]-VENTAS[[#This Row],[Costo SIN Comision]]</f>
        <v>6.8823529411765</v>
      </c>
      <c r="M686" s="14"/>
    </row>
    <row r="687" ht="20" hidden="1" customHeight="1" spans="1:13">
      <c r="A687" s="10"/>
      <c r="B687" s="11" t="str">
        <f>IFERROR(VLOOKUP(VENTAS[[#This Row],[Código del producto Vendido]],STOCK[],25,FALSE),"-")</f>
        <v>Viaje Agosto</v>
      </c>
      <c r="C687" s="11"/>
      <c r="D687" s="11"/>
      <c r="E687" s="11" t="s">
        <v>1235</v>
      </c>
      <c r="F687" s="11" t="str">
        <f>IFERROR(VLOOKUP(VENTAS[[#This Row],[Código del producto Vendido]],STOCK[],5,FALSE),"-")</f>
        <v>Short beich de pierna ancha </v>
      </c>
      <c r="G687" s="11">
        <v>3</v>
      </c>
      <c r="H687" s="14">
        <v>20</v>
      </c>
      <c r="I687" s="14">
        <f>VENTAS[[#This Row],[Cantidad]]*VENTAS[[#This Row],[Precio Venta]]</f>
        <v>60</v>
      </c>
      <c r="J687" s="14">
        <f>IF(VENTAS[[#This Row],[Nombre del Gestor]]&gt;1,VENTAS[[#This Row],[Total]]*10%,0)</f>
        <v>0</v>
      </c>
      <c r="K687" s="14">
        <f>IFERROR(VLOOKUP(VENTAS[[#This Row],[Código del producto Vendido]],STOCK[],16,FALSE)*VENTAS[[#This Row],[Cantidad]]+VLOOKUP(VENTAS[[#This Row],[Código del producto Vendido]],STOCK[],19,FALSE)*VENTAS[[#This Row],[Cantidad]],VENTAS[[#This Row],[Total]])</f>
        <v>43.11</v>
      </c>
      <c r="L687" s="14">
        <f>VENTAS[[#This Row],[Total]]-VENTAS[[#This Row],[Comisión 10%]]-VENTAS[[#This Row],[Costo SIN Comision]]</f>
        <v>16.89</v>
      </c>
      <c r="M687" s="14"/>
    </row>
    <row r="688" ht="20" hidden="1" customHeight="1" spans="1:13">
      <c r="A688" s="10"/>
      <c r="B688" s="11" t="str">
        <f>IFERROR(VLOOKUP(VENTAS[[#This Row],[Código del producto Vendido]],STOCK[],25,FALSE),"-")</f>
        <v>Viaje Agosto</v>
      </c>
      <c r="C688" s="11"/>
      <c r="D688" s="11"/>
      <c r="E688" s="11" t="s">
        <v>1281</v>
      </c>
      <c r="F688" s="11" t="str">
        <f>IFERROR(VLOOKUP(VENTAS[[#This Row],[Código del producto Vendido]],STOCK[],5,FALSE),"-")</f>
        <v>Short beiche de pierna ancha </v>
      </c>
      <c r="G688" s="11">
        <v>3</v>
      </c>
      <c r="H688" s="14">
        <v>20</v>
      </c>
      <c r="I688" s="14">
        <f>VENTAS[[#This Row],[Cantidad]]*VENTAS[[#This Row],[Precio Venta]]</f>
        <v>60</v>
      </c>
      <c r="J688" s="14">
        <f>IF(VENTAS[[#This Row],[Nombre del Gestor]]&gt;1,VENTAS[[#This Row],[Total]]*10%,0)</f>
        <v>0</v>
      </c>
      <c r="K688" s="14">
        <f>IFERROR(VLOOKUP(VENTAS[[#This Row],[Código del producto Vendido]],STOCK[],16,FALSE)*VENTAS[[#This Row],[Cantidad]]+VLOOKUP(VENTAS[[#This Row],[Código del producto Vendido]],STOCK[],19,FALSE)*VENTAS[[#This Row],[Cantidad]],VENTAS[[#This Row],[Total]])</f>
        <v>43.11</v>
      </c>
      <c r="L688" s="14">
        <f>VENTAS[[#This Row],[Total]]-VENTAS[[#This Row],[Comisión 10%]]-VENTAS[[#This Row],[Costo SIN Comision]]</f>
        <v>16.89</v>
      </c>
      <c r="M688" s="14"/>
    </row>
    <row r="689" ht="20" hidden="1" customHeight="1" spans="1:13">
      <c r="A689" s="10" t="s">
        <v>4225</v>
      </c>
      <c r="B689" s="11">
        <f>IFERROR(VLOOKUP(VENTAS[[#This Row],[Código del producto Vendido]],STOCK[],25,FALSE),"-")</f>
        <v>0</v>
      </c>
      <c r="C689" s="11"/>
      <c r="D689" s="11"/>
      <c r="E689" s="11" t="s">
        <v>1428</v>
      </c>
      <c r="F689" s="11" t="str">
        <f>IFERROR(VLOOKUP(VENTAS[[#This Row],[Código del producto Vendido]],STOCK[],5,FALSE),"-")</f>
        <v>Vestido espalda escotada</v>
      </c>
      <c r="G689" s="11">
        <v>2</v>
      </c>
      <c r="H689" s="14">
        <v>28</v>
      </c>
      <c r="I689" s="14">
        <f>VENTAS[[#This Row],[Cantidad]]*VENTAS[[#This Row],[Precio Venta]]</f>
        <v>56</v>
      </c>
      <c r="J689" s="14">
        <f>IF(VENTAS[[#This Row],[Nombre del Gestor]]&gt;1,VENTAS[[#This Row],[Total]]*10%,0)</f>
        <v>0</v>
      </c>
      <c r="K689" s="14">
        <f>IFERROR(VLOOKUP(VENTAS[[#This Row],[Código del producto Vendido]],STOCK[],16,FALSE)*VENTAS[[#This Row],[Cantidad]]+VLOOKUP(VENTAS[[#This Row],[Código del producto Vendido]],STOCK[],19,FALSE)*VENTAS[[#This Row],[Cantidad]],VENTAS[[#This Row],[Total]])</f>
        <v>34</v>
      </c>
      <c r="L689" s="14">
        <f>VENTAS[[#This Row],[Total]]-VENTAS[[#This Row],[Comisión 10%]]-VENTAS[[#This Row],[Costo SIN Comision]]</f>
        <v>22</v>
      </c>
      <c r="M689" s="14"/>
    </row>
    <row r="690" ht="20" hidden="1" customHeight="1" spans="1:13">
      <c r="A690" s="10" t="s">
        <v>4225</v>
      </c>
      <c r="B690" s="11" t="str">
        <f>IFERROR(VLOOKUP(VENTAS[[#This Row],[Código del producto Vendido]],STOCK[],25,FALSE),"-")</f>
        <v>-</v>
      </c>
      <c r="C690" s="11"/>
      <c r="D690" s="11"/>
      <c r="E690" s="11" t="s">
        <v>4214</v>
      </c>
      <c r="F690" s="11" t="str">
        <f>IFERROR(VLOOKUP(VENTAS[[#This Row],[Código del producto Vendido]],STOCK[],5,FALSE),"-")</f>
        <v>-</v>
      </c>
      <c r="G690" s="11">
        <v>2</v>
      </c>
      <c r="H690" s="14">
        <v>23</v>
      </c>
      <c r="I690" s="14">
        <f>VENTAS[[#This Row],[Cantidad]]*VENTAS[[#This Row],[Precio Venta]]</f>
        <v>46</v>
      </c>
      <c r="J690" s="14">
        <f>IF(VENTAS[[#This Row],[Nombre del Gestor]]&gt;1,VENTAS[[#This Row],[Total]]*10%,0)</f>
        <v>0</v>
      </c>
      <c r="K690" s="14">
        <f>IFERROR(VLOOKUP(VENTAS[[#This Row],[Código del producto Vendido]],STOCK[],16,FALSE)*VENTAS[[#This Row],[Cantidad]]+VLOOKUP(VENTAS[[#This Row],[Código del producto Vendido]],STOCK[],19,FALSE)*VENTAS[[#This Row],[Cantidad]],VENTAS[[#This Row],[Total]])</f>
        <v>46</v>
      </c>
      <c r="L690" s="14">
        <f>VENTAS[[#This Row],[Total]]-VENTAS[[#This Row],[Comisión 10%]]-VENTAS[[#This Row],[Costo SIN Comision]]</f>
        <v>0</v>
      </c>
      <c r="M690" s="14"/>
    </row>
    <row r="691" ht="20" hidden="1" customHeight="1" spans="1:13">
      <c r="A691" s="10"/>
      <c r="B691" s="11" t="str">
        <f>IFERROR(VLOOKUP(VENTAS[[#This Row],[Código del producto Vendido]],STOCK[],25,FALSE),"-")</f>
        <v>-</v>
      </c>
      <c r="C691" s="11"/>
      <c r="D691" s="11"/>
      <c r="E691" s="11" t="s">
        <v>4200</v>
      </c>
      <c r="F691" s="11" t="str">
        <f>IFERROR(VLOOKUP(VENTAS[[#This Row],[Código del producto Vendido]],STOCK[],5,FALSE),"-")</f>
        <v>-</v>
      </c>
      <c r="G691" s="11">
        <v>1</v>
      </c>
      <c r="H691" s="14">
        <v>23</v>
      </c>
      <c r="I691" s="14">
        <f>VENTAS[[#This Row],[Cantidad]]*VENTAS[[#This Row],[Precio Venta]]</f>
        <v>23</v>
      </c>
      <c r="J691" s="14">
        <f>IF(VENTAS[[#This Row],[Nombre del Gestor]]&gt;1,VENTAS[[#This Row],[Total]]*10%,0)</f>
        <v>0</v>
      </c>
      <c r="K691" s="14">
        <f>IFERROR(VLOOKUP(VENTAS[[#This Row],[Código del producto Vendido]],STOCK[],16,FALSE)*VENTAS[[#This Row],[Cantidad]]+VLOOKUP(VENTAS[[#This Row],[Código del producto Vendido]],STOCK[],19,FALSE)*VENTAS[[#This Row],[Cantidad]],VENTAS[[#This Row],[Total]])</f>
        <v>23</v>
      </c>
      <c r="L691" s="14">
        <f>VENTAS[[#This Row],[Total]]-VENTAS[[#This Row],[Comisión 10%]]-VENTAS[[#This Row],[Costo SIN Comision]]</f>
        <v>0</v>
      </c>
      <c r="M691" s="14"/>
    </row>
    <row r="692" ht="20" hidden="1" customHeight="1" spans="1:13">
      <c r="A692" s="10" t="s">
        <v>4225</v>
      </c>
      <c r="B692" s="11" t="str">
        <f>IFERROR(VLOOKUP(VENTAS[[#This Row],[Código del producto Vendido]],STOCK[],25,FALSE),"-")</f>
        <v>COMPRA F21</v>
      </c>
      <c r="C692" s="11"/>
      <c r="D692" s="11"/>
      <c r="E692" s="11" t="s">
        <v>1445</v>
      </c>
      <c r="F692" s="11" t="str">
        <f>IFERROR(VLOOKUP(VENTAS[[#This Row],[Código del producto Vendido]],STOCK[],5,FALSE),"-")</f>
        <v>Sandalias negras acolchadas</v>
      </c>
      <c r="G692" s="11">
        <v>1</v>
      </c>
      <c r="H692" s="14">
        <v>27</v>
      </c>
      <c r="I692" s="14">
        <f>VENTAS[[#This Row],[Cantidad]]*VENTAS[[#This Row],[Precio Venta]]</f>
        <v>27</v>
      </c>
      <c r="J692" s="14">
        <f>IF(VENTAS[[#This Row],[Nombre del Gestor]]&gt;1,VENTAS[[#This Row],[Total]]*10%,0)</f>
        <v>0</v>
      </c>
      <c r="K692" s="14">
        <f>IFERROR(VLOOKUP(VENTAS[[#This Row],[Código del producto Vendido]],STOCK[],16,FALSE)*VENTAS[[#This Row],[Cantidad]]+VLOOKUP(VENTAS[[#This Row],[Código del producto Vendido]],STOCK[],19,FALSE)*VENTAS[[#This Row],[Cantidad]],VENTAS[[#This Row],[Total]])</f>
        <v>12.49</v>
      </c>
      <c r="L692" s="14">
        <f>VENTAS[[#This Row],[Total]]-VENTAS[[#This Row],[Comisión 10%]]-VENTAS[[#This Row],[Costo SIN Comision]]</f>
        <v>14.51</v>
      </c>
      <c r="M692" s="14"/>
    </row>
    <row r="693" ht="20" hidden="1" customHeight="1" spans="1:13">
      <c r="A693" s="10" t="s">
        <v>4225</v>
      </c>
      <c r="B693" s="11">
        <f>IFERROR(VLOOKUP(VENTAS[[#This Row],[Código del producto Vendido]],STOCK[],25,FALSE),"-")</f>
        <v>0</v>
      </c>
      <c r="C693" s="11"/>
      <c r="D693" s="11"/>
      <c r="E693" s="11" t="s">
        <v>1701</v>
      </c>
      <c r="F693" s="11" t="str">
        <f>IFERROR(VLOOKUP(VENTAS[[#This Row],[Código del producto Vendido]],STOCK[],5,FALSE),"-")</f>
        <v>Vestido Frente Drapeado Negro y Blanco</v>
      </c>
      <c r="G693" s="11">
        <v>1</v>
      </c>
      <c r="H693" s="14">
        <v>25</v>
      </c>
      <c r="I693" s="14">
        <f>VENTAS[[#This Row],[Cantidad]]*VENTAS[[#This Row],[Precio Venta]]</f>
        <v>25</v>
      </c>
      <c r="J693" s="14">
        <f>IF(VENTAS[[#This Row],[Nombre del Gestor]]&gt;1,VENTAS[[#This Row],[Total]]*10%,0)</f>
        <v>0</v>
      </c>
      <c r="K693" s="14">
        <f>IFERROR(VLOOKUP(VENTAS[[#This Row],[Código del producto Vendido]],STOCK[],16,FALSE)*VENTAS[[#This Row],[Cantidad]]+VLOOKUP(VENTAS[[#This Row],[Código del producto Vendido]],STOCK[],19,FALSE)*VENTAS[[#This Row],[Cantidad]],VENTAS[[#This Row],[Total]])</f>
        <v>11.4</v>
      </c>
      <c r="L693" s="14">
        <f>VENTAS[[#This Row],[Total]]-VENTAS[[#This Row],[Comisión 10%]]-VENTAS[[#This Row],[Costo SIN Comision]]</f>
        <v>13.6</v>
      </c>
      <c r="M693" s="14"/>
    </row>
    <row r="694" ht="20" hidden="1" customHeight="1" spans="1:13">
      <c r="A694" s="10"/>
      <c r="B694" s="11" t="str">
        <f>IFERROR(VLOOKUP(VENTAS[[#This Row],[Código del producto Vendido]],STOCK[],25,FALSE),"-")</f>
        <v>Compra 7/12/2023</v>
      </c>
      <c r="C694" s="11"/>
      <c r="D694" s="11"/>
      <c r="E694" s="11" t="s">
        <v>1548</v>
      </c>
      <c r="F694" s="11" t="str">
        <f>IFERROR(VLOOKUP(VENTAS[[#This Row],[Código del producto Vendido]],STOCK[],5,FALSE),"-")</f>
        <v>Limpia botellas</v>
      </c>
      <c r="G694" s="11">
        <v>1</v>
      </c>
      <c r="H694" s="14">
        <v>4</v>
      </c>
      <c r="I694" s="14">
        <f>VENTAS[[#This Row],[Cantidad]]*VENTAS[[#This Row],[Precio Venta]]</f>
        <v>4</v>
      </c>
      <c r="J694" s="14">
        <f>IF(VENTAS[[#This Row],[Nombre del Gestor]]&gt;1,VENTAS[[#This Row],[Total]]*10%,0)</f>
        <v>0</v>
      </c>
      <c r="K694" s="14">
        <f>IFERROR(VLOOKUP(VENTAS[[#This Row],[Código del producto Vendido]],STOCK[],16,FALSE)*VENTAS[[#This Row],[Cantidad]]+VLOOKUP(VENTAS[[#This Row],[Código del producto Vendido]],STOCK[],19,FALSE)*VENTAS[[#This Row],[Cantidad]],VENTAS[[#This Row],[Total]])</f>
        <v>3.25</v>
      </c>
      <c r="L694" s="14">
        <f>VENTAS[[#This Row],[Total]]-VENTAS[[#This Row],[Comisión 10%]]-VENTAS[[#This Row],[Costo SIN Comision]]</f>
        <v>0.75</v>
      </c>
      <c r="M694" s="14"/>
    </row>
    <row r="695" ht="20" hidden="1" customHeight="1" spans="1:13">
      <c r="A695" s="10"/>
      <c r="B695" s="11" t="str">
        <f>IFERROR(VLOOKUP(VENTAS[[#This Row],[Código del producto Vendido]],STOCK[],25,FALSE),"-")</f>
        <v>Compra 7/12/2023</v>
      </c>
      <c r="C695" s="11"/>
      <c r="D695" s="11"/>
      <c r="E695" s="11" t="s">
        <v>1551</v>
      </c>
      <c r="F695" s="11" t="str">
        <f>IFERROR(VLOOKUP(VENTAS[[#This Row],[Código del producto Vendido]],STOCK[],5,FALSE),"-")</f>
        <v>Batidor</v>
      </c>
      <c r="G695" s="11">
        <v>1</v>
      </c>
      <c r="H695" s="14">
        <v>3</v>
      </c>
      <c r="I695" s="14">
        <f>VENTAS[[#This Row],[Cantidad]]*VENTAS[[#This Row],[Precio Venta]]</f>
        <v>3</v>
      </c>
      <c r="J695" s="14">
        <f>IF(VENTAS[[#This Row],[Nombre del Gestor]]&gt;1,VENTAS[[#This Row],[Total]]*10%,0)</f>
        <v>0</v>
      </c>
      <c r="K695" s="14">
        <f>IFERROR(VLOOKUP(VENTAS[[#This Row],[Código del producto Vendido]],STOCK[],16,FALSE)*VENTAS[[#This Row],[Cantidad]]+VLOOKUP(VENTAS[[#This Row],[Código del producto Vendido]],STOCK[],19,FALSE)*VENTAS[[#This Row],[Cantidad]],VENTAS[[#This Row],[Total]])</f>
        <v>3.5</v>
      </c>
      <c r="L695" s="14">
        <f>VENTAS[[#This Row],[Total]]-VENTAS[[#This Row],[Comisión 10%]]-VENTAS[[#This Row],[Costo SIN Comision]]</f>
        <v>-0.5</v>
      </c>
      <c r="M695" s="14"/>
    </row>
    <row r="696" ht="20" hidden="1" customHeight="1" spans="1:13">
      <c r="A696" s="10"/>
      <c r="B696" s="11" t="str">
        <f>IFERROR(VLOOKUP(VENTAS[[#This Row],[Código del producto Vendido]],STOCK[],25,FALSE),"-")</f>
        <v>Compra 7/12/2023</v>
      </c>
      <c r="C696" s="11"/>
      <c r="D696" s="11"/>
      <c r="E696" s="11" t="s">
        <v>1527</v>
      </c>
      <c r="F696" s="11" t="str">
        <f>IFERROR(VLOOKUP(VENTAS[[#This Row],[Código del producto Vendido]],STOCK[],5,FALSE),"-")</f>
        <v>Top Bustier encaje</v>
      </c>
      <c r="G696" s="11">
        <v>1</v>
      </c>
      <c r="H696" s="14">
        <v>22</v>
      </c>
      <c r="I696" s="14">
        <f>VENTAS[[#This Row],[Cantidad]]*VENTAS[[#This Row],[Precio Venta]]</f>
        <v>22</v>
      </c>
      <c r="J696" s="14">
        <f>IF(VENTAS[[#This Row],[Nombre del Gestor]]&gt;1,VENTAS[[#This Row],[Total]]*10%,0)</f>
        <v>0</v>
      </c>
      <c r="K696" s="14">
        <f>IFERROR(VLOOKUP(VENTAS[[#This Row],[Código del producto Vendido]],STOCK[],16,FALSE)*VENTAS[[#This Row],[Cantidad]]+VLOOKUP(VENTAS[[#This Row],[Código del producto Vendido]],STOCK[],19,FALSE)*VENTAS[[#This Row],[Cantidad]],VENTAS[[#This Row],[Total]])</f>
        <v>14.7</v>
      </c>
      <c r="L696" s="14">
        <f>VENTAS[[#This Row],[Total]]-VENTAS[[#This Row],[Comisión 10%]]-VENTAS[[#This Row],[Costo SIN Comision]]</f>
        <v>7.3</v>
      </c>
      <c r="M696" s="14"/>
    </row>
    <row r="697" ht="20" hidden="1" customHeight="1" spans="1:13">
      <c r="A697" s="10"/>
      <c r="B697" s="11" t="str">
        <f>IFERROR(VLOOKUP(VENTAS[[#This Row],[Código del producto Vendido]],STOCK[],25,FALSE),"-")</f>
        <v>Compra 7/12/2023</v>
      </c>
      <c r="C697" s="11"/>
      <c r="D697" s="11"/>
      <c r="E697" s="11" t="s">
        <v>1544</v>
      </c>
      <c r="F697" s="11" t="str">
        <f>IFERROR(VLOOKUP(VENTAS[[#This Row],[Código del producto Vendido]],STOCK[],5,FALSE),"-")</f>
        <v>Lentes de Sol</v>
      </c>
      <c r="G697" s="11">
        <v>1</v>
      </c>
      <c r="H697" s="14">
        <v>5</v>
      </c>
      <c r="I697" s="14">
        <f>VENTAS[[#This Row],[Cantidad]]*VENTAS[[#This Row],[Precio Venta]]</f>
        <v>5</v>
      </c>
      <c r="J697" s="14">
        <f>IF(VENTAS[[#This Row],[Nombre del Gestor]]&gt;1,VENTAS[[#This Row],[Total]]*10%,0)</f>
        <v>0</v>
      </c>
      <c r="K697" s="14">
        <f>IFERROR(VLOOKUP(VENTAS[[#This Row],[Código del producto Vendido]],STOCK[],16,FALSE)*VENTAS[[#This Row],[Cantidad]]+VLOOKUP(VENTAS[[#This Row],[Código del producto Vendido]],STOCK[],19,FALSE)*VENTAS[[#This Row],[Cantidad]],VENTAS[[#This Row],[Total]])</f>
        <v>4.22</v>
      </c>
      <c r="L697" s="14">
        <f>VENTAS[[#This Row],[Total]]-VENTAS[[#This Row],[Comisión 10%]]-VENTAS[[#This Row],[Costo SIN Comision]]</f>
        <v>0.779999999999999</v>
      </c>
      <c r="M697" s="14"/>
    </row>
    <row r="698" ht="20" hidden="1" customHeight="1" spans="1:13">
      <c r="A698" s="10"/>
      <c r="B698" s="11" t="str">
        <f>IFERROR(VLOOKUP(VENTAS[[#This Row],[Código del producto Vendido]],STOCK[],25,FALSE),"-")</f>
        <v>Compra 7/12/2023</v>
      </c>
      <c r="C698" s="11"/>
      <c r="D698" s="11"/>
      <c r="E698" s="11" t="s">
        <v>1542</v>
      </c>
      <c r="F698" s="11" t="str">
        <f>IFERROR(VLOOKUP(VENTAS[[#This Row],[Código del producto Vendido]],STOCK[],5,FALSE),"-")</f>
        <v>Gafas de Sol </v>
      </c>
      <c r="G698" s="11">
        <v>1</v>
      </c>
      <c r="H698" s="14">
        <v>5</v>
      </c>
      <c r="I698" s="14">
        <f>VENTAS[[#This Row],[Cantidad]]*VENTAS[[#This Row],[Precio Venta]]</f>
        <v>5</v>
      </c>
      <c r="J698" s="14">
        <f>IF(VENTAS[[#This Row],[Nombre del Gestor]]&gt;1,VENTAS[[#This Row],[Total]]*10%,0)</f>
        <v>0</v>
      </c>
      <c r="K698" s="14">
        <f>IFERROR(VLOOKUP(VENTAS[[#This Row],[Código del producto Vendido]],STOCK[],16,FALSE)*VENTAS[[#This Row],[Cantidad]]+VLOOKUP(VENTAS[[#This Row],[Código del producto Vendido]],STOCK[],19,FALSE)*VENTAS[[#This Row],[Cantidad]],VENTAS[[#This Row],[Total]])</f>
        <v>6.2</v>
      </c>
      <c r="L698" s="14">
        <f>VENTAS[[#This Row],[Total]]-VENTAS[[#This Row],[Comisión 10%]]-VENTAS[[#This Row],[Costo SIN Comision]]</f>
        <v>-1.2</v>
      </c>
      <c r="M698" s="14"/>
    </row>
    <row r="699" ht="20" hidden="1" customHeight="1" spans="1:13">
      <c r="A699" s="10"/>
      <c r="B699" s="11" t="str">
        <f>IFERROR(VLOOKUP(VENTAS[[#This Row],[Código del producto Vendido]],STOCK[],25,FALSE),"-")</f>
        <v>COMPRA F21</v>
      </c>
      <c r="C699" s="11"/>
      <c r="D699" s="11"/>
      <c r="E699" s="11" t="s">
        <v>1448</v>
      </c>
      <c r="F699" s="11" t="str">
        <f>IFERROR(VLOOKUP(VENTAS[[#This Row],[Código del producto Vendido]],STOCK[],5,FALSE),"-")</f>
        <v>Mocasín con herrajes</v>
      </c>
      <c r="G699" s="11">
        <v>1</v>
      </c>
      <c r="H699" s="14">
        <v>43</v>
      </c>
      <c r="I699" s="14">
        <f>VENTAS[[#This Row],[Cantidad]]*VENTAS[[#This Row],[Precio Venta]]</f>
        <v>43</v>
      </c>
      <c r="J699" s="14">
        <f>IF(VENTAS[[#This Row],[Nombre del Gestor]]&gt;1,VENTAS[[#This Row],[Total]]*10%,0)</f>
        <v>0</v>
      </c>
      <c r="K699" s="14">
        <f>IFERROR(VLOOKUP(VENTAS[[#This Row],[Código del producto Vendido]],STOCK[],16,FALSE)*VENTAS[[#This Row],[Cantidad]]+VLOOKUP(VENTAS[[#This Row],[Código del producto Vendido]],STOCK[],19,FALSE)*VENTAS[[#This Row],[Cantidad]],VENTAS[[#This Row],[Total]])</f>
        <v>27.49</v>
      </c>
      <c r="L699" s="14">
        <f>VENTAS[[#This Row],[Total]]-VENTAS[[#This Row],[Comisión 10%]]-VENTAS[[#This Row],[Costo SIN Comision]]</f>
        <v>15.51</v>
      </c>
      <c r="M699" s="14"/>
    </row>
    <row r="700" ht="20" hidden="1" customHeight="1" spans="1:13">
      <c r="A700" s="10"/>
      <c r="B700" s="11">
        <f>IFERROR(VLOOKUP(VENTAS[[#This Row],[Código del producto Vendido]],STOCK[],25,FALSE),"-")</f>
        <v>0</v>
      </c>
      <c r="C700" s="11"/>
      <c r="D700" s="11"/>
      <c r="E700" s="11" t="s">
        <v>532</v>
      </c>
      <c r="F700" s="11" t="str">
        <f>IFERROR(VLOOKUP(VENTAS[[#This Row],[Código del producto Vendido]],STOCK[],5,FALSE),"-")</f>
        <v>Rizador de pelo de color al azar 10 piezas</v>
      </c>
      <c r="G700" s="11">
        <v>1</v>
      </c>
      <c r="H700" s="14"/>
      <c r="I700" s="14">
        <f>VENTAS[[#This Row],[Cantidad]]*VENTAS[[#This Row],[Precio Venta]]</f>
        <v>0</v>
      </c>
      <c r="J700" s="14">
        <f>IF(VENTAS[[#This Row],[Nombre del Gestor]]&gt;1,VENTAS[[#This Row],[Total]]*10%,0)</f>
        <v>0</v>
      </c>
      <c r="K700" s="14">
        <f>IFERROR(VLOOKUP(VENTAS[[#This Row],[Código del producto Vendido]],STOCK[],16,FALSE)*VENTAS[[#This Row],[Cantidad]]+VLOOKUP(VENTAS[[#This Row],[Código del producto Vendido]],STOCK[],19,FALSE)*VENTAS[[#This Row],[Cantidad]],VENTAS[[#This Row],[Total]])</f>
        <v>2.04777777777778</v>
      </c>
      <c r="L700" s="14">
        <f>VENTAS[[#This Row],[Total]]-VENTAS[[#This Row],[Comisión 10%]]-VENTAS[[#This Row],[Costo SIN Comision]]</f>
        <v>-2.04777777777778</v>
      </c>
      <c r="M700" s="14"/>
    </row>
    <row r="701" ht="20" hidden="1" customHeight="1" spans="1:13">
      <c r="A701" s="10"/>
      <c r="B701" s="11">
        <f>IFERROR(VLOOKUP(VENTAS[[#This Row],[Código del producto Vendido]],STOCK[],25,FALSE),"-")</f>
        <v>0</v>
      </c>
      <c r="C701" s="11"/>
      <c r="D701" s="11"/>
      <c r="E701" s="11" t="s">
        <v>520</v>
      </c>
      <c r="F701" s="11" t="str">
        <f>IFERROR(VLOOKUP(VENTAS[[#This Row],[Código del producto Vendido]],STOCK[],5,FALSE),"-")</f>
        <v> Mocasines con puntada</v>
      </c>
      <c r="G701" s="11">
        <v>1</v>
      </c>
      <c r="H701" s="14"/>
      <c r="I701" s="14">
        <f>VENTAS[[#This Row],[Cantidad]]*VENTAS[[#This Row],[Precio Venta]]</f>
        <v>0</v>
      </c>
      <c r="J701" s="14">
        <f>IF(VENTAS[[#This Row],[Nombre del Gestor]]&gt;1,VENTAS[[#This Row],[Total]]*10%,0)</f>
        <v>0</v>
      </c>
      <c r="K701" s="14">
        <f>IFERROR(VLOOKUP(VENTAS[[#This Row],[Código del producto Vendido]],STOCK[],16,FALSE)*VENTAS[[#This Row],[Cantidad]]+VLOOKUP(VENTAS[[#This Row],[Código del producto Vendido]],STOCK[],19,FALSE)*VENTAS[[#This Row],[Cantidad]],VENTAS[[#This Row],[Total]])</f>
        <v>16.9261111111111</v>
      </c>
      <c r="L701" s="14">
        <f>VENTAS[[#This Row],[Total]]-VENTAS[[#This Row],[Comisión 10%]]-VENTAS[[#This Row],[Costo SIN Comision]]</f>
        <v>-16.9261111111111</v>
      </c>
      <c r="M701" s="14"/>
    </row>
    <row r="702" ht="20" hidden="1" customHeight="1" spans="1:13">
      <c r="A702" s="10"/>
      <c r="B702" s="11">
        <f>IFERROR(VLOOKUP(VENTAS[[#This Row],[Código del producto Vendido]],STOCK[],25,FALSE),"-")</f>
        <v>0</v>
      </c>
      <c r="C702" s="11"/>
      <c r="D702" s="11"/>
      <c r="E702" s="11" t="s">
        <v>479</v>
      </c>
      <c r="F702" s="11" t="str">
        <f>IFERROR(VLOOKUP(VENTAS[[#This Row],[Código del producto Vendido]],STOCK[],5,FALSE),"-")</f>
        <v>Bolsa cuadrada mini geométrico </v>
      </c>
      <c r="G702" s="11">
        <v>1</v>
      </c>
      <c r="H702" s="14"/>
      <c r="I702" s="14">
        <f>VENTAS[[#This Row],[Cantidad]]*VENTAS[[#This Row],[Precio Venta]]</f>
        <v>0</v>
      </c>
      <c r="J702" s="14">
        <f>IF(VENTAS[[#This Row],[Nombre del Gestor]]&gt;1,VENTAS[[#This Row],[Total]]*10%,0)</f>
        <v>0</v>
      </c>
      <c r="K702" s="14">
        <f>IFERROR(VLOOKUP(VENTAS[[#This Row],[Código del producto Vendido]],STOCK[],16,FALSE)*VENTAS[[#This Row],[Cantidad]]+VLOOKUP(VENTAS[[#This Row],[Código del producto Vendido]],STOCK[],19,FALSE)*VENTAS[[#This Row],[Cantidad]],VENTAS[[#This Row],[Total]])</f>
        <v>6.33777777777778</v>
      </c>
      <c r="L702" s="14">
        <f>VENTAS[[#This Row],[Total]]-VENTAS[[#This Row],[Comisión 10%]]-VENTAS[[#This Row],[Costo SIN Comision]]</f>
        <v>-6.33777777777778</v>
      </c>
      <c r="M702" s="14"/>
    </row>
    <row r="703" ht="20" hidden="1" customHeight="1" spans="1:13">
      <c r="A703" s="10">
        <v>45328</v>
      </c>
      <c r="B703" s="11">
        <f>IFERROR(VLOOKUP(VENTAS[[#This Row],[Código del producto Vendido]],STOCK[],25,FALSE),"-")</f>
        <v>0</v>
      </c>
      <c r="C703" s="11"/>
      <c r="D703" s="11" t="s">
        <v>4228</v>
      </c>
      <c r="E703" s="11" t="s">
        <v>619</v>
      </c>
      <c r="F703" s="11" t="str">
        <f>IFERROR(VLOOKUP(VENTAS[[#This Row],[Código del producto Vendido]],STOCK[],5,FALSE),"-")</f>
        <v>Vestido pecho con fruncido </v>
      </c>
      <c r="G703" s="11">
        <v>1</v>
      </c>
      <c r="H703" s="14">
        <v>15</v>
      </c>
      <c r="I703" s="14">
        <f>VENTAS[[#This Row],[Cantidad]]*VENTAS[[#This Row],[Precio Venta]]</f>
        <v>15</v>
      </c>
      <c r="J703" s="14">
        <f>IF(VENTAS[[#This Row],[Nombre del Gestor]]&gt;1,VENTAS[[#This Row],[Total]]*10%,0)</f>
        <v>1.5</v>
      </c>
      <c r="K703" s="14">
        <f>IFERROR(VLOOKUP(VENTAS[[#This Row],[Código del producto Vendido]],STOCK[],16,FALSE)*VENTAS[[#This Row],[Cantidad]]+VLOOKUP(VENTAS[[#This Row],[Código del producto Vendido]],STOCK[],19,FALSE)*VENTAS[[#This Row],[Cantidad]],VENTAS[[#This Row],[Total]])</f>
        <v>10.7222222222222</v>
      </c>
      <c r="L703" s="14">
        <f>VENTAS[[#This Row],[Total]]-VENTAS[[#This Row],[Comisión 10%]]-VENTAS[[#This Row],[Costo SIN Comision]]</f>
        <v>2.77777777777778</v>
      </c>
      <c r="M703" s="14"/>
    </row>
    <row r="704" ht="20" hidden="1" customHeight="1" spans="1:13">
      <c r="A704" s="10">
        <v>45328</v>
      </c>
      <c r="B704" s="11" t="str">
        <f>IFERROR(VLOOKUP(VENTAS[[#This Row],[Código del producto Vendido]],STOCK[],25,FALSE),"-")</f>
        <v>Viaje Agosto</v>
      </c>
      <c r="C704" s="11"/>
      <c r="D704" s="11" t="s">
        <v>4222</v>
      </c>
      <c r="E704" s="11" t="s">
        <v>1200</v>
      </c>
      <c r="F704" s="11" t="str">
        <f>IFERROR(VLOOKUP(VENTAS[[#This Row],[Código del producto Vendido]],STOCK[],5,FALSE),"-")</f>
        <v>Sujetador adhesivo de silicona</v>
      </c>
      <c r="G704" s="11">
        <v>1</v>
      </c>
      <c r="H704" s="14">
        <v>12</v>
      </c>
      <c r="I704" s="14">
        <f>VENTAS[[#This Row],[Cantidad]]*VENTAS[[#This Row],[Precio Venta]]</f>
        <v>12</v>
      </c>
      <c r="J704" s="14">
        <f>IF(VENTAS[[#This Row],[Nombre del Gestor]]&gt;1,VENTAS[[#This Row],[Total]]*10%,0)</f>
        <v>1.2</v>
      </c>
      <c r="K704" s="14">
        <f>IFERROR(VLOOKUP(VENTAS[[#This Row],[Código del producto Vendido]],STOCK[],16,FALSE)*VENTAS[[#This Row],[Cantidad]]+VLOOKUP(VENTAS[[#This Row],[Código del producto Vendido]],STOCK[],19,FALSE)*VENTAS[[#This Row],[Cantidad]],VENTAS[[#This Row],[Total]])</f>
        <v>5.87</v>
      </c>
      <c r="L704" s="14">
        <f>VENTAS[[#This Row],[Total]]-VENTAS[[#This Row],[Comisión 10%]]-VENTAS[[#This Row],[Costo SIN Comision]]</f>
        <v>4.93</v>
      </c>
      <c r="M704" s="14"/>
    </row>
    <row r="705" ht="20" hidden="1" customHeight="1" spans="1:13">
      <c r="A705" s="10">
        <v>45328</v>
      </c>
      <c r="B705" s="11" t="str">
        <f>IFERROR(VLOOKUP(VENTAS[[#This Row],[Código del producto Vendido]],STOCK[],25,FALSE),"-")</f>
        <v>COMPRA F21</v>
      </c>
      <c r="C705" s="11"/>
      <c r="D705" s="11" t="s">
        <v>4194</v>
      </c>
      <c r="E705" s="11" t="s">
        <v>1439</v>
      </c>
      <c r="F705" s="11" t="str">
        <f>IFERROR(VLOOKUP(VENTAS[[#This Row],[Código del producto Vendido]],STOCK[],5,FALSE),"-")</f>
        <v>Sandalias de velcro</v>
      </c>
      <c r="G705" s="11">
        <v>1</v>
      </c>
      <c r="H705" s="14">
        <v>30</v>
      </c>
      <c r="I705" s="14">
        <f>VENTAS[[#This Row],[Cantidad]]*VENTAS[[#This Row],[Precio Venta]]</f>
        <v>30</v>
      </c>
      <c r="J705" s="14">
        <f>IF(VENTAS[[#This Row],[Nombre del Gestor]]&gt;1,VENTAS[[#This Row],[Total]]*10%,0)</f>
        <v>3</v>
      </c>
      <c r="K705" s="14">
        <f>IFERROR(VLOOKUP(VENTAS[[#This Row],[Código del producto Vendido]],STOCK[],16,FALSE)*VENTAS[[#This Row],[Cantidad]]+VLOOKUP(VENTAS[[#This Row],[Código del producto Vendido]],STOCK[],19,FALSE)*VENTAS[[#This Row],[Cantidad]],VENTAS[[#This Row],[Total]])</f>
        <v>17</v>
      </c>
      <c r="L705" s="14">
        <f>VENTAS[[#This Row],[Total]]-VENTAS[[#This Row],[Comisión 10%]]-VENTAS[[#This Row],[Costo SIN Comision]]</f>
        <v>10</v>
      </c>
      <c r="M705" s="14"/>
    </row>
    <row r="706" ht="20" hidden="1" customHeight="1" spans="1:13">
      <c r="A706" s="10"/>
      <c r="B706" s="11" t="str">
        <f>IFERROR(VLOOKUP(VENTAS[[#This Row],[Código del producto Vendido]],STOCK[],25,FALSE),"-")</f>
        <v>Compra 9/12/2023</v>
      </c>
      <c r="C706" s="11"/>
      <c r="D706" s="11"/>
      <c r="E706" s="11" t="s">
        <v>1608</v>
      </c>
      <c r="F706" s="11" t="str">
        <f>IFERROR(VLOOKUP(VENTAS[[#This Row],[Código del producto Vendido]],STOCK[],5,FALSE),"-")</f>
        <v>Vestido camisa modely</v>
      </c>
      <c r="G706" s="11">
        <v>1</v>
      </c>
      <c r="H706" s="14">
        <v>35</v>
      </c>
      <c r="I706" s="14">
        <f>VENTAS[[#This Row],[Cantidad]]*VENTAS[[#This Row],[Precio Venta]]</f>
        <v>35</v>
      </c>
      <c r="J706" s="14">
        <f>IF(VENTAS[[#This Row],[Nombre del Gestor]]&gt;1,VENTAS[[#This Row],[Total]]*10%,0)</f>
        <v>0</v>
      </c>
      <c r="K706" s="14">
        <f>IFERROR(VLOOKUP(VENTAS[[#This Row],[Código del producto Vendido]],STOCK[],16,FALSE)*VENTAS[[#This Row],[Cantidad]]+VLOOKUP(VENTAS[[#This Row],[Código del producto Vendido]],STOCK[],19,FALSE)*VENTAS[[#This Row],[Cantidad]],VENTAS[[#This Row],[Total]])</f>
        <v>14.84</v>
      </c>
      <c r="L706" s="14">
        <f>VENTAS[[#This Row],[Total]]-VENTAS[[#This Row],[Comisión 10%]]-VENTAS[[#This Row],[Costo SIN Comision]]</f>
        <v>20.16</v>
      </c>
      <c r="M706" s="14"/>
    </row>
    <row r="707" ht="20" hidden="1" customHeight="1" spans="1:13">
      <c r="A707" s="10"/>
      <c r="B707" s="11" t="str">
        <f>IFERROR(VLOOKUP(VENTAS[[#This Row],[Código del producto Vendido]],STOCK[],25,FALSE),"-")</f>
        <v>Compra 9/12/2023</v>
      </c>
      <c r="C707" s="11"/>
      <c r="D707" s="11"/>
      <c r="E707" s="11" t="s">
        <v>1606</v>
      </c>
      <c r="F707" s="11" t="str">
        <f>IFERROR(VLOOKUP(VENTAS[[#This Row],[Código del producto Vendido]],STOCK[],5,FALSE),"-")</f>
        <v>Vestido camisa modely</v>
      </c>
      <c r="G707" s="11">
        <v>1</v>
      </c>
      <c r="H707" s="14">
        <v>30</v>
      </c>
      <c r="I707" s="14">
        <f>VENTAS[[#This Row],[Cantidad]]*VENTAS[[#This Row],[Precio Venta]]</f>
        <v>30</v>
      </c>
      <c r="J707" s="14">
        <f>IF(VENTAS[[#This Row],[Nombre del Gestor]]&gt;1,VENTAS[[#This Row],[Total]]*10%,0)</f>
        <v>0</v>
      </c>
      <c r="K707" s="14">
        <f>IFERROR(VLOOKUP(VENTAS[[#This Row],[Código del producto Vendido]],STOCK[],16,FALSE)*VENTAS[[#This Row],[Cantidad]]+VLOOKUP(VENTAS[[#This Row],[Código del producto Vendido]],STOCK[],19,FALSE)*VENTAS[[#This Row],[Cantidad]],VENTAS[[#This Row],[Total]])</f>
        <v>14.84</v>
      </c>
      <c r="L707" s="14">
        <f>VENTAS[[#This Row],[Total]]-VENTAS[[#This Row],[Comisión 10%]]-VENTAS[[#This Row],[Costo SIN Comision]]</f>
        <v>15.16</v>
      </c>
      <c r="M707" s="14"/>
    </row>
    <row r="708" ht="20" hidden="1" customHeight="1" spans="1:13">
      <c r="A708" s="10" t="s">
        <v>4225</v>
      </c>
      <c r="B708" s="11">
        <f>IFERROR(VLOOKUP(VENTAS[[#This Row],[Código del producto Vendido]],STOCK[],25,FALSE),"-")</f>
        <v>0</v>
      </c>
      <c r="C708" s="11"/>
      <c r="D708" s="11"/>
      <c r="E708" s="11" t="s">
        <v>481</v>
      </c>
      <c r="F708" s="11" t="str">
        <f>IFERROR(VLOOKUP(VENTAS[[#This Row],[Código del producto Vendido]],STOCK[],5,FALSE),"-")</f>
        <v>Bikini estampado cebra</v>
      </c>
      <c r="G708" s="11">
        <v>1</v>
      </c>
      <c r="H708" s="14">
        <v>15</v>
      </c>
      <c r="I708" s="14">
        <f>VENTAS[[#This Row],[Cantidad]]*VENTAS[[#This Row],[Precio Venta]]</f>
        <v>15</v>
      </c>
      <c r="J708" s="14">
        <f>IF(VENTAS[[#This Row],[Nombre del Gestor]]&gt;1,VENTAS[[#This Row],[Total]]*10%,0)</f>
        <v>0</v>
      </c>
      <c r="K708" s="14">
        <f>IFERROR(VLOOKUP(VENTAS[[#This Row],[Código del producto Vendido]],STOCK[],16,FALSE)*VENTAS[[#This Row],[Cantidad]]+VLOOKUP(VENTAS[[#This Row],[Código del producto Vendido]],STOCK[],19,FALSE)*VENTAS[[#This Row],[Cantidad]],VENTAS[[#This Row],[Total]])</f>
        <v>8.78722222222222</v>
      </c>
      <c r="L708" s="14">
        <f>VENTAS[[#This Row],[Total]]-VENTAS[[#This Row],[Comisión 10%]]-VENTAS[[#This Row],[Costo SIN Comision]]</f>
        <v>6.21277777777778</v>
      </c>
      <c r="M708" s="14"/>
    </row>
    <row r="709" ht="20" hidden="1" customHeight="1" spans="1:13">
      <c r="A709" s="10" t="s">
        <v>4225</v>
      </c>
      <c r="B709" s="11">
        <f>IFERROR(VLOOKUP(VENTAS[[#This Row],[Código del producto Vendido]],STOCK[],25,FALSE),"-")</f>
        <v>0</v>
      </c>
      <c r="C709" s="11"/>
      <c r="D709" s="11"/>
      <c r="E709" s="11" t="s">
        <v>413</v>
      </c>
      <c r="F709" s="11" t="str">
        <f>IFERROR(VLOOKUP(VENTAS[[#This Row],[Código del producto Vendido]],STOCK[],5,FALSE),"-")</f>
        <v>Bikini Floral</v>
      </c>
      <c r="G709" s="11">
        <v>1</v>
      </c>
      <c r="H709" s="14">
        <v>22</v>
      </c>
      <c r="I709" s="14">
        <f>VENTAS[[#This Row],[Cantidad]]*VENTAS[[#This Row],[Precio Venta]]</f>
        <v>22</v>
      </c>
      <c r="J709" s="14">
        <f>IF(VENTAS[[#This Row],[Nombre del Gestor]]&gt;1,VENTAS[[#This Row],[Total]]*10%,0)</f>
        <v>0</v>
      </c>
      <c r="K709" s="14">
        <f>IFERROR(VLOOKUP(VENTAS[[#This Row],[Código del producto Vendido]],STOCK[],16,FALSE)*VENTAS[[#This Row],[Cantidad]]+VLOOKUP(VENTAS[[#This Row],[Código del producto Vendido]],STOCK[],19,FALSE)*VENTAS[[#This Row],[Cantidad]],VENTAS[[#This Row],[Total]])</f>
        <v>13.9444444444444</v>
      </c>
      <c r="L709" s="14">
        <f>VENTAS[[#This Row],[Total]]-VENTAS[[#This Row],[Comisión 10%]]-VENTAS[[#This Row],[Costo SIN Comision]]</f>
        <v>8.0555555555556</v>
      </c>
      <c r="M709" s="14"/>
    </row>
    <row r="710" ht="20" hidden="1" customHeight="1" spans="1:13">
      <c r="A710" s="10" t="s">
        <v>4225</v>
      </c>
      <c r="B710" s="11">
        <f>IFERROR(VLOOKUP(VENTAS[[#This Row],[Código del producto Vendido]],STOCK[],25,FALSE),"-")</f>
        <v>0</v>
      </c>
      <c r="C710" s="11"/>
      <c r="D710" s="11"/>
      <c r="E710" s="11" t="s">
        <v>808</v>
      </c>
      <c r="F710" s="11" t="str">
        <f>IFERROR(VLOOKUP(VENTAS[[#This Row],[Código del producto Vendido]],STOCK[],5,FALSE),"-")</f>
        <v>Bañador a rayas con lazo</v>
      </c>
      <c r="G710" s="11">
        <v>1</v>
      </c>
      <c r="H710" s="14">
        <v>18</v>
      </c>
      <c r="I710" s="14">
        <f>VENTAS[[#This Row],[Cantidad]]*VENTAS[[#This Row],[Precio Venta]]</f>
        <v>18</v>
      </c>
      <c r="J710" s="14">
        <f>IF(VENTAS[[#This Row],[Nombre del Gestor]]&gt;1,VENTAS[[#This Row],[Total]]*10%,0)</f>
        <v>0</v>
      </c>
      <c r="K710" s="14">
        <f>IFERROR(VLOOKUP(VENTAS[[#This Row],[Código del producto Vendido]],STOCK[],16,FALSE)*VENTAS[[#This Row],[Cantidad]]+VLOOKUP(VENTAS[[#This Row],[Código del producto Vendido]],STOCK[],19,FALSE)*VENTAS[[#This Row],[Cantidad]],VENTAS[[#This Row],[Total]])</f>
        <v>9.5</v>
      </c>
      <c r="L710" s="14">
        <f>VENTAS[[#This Row],[Total]]-VENTAS[[#This Row],[Comisión 10%]]-VENTAS[[#This Row],[Costo SIN Comision]]</f>
        <v>8.5</v>
      </c>
      <c r="M710" s="14"/>
    </row>
    <row r="711" ht="20" hidden="1" customHeight="1" spans="1:13">
      <c r="A711" s="10" t="s">
        <v>4225</v>
      </c>
      <c r="B711" s="11">
        <f>IFERROR(VLOOKUP(VENTAS[[#This Row],[Código del producto Vendido]],STOCK[],25,FALSE),"-")</f>
        <v>0</v>
      </c>
      <c r="C711" s="11"/>
      <c r="D711" s="11"/>
      <c r="E711" s="11" t="s">
        <v>937</v>
      </c>
      <c r="F711" s="11" t="str">
        <f>IFERROR(VLOOKUP(VENTAS[[#This Row],[Código del producto Vendido]],STOCK[],5,FALSE),"-")</f>
        <v>Bañador con zíper de pierna alta</v>
      </c>
      <c r="G711" s="11">
        <v>1</v>
      </c>
      <c r="H711" s="14">
        <v>25</v>
      </c>
      <c r="I711" s="14">
        <f>VENTAS[[#This Row],[Cantidad]]*VENTAS[[#This Row],[Precio Venta]]</f>
        <v>25</v>
      </c>
      <c r="J711" s="14">
        <f>IF(VENTAS[[#This Row],[Nombre del Gestor]]&gt;1,VENTAS[[#This Row],[Total]]*10%,0)</f>
        <v>0</v>
      </c>
      <c r="K711" s="14">
        <f>IFERROR(VLOOKUP(VENTAS[[#This Row],[Código del producto Vendido]],STOCK[],16,FALSE)*VENTAS[[#This Row],[Cantidad]]+VLOOKUP(VENTAS[[#This Row],[Código del producto Vendido]],STOCK[],19,FALSE)*VENTAS[[#This Row],[Cantidad]],VENTAS[[#This Row],[Total]])</f>
        <v>14.0231818181818</v>
      </c>
      <c r="L711" s="14">
        <f>VENTAS[[#This Row],[Total]]-VENTAS[[#This Row],[Comisión 10%]]-VENTAS[[#This Row],[Costo SIN Comision]]</f>
        <v>10.9768181818182</v>
      </c>
      <c r="M711" s="14"/>
    </row>
    <row r="712" ht="20" hidden="1" customHeight="1" spans="1:13">
      <c r="A712" s="10" t="s">
        <v>4225</v>
      </c>
      <c r="B712" s="11">
        <f>IFERROR(VLOOKUP(VENTAS[[#This Row],[Código del producto Vendido]],STOCK[],25,FALSE),"-")</f>
        <v>0</v>
      </c>
      <c r="C712" s="11"/>
      <c r="D712" s="11"/>
      <c r="E712" s="11" t="s">
        <v>75</v>
      </c>
      <c r="F712" s="11" t="str">
        <f>IFERROR(VLOOKUP(VENTAS[[#This Row],[Código del producto Vendido]],STOCK[],5,FALSE),"-")</f>
        <v>Bañador floral </v>
      </c>
      <c r="G712" s="11">
        <v>1</v>
      </c>
      <c r="H712" s="14">
        <v>25</v>
      </c>
      <c r="I712" s="14">
        <f>VENTAS[[#This Row],[Cantidad]]*VENTAS[[#This Row],[Precio Venta]]</f>
        <v>25</v>
      </c>
      <c r="J712" s="14">
        <f>IF(VENTAS[[#This Row],[Nombre del Gestor]]&gt;1,VENTAS[[#This Row],[Total]]*10%,0)</f>
        <v>0</v>
      </c>
      <c r="K712" s="14">
        <f>IFERROR(VLOOKUP(VENTAS[[#This Row],[Código del producto Vendido]],STOCK[],16,FALSE)*VENTAS[[#This Row],[Cantidad]]+VLOOKUP(VENTAS[[#This Row],[Código del producto Vendido]],STOCK[],19,FALSE)*VENTAS[[#This Row],[Cantidad]],VENTAS[[#This Row],[Total]])</f>
        <v>18.0538888888889</v>
      </c>
      <c r="L712" s="14">
        <f>VENTAS[[#This Row],[Total]]-VENTAS[[#This Row],[Comisión 10%]]-VENTAS[[#This Row],[Costo SIN Comision]]</f>
        <v>6.9461111111111</v>
      </c>
      <c r="M712" s="14"/>
    </row>
    <row r="713" ht="20" hidden="1" customHeight="1" spans="1:13">
      <c r="A713" s="10" t="s">
        <v>4225</v>
      </c>
      <c r="B713" s="11">
        <f>IFERROR(VLOOKUP(VENTAS[[#This Row],[Código del producto Vendido]],STOCK[],25,FALSE),"-")</f>
        <v>0</v>
      </c>
      <c r="C713" s="11"/>
      <c r="D713" s="11"/>
      <c r="E713" s="11" t="s">
        <v>810</v>
      </c>
      <c r="F713" s="11" t="str">
        <f>IFERROR(VLOOKUP(VENTAS[[#This Row],[Código del producto Vendido]],STOCK[],5,FALSE),"-")</f>
        <v>Bañador estampado en contraste</v>
      </c>
      <c r="G713" s="11">
        <v>1</v>
      </c>
      <c r="H713" s="14">
        <v>18</v>
      </c>
      <c r="I713" s="14">
        <f>VENTAS[[#This Row],[Cantidad]]*VENTAS[[#This Row],[Precio Venta]]</f>
        <v>18</v>
      </c>
      <c r="J713" s="14">
        <f>IF(VENTAS[[#This Row],[Nombre del Gestor]]&gt;1,VENTAS[[#This Row],[Total]]*10%,0)</f>
        <v>0</v>
      </c>
      <c r="K713" s="14">
        <f>IFERROR(VLOOKUP(VENTAS[[#This Row],[Código del producto Vendido]],STOCK[],16,FALSE)*VENTAS[[#This Row],[Cantidad]]+VLOOKUP(VENTAS[[#This Row],[Código del producto Vendido]],STOCK[],19,FALSE)*VENTAS[[#This Row],[Cantidad]],VENTAS[[#This Row],[Total]])</f>
        <v>7.83333333333333</v>
      </c>
      <c r="L713" s="14">
        <f>VENTAS[[#This Row],[Total]]-VENTAS[[#This Row],[Comisión 10%]]-VENTAS[[#This Row],[Costo SIN Comision]]</f>
        <v>10.1666666666667</v>
      </c>
      <c r="M713" s="14"/>
    </row>
    <row r="714" ht="20" hidden="1" customHeight="1" spans="1:13">
      <c r="A714" s="10" t="s">
        <v>4225</v>
      </c>
      <c r="B714" s="11">
        <f>IFERROR(VLOOKUP(VENTAS[[#This Row],[Código del producto Vendido]],STOCK[],25,FALSE),"-")</f>
        <v>0</v>
      </c>
      <c r="C714" s="11"/>
      <c r="D714" s="11"/>
      <c r="E714" s="11" t="s">
        <v>865</v>
      </c>
      <c r="F714" s="11" t="str">
        <f>IFERROR(VLOOKUP(VENTAS[[#This Row],[Código del producto Vendido]],STOCK[],5,FALSE),"-")</f>
        <v>Bikini rosa canalé</v>
      </c>
      <c r="G714" s="11">
        <v>1</v>
      </c>
      <c r="H714" s="14">
        <v>20</v>
      </c>
      <c r="I714" s="14">
        <f>VENTAS[[#This Row],[Cantidad]]*VENTAS[[#This Row],[Precio Venta]]</f>
        <v>20</v>
      </c>
      <c r="J714" s="14">
        <f>IF(VENTAS[[#This Row],[Nombre del Gestor]]&gt;1,VENTAS[[#This Row],[Total]]*10%,0)</f>
        <v>0</v>
      </c>
      <c r="K714" s="14">
        <f>IFERROR(VLOOKUP(VENTAS[[#This Row],[Código del producto Vendido]],STOCK[],16,FALSE)*VENTAS[[#This Row],[Cantidad]]+VLOOKUP(VENTAS[[#This Row],[Código del producto Vendido]],STOCK[],19,FALSE)*VENTAS[[#This Row],[Cantidad]],VENTAS[[#This Row],[Total]])</f>
        <v>13.4444444444444</v>
      </c>
      <c r="L714" s="14">
        <f>VENTAS[[#This Row],[Total]]-VENTAS[[#This Row],[Comisión 10%]]-VENTAS[[#This Row],[Costo SIN Comision]]</f>
        <v>6.5555555555556</v>
      </c>
      <c r="M714" s="14"/>
    </row>
    <row r="715" ht="20" hidden="1" customHeight="1" spans="1:13">
      <c r="A715" s="10" t="s">
        <v>4225</v>
      </c>
      <c r="B715" s="11">
        <f>IFERROR(VLOOKUP(VENTAS[[#This Row],[Código del producto Vendido]],STOCK[],25,FALSE),"-")</f>
        <v>0</v>
      </c>
      <c r="C715" s="11"/>
      <c r="D715" s="11"/>
      <c r="E715" s="11" t="s">
        <v>164</v>
      </c>
      <c r="F715" s="11" t="str">
        <f>IFERROR(VLOOKUP(VENTAS[[#This Row],[Código del producto Vendido]],STOCK[],5,FALSE),"-")</f>
        <v>Traje de baño niñitas malla protectora</v>
      </c>
      <c r="G715" s="11">
        <v>1</v>
      </c>
      <c r="H715" s="14">
        <v>20</v>
      </c>
      <c r="I715" s="14">
        <f>VENTAS[[#This Row],[Cantidad]]*VENTAS[[#This Row],[Precio Venta]]</f>
        <v>20</v>
      </c>
      <c r="J715" s="14">
        <f>IF(VENTAS[[#This Row],[Nombre del Gestor]]&gt;1,VENTAS[[#This Row],[Total]]*10%,0)</f>
        <v>0</v>
      </c>
      <c r="K715" s="14">
        <f>IFERROR(VLOOKUP(VENTAS[[#This Row],[Código del producto Vendido]],STOCK[],16,FALSE)*VENTAS[[#This Row],[Cantidad]]+VLOOKUP(VENTAS[[#This Row],[Código del producto Vendido]],STOCK[],19,FALSE)*VENTAS[[#This Row],[Cantidad]],VENTAS[[#This Row],[Total]])</f>
        <v>12.4422222222222</v>
      </c>
      <c r="L715" s="14">
        <f>VENTAS[[#This Row],[Total]]-VENTAS[[#This Row],[Comisión 10%]]-VENTAS[[#This Row],[Costo SIN Comision]]</f>
        <v>7.55777777777778</v>
      </c>
      <c r="M715" s="14"/>
    </row>
    <row r="716" ht="20" hidden="1" customHeight="1" spans="1:13">
      <c r="A716" s="10">
        <v>45330</v>
      </c>
      <c r="B716" s="11">
        <f>IFERROR(VLOOKUP(VENTAS[[#This Row],[Código del producto Vendido]],STOCK[],25,FALSE),"-")</f>
        <v>0</v>
      </c>
      <c r="C716" s="11"/>
      <c r="D716" s="11" t="s">
        <v>4228</v>
      </c>
      <c r="E716" s="11" t="s">
        <v>43</v>
      </c>
      <c r="F716" s="11" t="str">
        <f>IFERROR(VLOOKUP(VENTAS[[#This Row],[Código del producto Vendido]],STOCK[],5,FALSE),"-")</f>
        <v>Vestido camisero elegante</v>
      </c>
      <c r="G716" s="11">
        <v>1</v>
      </c>
      <c r="H716" s="14">
        <v>30</v>
      </c>
      <c r="I716" s="14">
        <f>VENTAS[[#This Row],[Cantidad]]*VENTAS[[#This Row],[Precio Venta]]</f>
        <v>30</v>
      </c>
      <c r="J716" s="14">
        <f>IF(VENTAS[[#This Row],[Nombre del Gestor]]&gt;1,VENTAS[[#This Row],[Total]]*10%,0)</f>
        <v>3</v>
      </c>
      <c r="K716" s="14">
        <f>IFERROR(VLOOKUP(VENTAS[[#This Row],[Código del producto Vendido]],STOCK[],16,FALSE)*VENTAS[[#This Row],[Cantidad]]+VLOOKUP(VENTAS[[#This Row],[Código del producto Vendido]],STOCK[],19,FALSE)*VENTAS[[#This Row],[Cantidad]],VENTAS[[#This Row],[Total]])</f>
        <v>19.0022222222222</v>
      </c>
      <c r="L716" s="14">
        <f>VENTAS[[#This Row],[Total]]-VENTAS[[#This Row],[Comisión 10%]]-VENTAS[[#This Row],[Costo SIN Comision]]</f>
        <v>7.9977777777778</v>
      </c>
      <c r="M716" s="14"/>
    </row>
    <row r="717" ht="20" hidden="1" customHeight="1" spans="1:13">
      <c r="A717" s="10">
        <v>45331</v>
      </c>
      <c r="B717" s="11">
        <f>IFERROR(VLOOKUP(VENTAS[[#This Row],[Código del producto Vendido]],STOCK[],25,FALSE),"-")</f>
        <v>0</v>
      </c>
      <c r="C717" s="11" t="s">
        <v>4229</v>
      </c>
      <c r="D717" s="11"/>
      <c r="E717" s="11" t="s">
        <v>1421</v>
      </c>
      <c r="F717" s="11" t="str">
        <f>IFERROR(VLOOKUP(VENTAS[[#This Row],[Código del producto Vendido]],STOCK[],5,FALSE),"-")</f>
        <v>Short de tela suave con cinturón</v>
      </c>
      <c r="G717" s="11">
        <v>1</v>
      </c>
      <c r="H717" s="14">
        <v>20</v>
      </c>
      <c r="I717" s="14">
        <f>VENTAS[[#This Row],[Cantidad]]*VENTAS[[#This Row],[Precio Venta]]</f>
        <v>20</v>
      </c>
      <c r="J717" s="14">
        <f>IF(VENTAS[[#This Row],[Nombre del Gestor]]&gt;1,VENTAS[[#This Row],[Total]]*10%,0)</f>
        <v>0</v>
      </c>
      <c r="K717" s="14">
        <f>IFERROR(VLOOKUP(VENTAS[[#This Row],[Código del producto Vendido]],STOCK[],16,FALSE)*VENTAS[[#This Row],[Cantidad]]+VLOOKUP(VENTAS[[#This Row],[Código del producto Vendido]],STOCK[],19,FALSE)*VENTAS[[#This Row],[Cantidad]],VENTAS[[#This Row],[Total]])</f>
        <v>12.99</v>
      </c>
      <c r="L717" s="14">
        <f>VENTAS[[#This Row],[Total]]-VENTAS[[#This Row],[Comisión 10%]]-VENTAS[[#This Row],[Costo SIN Comision]]</f>
        <v>7.01</v>
      </c>
      <c r="M717" s="14"/>
    </row>
    <row r="718" ht="20" hidden="1" customHeight="1" spans="1:13">
      <c r="A718" s="10">
        <v>45330</v>
      </c>
      <c r="B718" s="11" t="str">
        <f>IFERROR(VLOOKUP(VENTAS[[#This Row],[Código del producto Vendido]],STOCK[],25,FALSE),"-")</f>
        <v>Compra 9/12/2023</v>
      </c>
      <c r="C718" s="11"/>
      <c r="D718" s="11" t="s">
        <v>4228</v>
      </c>
      <c r="E718" s="11" t="s">
        <v>1631</v>
      </c>
      <c r="F718" s="11" t="str">
        <f>IFERROR(VLOOKUP(VENTAS[[#This Row],[Código del producto Vendido]],STOCK[],5,FALSE),"-")</f>
        <v>Vestidos Burdeos</v>
      </c>
      <c r="G718" s="11">
        <v>1</v>
      </c>
      <c r="H718" s="14">
        <v>25</v>
      </c>
      <c r="I718" s="14">
        <f>VENTAS[[#This Row],[Cantidad]]*VENTAS[[#This Row],[Precio Venta]]</f>
        <v>25</v>
      </c>
      <c r="J718" s="14">
        <f>IF(VENTAS[[#This Row],[Nombre del Gestor]]&gt;1,VENTAS[[#This Row],[Total]]*10%,0)</f>
        <v>2.5</v>
      </c>
      <c r="K718" s="14">
        <f>IFERROR(VLOOKUP(VENTAS[[#This Row],[Código del producto Vendido]],STOCK[],16,FALSE)*VENTAS[[#This Row],[Cantidad]]+VLOOKUP(VENTAS[[#This Row],[Código del producto Vendido]],STOCK[],19,FALSE)*VENTAS[[#This Row],[Cantidad]],VENTAS[[#This Row],[Total]])</f>
        <v>14.33</v>
      </c>
      <c r="L718" s="14">
        <f>VENTAS[[#This Row],[Total]]-VENTAS[[#This Row],[Comisión 10%]]-VENTAS[[#This Row],[Costo SIN Comision]]</f>
        <v>8.17</v>
      </c>
      <c r="M718" s="14"/>
    </row>
    <row r="719" ht="20" hidden="1" customHeight="1" spans="1:13">
      <c r="A719" s="10">
        <v>45324</v>
      </c>
      <c r="B719" s="11" t="str">
        <f>IFERROR(VLOOKUP(VENTAS[[#This Row],[Código del producto Vendido]],STOCK[],25,FALSE),"-")</f>
        <v>Compra 9/12/2023</v>
      </c>
      <c r="C719" s="11"/>
      <c r="D719" s="11" t="s">
        <v>4222</v>
      </c>
      <c r="E719" s="11" t="s">
        <v>1649</v>
      </c>
      <c r="F719" s="11" t="str">
        <f>IFERROR(VLOOKUP(VENTAS[[#This Row],[Código del producto Vendido]],STOCK[],5,FALSE),"-")</f>
        <v>Mono palazzo</v>
      </c>
      <c r="G719" s="11">
        <v>1</v>
      </c>
      <c r="H719" s="14">
        <v>30</v>
      </c>
      <c r="I719" s="14">
        <f>VENTAS[[#This Row],[Cantidad]]*VENTAS[[#This Row],[Precio Venta]]</f>
        <v>30</v>
      </c>
      <c r="J719" s="14">
        <f>IF(VENTAS[[#This Row],[Nombre del Gestor]]&gt;1,VENTAS[[#This Row],[Total]]*10%,0)</f>
        <v>3</v>
      </c>
      <c r="K719" s="14">
        <f>IFERROR(VLOOKUP(VENTAS[[#This Row],[Código del producto Vendido]],STOCK[],16,FALSE)*VENTAS[[#This Row],[Cantidad]]+VLOOKUP(VENTAS[[#This Row],[Código del producto Vendido]],STOCK[],19,FALSE)*VENTAS[[#This Row],[Cantidad]],VENTAS[[#This Row],[Total]])</f>
        <v>17.87</v>
      </c>
      <c r="L719" s="14">
        <f>VENTAS[[#This Row],[Total]]-VENTAS[[#This Row],[Comisión 10%]]-VENTAS[[#This Row],[Costo SIN Comision]]</f>
        <v>9.13</v>
      </c>
      <c r="M719" s="14"/>
    </row>
    <row r="720" ht="20" hidden="1" customHeight="1" spans="1:13">
      <c r="A720" s="10">
        <v>45330</v>
      </c>
      <c r="B720" s="11">
        <f>IFERROR(VLOOKUP(VENTAS[[#This Row],[Código del producto Vendido]],STOCK[],25,FALSE),"-")</f>
        <v>0</v>
      </c>
      <c r="C720" s="11"/>
      <c r="D720" s="11" t="s">
        <v>4228</v>
      </c>
      <c r="E720" s="11" t="s">
        <v>1686</v>
      </c>
      <c r="F720" s="11" t="str">
        <f>IFERROR(VLOOKUP(VENTAS[[#This Row],[Código del producto Vendido]],STOCK[],5,FALSE),"-")</f>
        <v>Mono con cinturón</v>
      </c>
      <c r="G720" s="11">
        <v>1</v>
      </c>
      <c r="H720" s="14">
        <v>30</v>
      </c>
      <c r="I720" s="14">
        <f>VENTAS[[#This Row],[Cantidad]]*VENTAS[[#This Row],[Precio Venta]]</f>
        <v>30</v>
      </c>
      <c r="J720" s="14">
        <f>IF(VENTAS[[#This Row],[Nombre del Gestor]]&gt;1,VENTAS[[#This Row],[Total]]*10%,0)</f>
        <v>3</v>
      </c>
      <c r="K720" s="14">
        <f>IFERROR(VLOOKUP(VENTAS[[#This Row],[Código del producto Vendido]],STOCK[],16,FALSE)*VENTAS[[#This Row],[Cantidad]]+VLOOKUP(VENTAS[[#This Row],[Código del producto Vendido]],STOCK[],19,FALSE)*VENTAS[[#This Row],[Cantidad]],VENTAS[[#This Row],[Total]])</f>
        <v>17.8</v>
      </c>
      <c r="L720" s="14">
        <f>VENTAS[[#This Row],[Total]]-VENTAS[[#This Row],[Comisión 10%]]-VENTAS[[#This Row],[Costo SIN Comision]]</f>
        <v>9.2</v>
      </c>
      <c r="M720" s="14"/>
    </row>
    <row r="721" ht="20" hidden="1" customHeight="1" spans="1:13">
      <c r="A721" s="10">
        <v>45324</v>
      </c>
      <c r="B721" s="11" t="str">
        <f>IFERROR(VLOOKUP(VENTAS[[#This Row],[Código del producto Vendido]],STOCK[],25,FALSE),"-")</f>
        <v>Viaje Agosto</v>
      </c>
      <c r="C721" s="11"/>
      <c r="D721" s="11" t="s">
        <v>4194</v>
      </c>
      <c r="E721" s="11" t="s">
        <v>1269</v>
      </c>
      <c r="F721" s="11" t="str">
        <f>IFERROR(VLOOKUP(VENTAS[[#This Row],[Código del producto Vendido]],STOCK[],5,FALSE),"-")</f>
        <v>Top corto asimétrico </v>
      </c>
      <c r="G721" s="11">
        <v>1</v>
      </c>
      <c r="H721" s="14">
        <v>10</v>
      </c>
      <c r="I721" s="14">
        <f>VENTAS[[#This Row],[Cantidad]]*VENTAS[[#This Row],[Precio Venta]]</f>
        <v>10</v>
      </c>
      <c r="J721" s="14">
        <f>IF(VENTAS[[#This Row],[Nombre del Gestor]]&gt;1,VENTAS[[#This Row],[Total]]*10%,0)</f>
        <v>1</v>
      </c>
      <c r="K721" s="14">
        <f>IFERROR(VLOOKUP(VENTAS[[#This Row],[Código del producto Vendido]],STOCK[],16,FALSE)*VENTAS[[#This Row],[Cantidad]]+VLOOKUP(VENTAS[[#This Row],[Código del producto Vendido]],STOCK[],19,FALSE)*VENTAS[[#This Row],[Cantidad]],VENTAS[[#This Row],[Total]])</f>
        <v>5.77</v>
      </c>
      <c r="L721" s="14">
        <f>VENTAS[[#This Row],[Total]]-VENTAS[[#This Row],[Comisión 10%]]-VENTAS[[#This Row],[Costo SIN Comision]]</f>
        <v>3.23</v>
      </c>
      <c r="M721" s="14"/>
    </row>
    <row r="722" ht="20" hidden="1" customHeight="1" spans="1:13">
      <c r="A722" s="10">
        <v>45331</v>
      </c>
      <c r="B722" s="11" t="str">
        <f>IFERROR(VLOOKUP(VENTAS[[#This Row],[Código del producto Vendido]],STOCK[],25,FALSE),"-")</f>
        <v>Compra 9/12/2023</v>
      </c>
      <c r="C722" s="11" t="s">
        <v>4229</v>
      </c>
      <c r="D722" s="11"/>
      <c r="E722" s="11" t="s">
        <v>1633</v>
      </c>
      <c r="F722" s="11" t="str">
        <f>IFERROR(VLOOKUP(VENTAS[[#This Row],[Código del producto Vendido]],STOCK[],5,FALSE),"-")</f>
        <v>Vestido Privé </v>
      </c>
      <c r="G722" s="11">
        <v>1</v>
      </c>
      <c r="H722" s="14">
        <v>25</v>
      </c>
      <c r="I722" s="14">
        <f>VENTAS[[#This Row],[Cantidad]]*VENTAS[[#This Row],[Precio Venta]]</f>
        <v>25</v>
      </c>
      <c r="J722" s="14">
        <f>IF(VENTAS[[#This Row],[Nombre del Gestor]]&gt;1,VENTAS[[#This Row],[Total]]*10%,0)</f>
        <v>0</v>
      </c>
      <c r="K722" s="14">
        <f>IFERROR(VLOOKUP(VENTAS[[#This Row],[Código del producto Vendido]],STOCK[],16,FALSE)*VENTAS[[#This Row],[Cantidad]]+VLOOKUP(VENTAS[[#This Row],[Código del producto Vendido]],STOCK[],19,FALSE)*VENTAS[[#This Row],[Cantidad]],VENTAS[[#This Row],[Total]])</f>
        <v>11.1</v>
      </c>
      <c r="L722" s="14">
        <f>VENTAS[[#This Row],[Total]]-VENTAS[[#This Row],[Comisión 10%]]-VENTAS[[#This Row],[Costo SIN Comision]]</f>
        <v>13.9</v>
      </c>
      <c r="M722" s="14"/>
    </row>
    <row r="723" ht="20" hidden="1" customHeight="1" spans="1:13">
      <c r="A723" s="10">
        <v>45332</v>
      </c>
      <c r="B723" s="11" t="str">
        <f>IFERROR(VLOOKUP(VENTAS[[#This Row],[Código del producto Vendido]],STOCK[],25,FALSE),"-")</f>
        <v>-</v>
      </c>
      <c r="C723" s="11"/>
      <c r="D723" s="11"/>
      <c r="E723" s="11"/>
      <c r="F723" s="11" t="str">
        <f>IFERROR(VLOOKUP(VENTAS[[#This Row],[Código del producto Vendido]],STOCK[],5,FALSE),"-")</f>
        <v>-</v>
      </c>
      <c r="G723" s="11">
        <v>1</v>
      </c>
      <c r="H723" s="14">
        <v>28</v>
      </c>
      <c r="I723" s="14">
        <f>VENTAS[[#This Row],[Cantidad]]*VENTAS[[#This Row],[Precio Venta]]</f>
        <v>28</v>
      </c>
      <c r="J723" s="14">
        <f>IF(VENTAS[[#This Row],[Nombre del Gestor]]&gt;1,VENTAS[[#This Row],[Total]]*10%,0)</f>
        <v>0</v>
      </c>
      <c r="K723" s="14">
        <f>IFERROR(VLOOKUP(VENTAS[[#This Row],[Código del producto Vendido]],STOCK[],16,FALSE)*VENTAS[[#This Row],[Cantidad]]+VLOOKUP(VENTAS[[#This Row],[Código del producto Vendido]],STOCK[],19,FALSE)*VENTAS[[#This Row],[Cantidad]],VENTAS[[#This Row],[Total]])</f>
        <v>28</v>
      </c>
      <c r="L723" s="14">
        <f>VENTAS[[#This Row],[Total]]-VENTAS[[#This Row],[Comisión 10%]]-VENTAS[[#This Row],[Costo SIN Comision]]</f>
        <v>0</v>
      </c>
      <c r="M723" s="14"/>
    </row>
    <row r="724" ht="20" hidden="1" customHeight="1" spans="1:13">
      <c r="A724" s="10">
        <v>45333</v>
      </c>
      <c r="B724" s="11" t="str">
        <f>IFERROR(VLOOKUP(VENTAS[[#This Row],[Código del producto Vendido]],STOCK[],25,FALSE),"-")</f>
        <v>Compra 9/12/2023</v>
      </c>
      <c r="C724" s="11" t="s">
        <v>4230</v>
      </c>
      <c r="D724" s="11"/>
      <c r="E724" s="11" t="s">
        <v>1622</v>
      </c>
      <c r="F724" s="11" t="str">
        <f>IFERROR(VLOOKUP(VENTAS[[#This Row],[Código del producto Vendido]],STOCK[],5,FALSE),"-")</f>
        <v>Vestido Becka</v>
      </c>
      <c r="G724" s="11">
        <v>1</v>
      </c>
      <c r="H724" s="14">
        <v>25</v>
      </c>
      <c r="I724" s="14">
        <f>VENTAS[[#This Row],[Cantidad]]*VENTAS[[#This Row],[Precio Venta]]</f>
        <v>25</v>
      </c>
      <c r="J724" s="14">
        <f>IF(VENTAS[[#This Row],[Nombre del Gestor]]&gt;1,VENTAS[[#This Row],[Total]]*10%,0)</f>
        <v>0</v>
      </c>
      <c r="K724" s="14">
        <f>IFERROR(VLOOKUP(VENTAS[[#This Row],[Código del producto Vendido]],STOCK[],16,FALSE)*VENTAS[[#This Row],[Cantidad]]+VLOOKUP(VENTAS[[#This Row],[Código del producto Vendido]],STOCK[],19,FALSE)*VENTAS[[#This Row],[Cantidad]],VENTAS[[#This Row],[Total]])</f>
        <v>12.4</v>
      </c>
      <c r="L724" s="14">
        <f>VENTAS[[#This Row],[Total]]-VENTAS[[#This Row],[Comisión 10%]]-VENTAS[[#This Row],[Costo SIN Comision]]</f>
        <v>12.6</v>
      </c>
      <c r="M724" s="14"/>
    </row>
    <row r="725" ht="20" hidden="1" customHeight="1" spans="1:13">
      <c r="A725" s="10">
        <v>45333</v>
      </c>
      <c r="B725" s="11" t="str">
        <f>IFERROR(VLOOKUP(VENTAS[[#This Row],[Código del producto Vendido]],STOCK[],25,FALSE),"-")</f>
        <v>Compra 9/12/2023</v>
      </c>
      <c r="C725" s="11"/>
      <c r="D725" s="11"/>
      <c r="E725" s="11" t="s">
        <v>1624</v>
      </c>
      <c r="F725" s="11" t="str">
        <f>IFERROR(VLOOKUP(VENTAS[[#This Row],[Código del producto Vendido]],STOCK[],5,FALSE),"-")</f>
        <v>Vestido Tarsha</v>
      </c>
      <c r="G725" s="11">
        <v>1</v>
      </c>
      <c r="H725" s="14">
        <v>27</v>
      </c>
      <c r="I725" s="14">
        <f>VENTAS[[#This Row],[Cantidad]]*VENTAS[[#This Row],[Precio Venta]]</f>
        <v>27</v>
      </c>
      <c r="J725" s="14">
        <f>IF(VENTAS[[#This Row],[Nombre del Gestor]]&gt;1,VENTAS[[#This Row],[Total]]*10%,0)</f>
        <v>0</v>
      </c>
      <c r="K725" s="14">
        <f>IFERROR(VLOOKUP(VENTAS[[#This Row],[Código del producto Vendido]],STOCK[],16,FALSE)*VENTAS[[#This Row],[Cantidad]]+VLOOKUP(VENTAS[[#This Row],[Código del producto Vendido]],STOCK[],19,FALSE)*VENTAS[[#This Row],[Cantidad]],VENTAS[[#This Row],[Total]])</f>
        <v>13.97</v>
      </c>
      <c r="L725" s="14">
        <f>VENTAS[[#This Row],[Total]]-VENTAS[[#This Row],[Comisión 10%]]-VENTAS[[#This Row],[Costo SIN Comision]]</f>
        <v>13.03</v>
      </c>
      <c r="M725" s="14"/>
    </row>
    <row r="726" ht="20" hidden="1" customHeight="1" spans="1:13">
      <c r="A726" s="10">
        <v>45324</v>
      </c>
      <c r="B726" s="11">
        <f>IFERROR(VLOOKUP(VENTAS[[#This Row],[Código del producto Vendido]],STOCK[],25,FALSE),"-")</f>
        <v>0</v>
      </c>
      <c r="C726" s="11"/>
      <c r="D726" s="11" t="s">
        <v>4228</v>
      </c>
      <c r="E726" s="11" t="s">
        <v>1293</v>
      </c>
      <c r="F726" s="11" t="str">
        <f>IFERROR(VLOOKUP(VENTAS[[#This Row],[Código del producto Vendido]],STOCK[],5,FALSE),"-")</f>
        <v>Jean skinny oscuro </v>
      </c>
      <c r="G726" s="11">
        <v>1</v>
      </c>
      <c r="H726" s="14">
        <v>30</v>
      </c>
      <c r="I726" s="14">
        <f>VENTAS[[#This Row],[Cantidad]]*VENTAS[[#This Row],[Precio Venta]]</f>
        <v>30</v>
      </c>
      <c r="J726" s="14">
        <f>IF(VENTAS[[#This Row],[Nombre del Gestor]]&gt;1,VENTAS[[#This Row],[Total]]*10%,0)</f>
        <v>3</v>
      </c>
      <c r="K726" s="14">
        <f>IFERROR(VLOOKUP(VENTAS[[#This Row],[Código del producto Vendido]],STOCK[],16,FALSE)*VENTAS[[#This Row],[Cantidad]]+VLOOKUP(VENTAS[[#This Row],[Código del producto Vendido]],STOCK[],19,FALSE)*VENTAS[[#This Row],[Cantidad]],VENTAS[[#This Row],[Total]])</f>
        <v>20.79</v>
      </c>
      <c r="L726" s="14">
        <f>VENTAS[[#This Row],[Total]]-VENTAS[[#This Row],[Comisión 10%]]-VENTAS[[#This Row],[Costo SIN Comision]]</f>
        <v>6.21</v>
      </c>
      <c r="M726" s="14"/>
    </row>
    <row r="727" ht="20" hidden="1" customHeight="1" spans="1:13">
      <c r="A727" s="10">
        <v>45324</v>
      </c>
      <c r="B727" s="11" t="str">
        <f>IFERROR(VLOOKUP(VENTAS[[#This Row],[Código del producto Vendido]],STOCK[],25,FALSE),"-")</f>
        <v>Compra 9/12/2023</v>
      </c>
      <c r="C727" s="11"/>
      <c r="D727" s="11" t="s">
        <v>4220</v>
      </c>
      <c r="E727" s="11" t="s">
        <v>1612</v>
      </c>
      <c r="F727" s="11" t="str">
        <f>IFERROR(VLOOKUP(VENTAS[[#This Row],[Código del producto Vendido]],STOCK[],5,FALSE),"-")</f>
        <v>Camisa Modely</v>
      </c>
      <c r="G727" s="11">
        <v>1</v>
      </c>
      <c r="H727" s="14">
        <v>22</v>
      </c>
      <c r="I727" s="14">
        <f>VENTAS[[#This Row],[Cantidad]]*VENTAS[[#This Row],[Precio Venta]]</f>
        <v>22</v>
      </c>
      <c r="J727" s="14">
        <f>IF(VENTAS[[#This Row],[Nombre del Gestor]]&gt;1,VENTAS[[#This Row],[Total]]*10%,0)</f>
        <v>2.2</v>
      </c>
      <c r="K727" s="14">
        <f>IFERROR(VLOOKUP(VENTAS[[#This Row],[Código del producto Vendido]],STOCK[],16,FALSE)*VENTAS[[#This Row],[Cantidad]]+VLOOKUP(VENTAS[[#This Row],[Código del producto Vendido]],STOCK[],19,FALSE)*VENTAS[[#This Row],[Cantidad]],VENTAS[[#This Row],[Total]])</f>
        <v>9.74</v>
      </c>
      <c r="L727" s="14">
        <f>VENTAS[[#This Row],[Total]]-VENTAS[[#This Row],[Comisión 10%]]-VENTAS[[#This Row],[Costo SIN Comision]]</f>
        <v>10.06</v>
      </c>
      <c r="M727" s="14"/>
    </row>
    <row r="728" ht="20" hidden="1" customHeight="1" spans="1:13">
      <c r="A728" s="10">
        <v>45330</v>
      </c>
      <c r="B728" s="11" t="str">
        <f>IFERROR(VLOOKUP(VENTAS[[#This Row],[Código del producto Vendido]],STOCK[],25,FALSE),"-")</f>
        <v>Compra 9/12/2023</v>
      </c>
      <c r="C728" s="11" t="s">
        <v>4231</v>
      </c>
      <c r="D728" s="11"/>
      <c r="E728" s="11" t="s">
        <v>1661</v>
      </c>
      <c r="F728" s="11" t="str">
        <f>IFERROR(VLOOKUP(VENTAS[[#This Row],[Código del producto Vendido]],STOCK[],5,FALSE),"-")</f>
        <v>Suéter cuello de Cisne</v>
      </c>
      <c r="G728" s="11">
        <v>1</v>
      </c>
      <c r="H728" s="14">
        <v>15</v>
      </c>
      <c r="I728" s="14">
        <f>VENTAS[[#This Row],[Cantidad]]*VENTAS[[#This Row],[Precio Venta]]</f>
        <v>15</v>
      </c>
      <c r="J728" s="14">
        <f>IF(VENTAS[[#This Row],[Nombre del Gestor]]&gt;1,VENTAS[[#This Row],[Total]]*10%,0)</f>
        <v>0</v>
      </c>
      <c r="K728" s="14">
        <f>IFERROR(VLOOKUP(VENTAS[[#This Row],[Código del producto Vendido]],STOCK[],16,FALSE)*VENTAS[[#This Row],[Cantidad]]+VLOOKUP(VENTAS[[#This Row],[Código del producto Vendido]],STOCK[],19,FALSE)*VENTAS[[#This Row],[Cantidad]],VENTAS[[#This Row],[Total]])</f>
        <v>5.78</v>
      </c>
      <c r="L728" s="14">
        <f>VENTAS[[#This Row],[Total]]-VENTAS[[#This Row],[Comisión 10%]]-VENTAS[[#This Row],[Costo SIN Comision]]</f>
        <v>9.22</v>
      </c>
      <c r="M728" s="14"/>
    </row>
    <row r="729" ht="20" hidden="1" customHeight="1" spans="1:13">
      <c r="A729" s="10">
        <v>45330</v>
      </c>
      <c r="B729" s="11" t="str">
        <f>IFERROR(VLOOKUP(VENTAS[[#This Row],[Código del producto Vendido]],STOCK[],25,FALSE),"-")</f>
        <v>Compra 9/12/2023</v>
      </c>
      <c r="C729" s="11" t="s">
        <v>4231</v>
      </c>
      <c r="D729" s="11"/>
      <c r="E729" s="11" t="s">
        <v>1664</v>
      </c>
      <c r="F729" s="11" t="str">
        <f>IFERROR(VLOOKUP(VENTAS[[#This Row],[Código del producto Vendido]],STOCK[],5,FALSE),"-")</f>
        <v>Top Healter negro</v>
      </c>
      <c r="G729" s="11">
        <v>1</v>
      </c>
      <c r="H729" s="14">
        <v>12</v>
      </c>
      <c r="I729" s="14">
        <f>VENTAS[[#This Row],[Cantidad]]*VENTAS[[#This Row],[Precio Venta]]</f>
        <v>12</v>
      </c>
      <c r="J729" s="14">
        <f>IF(VENTAS[[#This Row],[Nombre del Gestor]]&gt;1,VENTAS[[#This Row],[Total]]*10%,0)</f>
        <v>0</v>
      </c>
      <c r="K729" s="14">
        <f>IFERROR(VLOOKUP(VENTAS[[#This Row],[Código del producto Vendido]],STOCK[],16,FALSE)*VENTAS[[#This Row],[Cantidad]]+VLOOKUP(VENTAS[[#This Row],[Código del producto Vendido]],STOCK[],19,FALSE)*VENTAS[[#This Row],[Cantidad]],VENTAS[[#This Row],[Total]])</f>
        <v>6.37</v>
      </c>
      <c r="L729" s="14">
        <f>VENTAS[[#This Row],[Total]]-VENTAS[[#This Row],[Comisión 10%]]-VENTAS[[#This Row],[Costo SIN Comision]]</f>
        <v>5.63</v>
      </c>
      <c r="M729" s="14"/>
    </row>
    <row r="730" ht="20" hidden="1" customHeight="1" spans="1:13">
      <c r="A730" s="10"/>
      <c r="B730" s="11" t="str">
        <f>IFERROR(VLOOKUP(VENTAS[[#This Row],[Código del producto Vendido]],STOCK[],25,FALSE),"-")</f>
        <v>Compra 9/12/2023</v>
      </c>
      <c r="C730" s="11" t="s">
        <v>4229</v>
      </c>
      <c r="D730" s="11"/>
      <c r="E730" s="11" t="s">
        <v>1662</v>
      </c>
      <c r="F730" s="11" t="str">
        <f>IFERROR(VLOOKUP(VENTAS[[#This Row],[Código del producto Vendido]],STOCK[],5,FALSE),"-")</f>
        <v>Top healter negro</v>
      </c>
      <c r="G730" s="11">
        <v>1</v>
      </c>
      <c r="H730" s="14">
        <v>12</v>
      </c>
      <c r="I730" s="14">
        <f>VENTAS[[#This Row],[Cantidad]]*VENTAS[[#This Row],[Precio Venta]]</f>
        <v>12</v>
      </c>
      <c r="J730" s="14">
        <f>IF(VENTAS[[#This Row],[Nombre del Gestor]]&gt;1,VENTAS[[#This Row],[Total]]*10%,0)</f>
        <v>0</v>
      </c>
      <c r="K730" s="14">
        <f>IFERROR(VLOOKUP(VENTAS[[#This Row],[Código del producto Vendido]],STOCK[],16,FALSE)*VENTAS[[#This Row],[Cantidad]]+VLOOKUP(VENTAS[[#This Row],[Código del producto Vendido]],STOCK[],19,FALSE)*VENTAS[[#This Row],[Cantidad]],VENTAS[[#This Row],[Total]])</f>
        <v>6.37</v>
      </c>
      <c r="L730" s="14">
        <f>VENTAS[[#This Row],[Total]]-VENTAS[[#This Row],[Comisión 10%]]-VENTAS[[#This Row],[Costo SIN Comision]]</f>
        <v>5.63</v>
      </c>
      <c r="M730" s="14"/>
    </row>
    <row r="731" ht="20" hidden="1" customHeight="1" spans="1:13">
      <c r="A731" s="10">
        <v>45324</v>
      </c>
      <c r="B731" s="11" t="str">
        <f>IFERROR(VLOOKUP(VENTAS[[#This Row],[Código del producto Vendido]],STOCK[],25,FALSE),"-")</f>
        <v>Compra 9/12/2023</v>
      </c>
      <c r="C731" s="11"/>
      <c r="D731" s="11"/>
      <c r="E731" s="11" t="s">
        <v>1684</v>
      </c>
      <c r="F731" s="11" t="str">
        <f>IFERROR(VLOOKUP(VENTAS[[#This Row],[Código del producto Vendido]],STOCK[],5,FALSE),"-")</f>
        <v>Vestido de mangas en contraste</v>
      </c>
      <c r="G731" s="11">
        <v>1</v>
      </c>
      <c r="H731" s="14">
        <v>28</v>
      </c>
      <c r="I731" s="14">
        <f>VENTAS[[#This Row],[Cantidad]]*VENTAS[[#This Row],[Precio Venta]]</f>
        <v>28</v>
      </c>
      <c r="J731" s="14">
        <f>IF(VENTAS[[#This Row],[Nombre del Gestor]]&gt;1,VENTAS[[#This Row],[Total]]*10%,0)</f>
        <v>0</v>
      </c>
      <c r="K731" s="14">
        <f>IFERROR(VLOOKUP(VENTAS[[#This Row],[Código del producto Vendido]],STOCK[],16,FALSE)*VENTAS[[#This Row],[Cantidad]]+VLOOKUP(VENTAS[[#This Row],[Código del producto Vendido]],STOCK[],19,FALSE)*VENTAS[[#This Row],[Cantidad]],VENTAS[[#This Row],[Total]])</f>
        <v>17.25</v>
      </c>
      <c r="L731" s="14">
        <f>VENTAS[[#This Row],[Total]]-VENTAS[[#This Row],[Comisión 10%]]-VENTAS[[#This Row],[Costo SIN Comision]]</f>
        <v>10.75</v>
      </c>
      <c r="M731" s="14"/>
    </row>
    <row r="732" ht="20" hidden="1" customHeight="1" spans="1:13">
      <c r="A732" s="10" t="s">
        <v>4225</v>
      </c>
      <c r="B732" s="11">
        <f>IFERROR(VLOOKUP(VENTAS[[#This Row],[Código del producto Vendido]],STOCK[],25,FALSE),"-")</f>
        <v>0</v>
      </c>
      <c r="C732" s="11"/>
      <c r="D732" s="11"/>
      <c r="E732" s="11" t="s">
        <v>1694</v>
      </c>
      <c r="F732" s="11" t="str">
        <f>IFERROR(VLOOKUP(VENTAS[[#This Row],[Código del producto Vendido]],STOCK[],5,FALSE),"-")</f>
        <v>Chaleco corto de traje cuadros</v>
      </c>
      <c r="G732" s="11">
        <v>1</v>
      </c>
      <c r="H732" s="14">
        <v>36</v>
      </c>
      <c r="I732" s="14">
        <f>VENTAS[[#This Row],[Cantidad]]*VENTAS[[#This Row],[Precio Venta]]</f>
        <v>36</v>
      </c>
      <c r="J732" s="14">
        <f>IF(VENTAS[[#This Row],[Nombre del Gestor]]&gt;1,VENTAS[[#This Row],[Total]]*10%,0)</f>
        <v>0</v>
      </c>
      <c r="K732" s="14">
        <f>IFERROR(VLOOKUP(VENTAS[[#This Row],[Código del producto Vendido]],STOCK[],16,FALSE)*VENTAS[[#This Row],[Cantidad]]+VLOOKUP(VENTAS[[#This Row],[Código del producto Vendido]],STOCK[],19,FALSE)*VENTAS[[#This Row],[Cantidad]],VENTAS[[#This Row],[Total]])</f>
        <v>24</v>
      </c>
      <c r="L732" s="14">
        <f>VENTAS[[#This Row],[Total]]-VENTAS[[#This Row],[Comisión 10%]]-VENTAS[[#This Row],[Costo SIN Comision]]</f>
        <v>12</v>
      </c>
      <c r="M732" s="14"/>
    </row>
    <row r="733" ht="20" hidden="1" customHeight="1" spans="1:13">
      <c r="A733" s="10"/>
      <c r="B733" s="11" t="str">
        <f>IFERROR(VLOOKUP(VENTAS[[#This Row],[Código del producto Vendido]],STOCK[],25,FALSE),"-")</f>
        <v>Compra Shein22012024</v>
      </c>
      <c r="C733" s="11" t="s">
        <v>4232</v>
      </c>
      <c r="D733" s="11"/>
      <c r="E733" s="11" t="s">
        <v>1737</v>
      </c>
      <c r="F733" s="11" t="str">
        <f>IFERROR(VLOOKUP(VENTAS[[#This Row],[Código del producto Vendido]],STOCK[],5,FALSE),"-")</f>
        <v>Chaleco de traje Negro</v>
      </c>
      <c r="G733" s="11">
        <v>1</v>
      </c>
      <c r="H733" s="14">
        <v>25</v>
      </c>
      <c r="I733" s="14">
        <f>VENTAS[[#This Row],[Cantidad]]*VENTAS[[#This Row],[Precio Venta]]</f>
        <v>25</v>
      </c>
      <c r="J733" s="14">
        <f>IF(VENTAS[[#This Row],[Nombre del Gestor]]&gt;1,VENTAS[[#This Row],[Total]]*10%,0)</f>
        <v>0</v>
      </c>
      <c r="K733" s="14">
        <f>IFERROR(VLOOKUP(VENTAS[[#This Row],[Código del producto Vendido]],STOCK[],16,FALSE)*VENTAS[[#This Row],[Cantidad]]+VLOOKUP(VENTAS[[#This Row],[Código del producto Vendido]],STOCK[],19,FALSE)*VENTAS[[#This Row],[Cantidad]],VENTAS[[#This Row],[Total]])</f>
        <v>17.9411764705882</v>
      </c>
      <c r="L733" s="14">
        <f>VENTAS[[#This Row],[Total]]-VENTAS[[#This Row],[Comisión 10%]]-VENTAS[[#This Row],[Costo SIN Comision]]</f>
        <v>7.0588235294118</v>
      </c>
      <c r="M733" s="14"/>
    </row>
    <row r="734" ht="20" hidden="1" customHeight="1" spans="1:13">
      <c r="A734" s="10">
        <v>45335</v>
      </c>
      <c r="B734" s="11"/>
      <c r="C734" s="11" t="s">
        <v>4082</v>
      </c>
      <c r="D734" s="11"/>
      <c r="E734" s="11" t="s">
        <v>1762</v>
      </c>
      <c r="F734" s="11" t="str">
        <f>IFERROR(VLOOKUP(VENTAS[[#This Row],[Código del producto Vendido]],STOCK[],5,FALSE),"-")</f>
        <v>Zapatillas blanco casual</v>
      </c>
      <c r="G734" s="11">
        <v>1</v>
      </c>
      <c r="H734" s="14">
        <v>39</v>
      </c>
      <c r="I734" s="14">
        <f>VENTAS[[#This Row],[Cantidad]]*VENTAS[[#This Row],[Precio Venta]]</f>
        <v>39</v>
      </c>
      <c r="J734" s="14">
        <f>IF(VENTAS[[#This Row],[Nombre del Gestor]]&gt;1,VENTAS[[#This Row],[Total]]*10%,0)</f>
        <v>0</v>
      </c>
      <c r="K734" s="14">
        <f>IFERROR(VLOOKUP(VENTAS[[#This Row],[Código del producto Vendido]],STOCK[],16,FALSE)*VENTAS[[#This Row],[Cantidad]]+VLOOKUP(VENTAS[[#This Row],[Código del producto Vendido]],STOCK[],19,FALSE)*VENTAS[[#This Row],[Cantidad]],VENTAS[[#This Row],[Total]])</f>
        <v>25.4705882352941</v>
      </c>
      <c r="L734" s="14">
        <f>VENTAS[[#This Row],[Total]]-VENTAS[[#This Row],[Comisión 10%]]-VENTAS[[#This Row],[Costo SIN Comision]]</f>
        <v>13.5294117647059</v>
      </c>
      <c r="M734" s="14"/>
    </row>
    <row r="735" ht="20" hidden="1" customHeight="1" spans="1:13">
      <c r="A735" s="10"/>
      <c r="B735" s="11"/>
      <c r="C735" s="11"/>
      <c r="D735" s="11"/>
      <c r="E735" s="11" t="s">
        <v>1807</v>
      </c>
      <c r="F735" s="11" t="str">
        <f>IFERROR(VLOOKUP(VENTAS[[#This Row],[Código del producto Vendido]],STOCK[],5,FALSE),"-")</f>
        <v>Pasador de cabello en forma de lazo</v>
      </c>
      <c r="G735" s="11">
        <v>1</v>
      </c>
      <c r="H735" s="14">
        <v>2.5</v>
      </c>
      <c r="I735" s="14">
        <f>VENTAS[[#This Row],[Cantidad]]*VENTAS[[#This Row],[Precio Venta]]</f>
        <v>2.5</v>
      </c>
      <c r="J735" s="14">
        <f>IF(VENTAS[[#This Row],[Nombre del Gestor]]&gt;1,VENTAS[[#This Row],[Total]]*10%,0)</f>
        <v>0</v>
      </c>
      <c r="K735" s="14">
        <f>IFERROR(VLOOKUP(VENTAS[[#This Row],[Código del producto Vendido]],STOCK[],16,FALSE)*VENTAS[[#This Row],[Cantidad]]+VLOOKUP(VENTAS[[#This Row],[Código del producto Vendido]],STOCK[],19,FALSE)*VENTAS[[#This Row],[Cantidad]],VENTAS[[#This Row],[Total]])</f>
        <v>1.73529411764706</v>
      </c>
      <c r="L735" s="14">
        <f>VENTAS[[#This Row],[Total]]-VENTAS[[#This Row],[Comisión 10%]]-VENTAS[[#This Row],[Costo SIN Comision]]</f>
        <v>0.76470588235294</v>
      </c>
      <c r="M735" s="14"/>
    </row>
    <row r="736" ht="20" hidden="1" customHeight="1" spans="1:13">
      <c r="A736" s="10">
        <v>45327</v>
      </c>
      <c r="B736" s="11"/>
      <c r="C736" s="11" t="s">
        <v>4229</v>
      </c>
      <c r="D736" s="11"/>
      <c r="E736" s="11" t="s">
        <v>354</v>
      </c>
      <c r="F736" s="11" t="str">
        <f>IFERROR(VLOOKUP(VENTAS[[#This Row],[Código del producto Vendido]],STOCK[],5,FALSE),"-")</f>
        <v>Vestido de espalda cruzada</v>
      </c>
      <c r="G736" s="11">
        <v>1</v>
      </c>
      <c r="H736" s="14">
        <v>20</v>
      </c>
      <c r="I736" s="14">
        <f>VENTAS[[#This Row],[Cantidad]]*VENTAS[[#This Row],[Precio Venta]]</f>
        <v>20</v>
      </c>
      <c r="J736" s="14">
        <f>IF(VENTAS[[#This Row],[Nombre del Gestor]]&gt;1,VENTAS[[#This Row],[Total]]*10%,0)</f>
        <v>0</v>
      </c>
      <c r="K736" s="14">
        <f>IFERROR(VLOOKUP(VENTAS[[#This Row],[Código del producto Vendido]],STOCK[],16,FALSE)*VENTAS[[#This Row],[Cantidad]]+VLOOKUP(VENTAS[[#This Row],[Código del producto Vendido]],STOCK[],19,FALSE)*VENTAS[[#This Row],[Cantidad]],VENTAS[[#This Row],[Total]])</f>
        <v>14.6661111111111</v>
      </c>
      <c r="L736" s="14">
        <f>VENTAS[[#This Row],[Total]]-VENTAS[[#This Row],[Comisión 10%]]-VENTAS[[#This Row],[Costo SIN Comision]]</f>
        <v>5.33388888888889</v>
      </c>
      <c r="M736" s="14"/>
    </row>
    <row r="737" ht="20" hidden="1" customHeight="1" spans="1:13">
      <c r="A737" s="10">
        <v>45327</v>
      </c>
      <c r="B737" s="11"/>
      <c r="C737" s="11" t="s">
        <v>4229</v>
      </c>
      <c r="D737" s="11"/>
      <c r="E737" s="11" t="s">
        <v>1436</v>
      </c>
      <c r="F737" s="11" t="str">
        <f>IFERROR(VLOOKUP(VENTAS[[#This Row],[Código del producto Vendido]],STOCK[],5,FALSE),"-")</f>
        <v>Sandalias de velcro</v>
      </c>
      <c r="G737" s="11">
        <v>1</v>
      </c>
      <c r="H737" s="14">
        <v>30</v>
      </c>
      <c r="I737" s="14">
        <f>VENTAS[[#This Row],[Cantidad]]*VENTAS[[#This Row],[Precio Venta]]</f>
        <v>30</v>
      </c>
      <c r="J737" s="14">
        <f>IF(VENTAS[[#This Row],[Nombre del Gestor]]&gt;1,VENTAS[[#This Row],[Total]]*10%,0)</f>
        <v>0</v>
      </c>
      <c r="K737" s="14">
        <f>IFERROR(VLOOKUP(VENTAS[[#This Row],[Código del producto Vendido]],STOCK[],16,FALSE)*VENTAS[[#This Row],[Cantidad]]+VLOOKUP(VENTAS[[#This Row],[Código del producto Vendido]],STOCK[],19,FALSE)*VENTAS[[#This Row],[Cantidad]],VENTAS[[#This Row],[Total]])</f>
        <v>17</v>
      </c>
      <c r="L737" s="14">
        <f>VENTAS[[#This Row],[Total]]-VENTAS[[#This Row],[Comisión 10%]]-VENTAS[[#This Row],[Costo SIN Comision]]</f>
        <v>13</v>
      </c>
      <c r="M737" s="14"/>
    </row>
    <row r="738" ht="20" hidden="1" customHeight="1" spans="1:13">
      <c r="A738" s="10">
        <v>45329</v>
      </c>
      <c r="B738" s="11"/>
      <c r="C738" s="11"/>
      <c r="D738" s="11" t="s">
        <v>4222</v>
      </c>
      <c r="E738" s="11" t="s">
        <v>1303</v>
      </c>
      <c r="F738" s="11" t="str">
        <f>IFERROR(VLOOKUP(VENTAS[[#This Row],[Código del producto Vendido]],STOCK[],5,FALSE),"-")</f>
        <v>Jean ajustado Claro</v>
      </c>
      <c r="G738" s="11">
        <v>1</v>
      </c>
      <c r="H738" s="14">
        <v>30</v>
      </c>
      <c r="I738" s="14">
        <f>VENTAS[[#This Row],[Cantidad]]*VENTAS[[#This Row],[Precio Venta]]</f>
        <v>30</v>
      </c>
      <c r="J738" s="14">
        <f>IF(VENTAS[[#This Row],[Nombre del Gestor]]&gt;1,VENTAS[[#This Row],[Total]]*10%,0)</f>
        <v>3</v>
      </c>
      <c r="K738" s="14">
        <f>IFERROR(VLOOKUP(VENTAS[[#This Row],[Código del producto Vendido]],STOCK[],16,FALSE)*VENTAS[[#This Row],[Cantidad]]+VLOOKUP(VENTAS[[#This Row],[Código del producto Vendido]],STOCK[],19,FALSE)*VENTAS[[#This Row],[Cantidad]],VENTAS[[#This Row],[Total]])</f>
        <v>23.79</v>
      </c>
      <c r="L738" s="14">
        <f>VENTAS[[#This Row],[Total]]-VENTAS[[#This Row],[Comisión 10%]]-VENTAS[[#This Row],[Costo SIN Comision]]</f>
        <v>3.21</v>
      </c>
      <c r="M738" s="14"/>
    </row>
    <row r="739" ht="20" hidden="1" customHeight="1" spans="1:13">
      <c r="A739" s="10" t="s">
        <v>4225</v>
      </c>
      <c r="B739" s="11"/>
      <c r="C739" s="11"/>
      <c r="D739" s="11"/>
      <c r="E739" s="11" t="s">
        <v>522</v>
      </c>
      <c r="F739" s="11" t="str">
        <f>IFERROR(VLOOKUP(VENTAS[[#This Row],[Código del producto Vendido]],STOCK[],5,FALSE),"-")</f>
        <v>Almohadilla de maquillaje </v>
      </c>
      <c r="G739" s="11">
        <v>1</v>
      </c>
      <c r="H739" s="14">
        <v>1</v>
      </c>
      <c r="I739" s="14">
        <f>VENTAS[[#This Row],[Cantidad]]*VENTAS[[#This Row],[Precio Venta]]</f>
        <v>1</v>
      </c>
      <c r="J739" s="14">
        <f>IF(VENTAS[[#This Row],[Nombre del Gestor]]&gt;1,VENTAS[[#This Row],[Total]]*10%,0)</f>
        <v>0</v>
      </c>
      <c r="K739" s="14">
        <f>IFERROR(VLOOKUP(VENTAS[[#This Row],[Código del producto Vendido]],STOCK[],16,FALSE)*VENTAS[[#This Row],[Cantidad]]+VLOOKUP(VENTAS[[#This Row],[Código del producto Vendido]],STOCK[],19,FALSE)*VENTAS[[#This Row],[Cantidad]],VENTAS[[#This Row],[Total]])</f>
        <v>0.241388888888889</v>
      </c>
      <c r="L739" s="14">
        <f>VENTAS[[#This Row],[Total]]-VENTAS[[#This Row],[Comisión 10%]]-VENTAS[[#This Row],[Costo SIN Comision]]</f>
        <v>0.758611111111111</v>
      </c>
      <c r="M739" s="14"/>
    </row>
    <row r="740" ht="20" hidden="1" customHeight="1" spans="1:13">
      <c r="A740" s="10">
        <v>45329</v>
      </c>
      <c r="B740" s="11"/>
      <c r="C740" s="11"/>
      <c r="D740" s="11"/>
      <c r="E740" s="11" t="s">
        <v>1794</v>
      </c>
      <c r="F740" s="11" t="str">
        <f>IFERROR(VLOOKUP(VENTAS[[#This Row],[Código del producto Vendido]],STOCK[],5,FALSE),"-")</f>
        <v>Horquillas en forma de lazo</v>
      </c>
      <c r="G740" s="11">
        <v>3</v>
      </c>
      <c r="H740" s="14">
        <v>2.5</v>
      </c>
      <c r="I740" s="14">
        <f>VENTAS[[#This Row],[Cantidad]]*VENTAS[[#This Row],[Precio Venta]]</f>
        <v>7.5</v>
      </c>
      <c r="J740" s="14">
        <f>IF(VENTAS[[#This Row],[Nombre del Gestor]]&gt;1,VENTAS[[#This Row],[Total]]*10%,0)</f>
        <v>0</v>
      </c>
      <c r="K740" s="14">
        <f>IFERROR(VLOOKUP(VENTAS[[#This Row],[Código del producto Vendido]],STOCK[],16,FALSE)*VENTAS[[#This Row],[Cantidad]]+VLOOKUP(VENTAS[[#This Row],[Código del producto Vendido]],STOCK[],19,FALSE)*VENTAS[[#This Row],[Cantidad]],VENTAS[[#This Row],[Total]])</f>
        <v>4.1735294117647</v>
      </c>
      <c r="L740" s="14">
        <f>VENTAS[[#This Row],[Total]]-VENTAS[[#This Row],[Comisión 10%]]-VENTAS[[#This Row],[Costo SIN Comision]]</f>
        <v>3.3264705882353</v>
      </c>
      <c r="M740" s="14"/>
    </row>
    <row r="741" ht="20" hidden="1" customHeight="1" spans="1:13">
      <c r="A741" s="10">
        <v>45329</v>
      </c>
      <c r="B741" s="11"/>
      <c r="C741" s="11"/>
      <c r="D741" s="11"/>
      <c r="E741" s="11" t="s">
        <v>1798</v>
      </c>
      <c r="F741" s="11" t="str">
        <f>IFERROR(VLOOKUP(VENTAS[[#This Row],[Código del producto Vendido]],STOCK[],5,FALSE),"-")</f>
        <v>Horquillas en forma de lazo</v>
      </c>
      <c r="G741" s="11">
        <v>1</v>
      </c>
      <c r="H741" s="14">
        <v>2.5</v>
      </c>
      <c r="I741" s="14">
        <f>VENTAS[[#This Row],[Cantidad]]*VENTAS[[#This Row],[Precio Venta]]</f>
        <v>2.5</v>
      </c>
      <c r="J741" s="14">
        <f>IF(VENTAS[[#This Row],[Nombre del Gestor]]&gt;1,VENTAS[[#This Row],[Total]]*10%,0)</f>
        <v>0</v>
      </c>
      <c r="K741" s="14">
        <f>IFERROR(VLOOKUP(VENTAS[[#This Row],[Código del producto Vendido]],STOCK[],16,FALSE)*VENTAS[[#This Row],[Cantidad]]+VLOOKUP(VENTAS[[#This Row],[Código del producto Vendido]],STOCK[],19,FALSE)*VENTAS[[#This Row],[Cantidad]],VENTAS[[#This Row],[Total]])</f>
        <v>1.39117647058824</v>
      </c>
      <c r="L741" s="14">
        <f>VENTAS[[#This Row],[Total]]-VENTAS[[#This Row],[Comisión 10%]]-VENTAS[[#This Row],[Costo SIN Comision]]</f>
        <v>1.10882352941176</v>
      </c>
      <c r="M741" s="14"/>
    </row>
    <row r="742" ht="20" hidden="1" customHeight="1" spans="1:13">
      <c r="A742" s="10">
        <v>45329</v>
      </c>
      <c r="B742" s="11"/>
      <c r="C742" s="11"/>
      <c r="D742" s="11"/>
      <c r="E742" s="11" t="s">
        <v>1800</v>
      </c>
      <c r="F742" s="11" t="str">
        <f>IFERROR(VLOOKUP(VENTAS[[#This Row],[Código del producto Vendido]],STOCK[],5,FALSE),"-")</f>
        <v>Horquillas en forma de lazo</v>
      </c>
      <c r="G742" s="11">
        <v>2</v>
      </c>
      <c r="H742" s="14">
        <v>2.5</v>
      </c>
      <c r="I742" s="14">
        <f>VENTAS[[#This Row],[Cantidad]]*VENTAS[[#This Row],[Precio Venta]]</f>
        <v>5</v>
      </c>
      <c r="J742" s="14">
        <f>IF(VENTAS[[#This Row],[Nombre del Gestor]]&gt;1,VENTAS[[#This Row],[Total]]*10%,0)</f>
        <v>0</v>
      </c>
      <c r="K742" s="14">
        <f>IFERROR(VLOOKUP(VENTAS[[#This Row],[Código del producto Vendido]],STOCK[],16,FALSE)*VENTAS[[#This Row],[Cantidad]]+VLOOKUP(VENTAS[[#This Row],[Código del producto Vendido]],STOCK[],19,FALSE)*VENTAS[[#This Row],[Cantidad]],VENTAS[[#This Row],[Total]])</f>
        <v>2.78235294117647</v>
      </c>
      <c r="L742" s="14">
        <f>VENTAS[[#This Row],[Total]]-VENTAS[[#This Row],[Comisión 10%]]-VENTAS[[#This Row],[Costo SIN Comision]]</f>
        <v>2.21764705882353</v>
      </c>
      <c r="M742" s="14"/>
    </row>
    <row r="743" ht="20" hidden="1" customHeight="1" spans="1:13">
      <c r="A743" s="10"/>
      <c r="B743" s="11"/>
      <c r="C743" s="11"/>
      <c r="D743" s="11"/>
      <c r="E743" s="11" t="s">
        <v>1807</v>
      </c>
      <c r="F743" s="11" t="str">
        <f>IFERROR(VLOOKUP(VENTAS[[#This Row],[Código del producto Vendido]],STOCK[],5,FALSE),"-")</f>
        <v>Pasador de cabello en forma de lazo</v>
      </c>
      <c r="G743" s="11">
        <v>1</v>
      </c>
      <c r="H743" s="14">
        <v>2.5</v>
      </c>
      <c r="I743" s="14">
        <f>VENTAS[[#This Row],[Cantidad]]*VENTAS[[#This Row],[Precio Venta]]</f>
        <v>2.5</v>
      </c>
      <c r="J743" s="14">
        <f>IF(VENTAS[[#This Row],[Nombre del Gestor]]&gt;1,VENTAS[[#This Row],[Total]]*10%,0)</f>
        <v>0</v>
      </c>
      <c r="K743" s="14">
        <f>IFERROR(VLOOKUP(VENTAS[[#This Row],[Código del producto Vendido]],STOCK[],16,FALSE)*VENTAS[[#This Row],[Cantidad]]+VLOOKUP(VENTAS[[#This Row],[Código del producto Vendido]],STOCK[],19,FALSE)*VENTAS[[#This Row],[Cantidad]],VENTAS[[#This Row],[Total]])</f>
        <v>1.73529411764706</v>
      </c>
      <c r="L743" s="14">
        <f>VENTAS[[#This Row],[Total]]-VENTAS[[#This Row],[Comisión 10%]]-VENTAS[[#This Row],[Costo SIN Comision]]</f>
        <v>0.76470588235294</v>
      </c>
      <c r="M743" s="14"/>
    </row>
    <row r="744" ht="20" hidden="1" customHeight="1" spans="1:13">
      <c r="A744" s="10">
        <v>45337</v>
      </c>
      <c r="B744" s="11"/>
      <c r="C744" s="11"/>
      <c r="D744" s="11" t="s">
        <v>4129</v>
      </c>
      <c r="E744" s="11" t="s">
        <v>1800</v>
      </c>
      <c r="F744" s="11" t="str">
        <f>IFERROR(VLOOKUP(VENTAS[[#This Row],[Código del producto Vendido]],STOCK[],5,FALSE),"-")</f>
        <v>Horquillas en forma de lazo</v>
      </c>
      <c r="G744" s="11">
        <v>1</v>
      </c>
      <c r="H744" s="14">
        <v>2.5</v>
      </c>
      <c r="I744" s="14">
        <f>VENTAS[[#This Row],[Cantidad]]*VENTAS[[#This Row],[Precio Venta]]</f>
        <v>2.5</v>
      </c>
      <c r="J744" s="14">
        <f>IF(VENTAS[[#This Row],[Nombre del Gestor]]&gt;1,VENTAS[[#This Row],[Total]]*10%,0)</f>
        <v>0.25</v>
      </c>
      <c r="K744" s="14">
        <f>IFERROR(VLOOKUP(VENTAS[[#This Row],[Código del producto Vendido]],STOCK[],16,FALSE)*VENTAS[[#This Row],[Cantidad]]+VLOOKUP(VENTAS[[#This Row],[Código del producto Vendido]],STOCK[],19,FALSE)*VENTAS[[#This Row],[Cantidad]],VENTAS[[#This Row],[Total]])</f>
        <v>1.39117647058824</v>
      </c>
      <c r="L744" s="14">
        <f>VENTAS[[#This Row],[Total]]-VENTAS[[#This Row],[Comisión 10%]]-VENTAS[[#This Row],[Costo SIN Comision]]</f>
        <v>0.858823529411765</v>
      </c>
      <c r="M744" s="14"/>
    </row>
    <row r="745" ht="20" hidden="1" customHeight="1" spans="1:13">
      <c r="A745" s="10">
        <v>45337</v>
      </c>
      <c r="B745" s="11"/>
      <c r="C745" s="11"/>
      <c r="D745" s="11" t="s">
        <v>4129</v>
      </c>
      <c r="E745" s="11" t="s">
        <v>1810</v>
      </c>
      <c r="F745" s="11" t="str">
        <f>IFERROR(VLOOKUP(VENTAS[[#This Row],[Código del producto Vendido]],STOCK[],5,FALSE),"-")</f>
        <v>Lazo para coletas</v>
      </c>
      <c r="G745" s="11">
        <v>1</v>
      </c>
      <c r="H745" s="14">
        <v>2</v>
      </c>
      <c r="I745" s="14">
        <f>VENTAS[[#This Row],[Cantidad]]*VENTAS[[#This Row],[Precio Venta]]</f>
        <v>2</v>
      </c>
      <c r="J745" s="14">
        <f>IF(VENTAS[[#This Row],[Nombre del Gestor]]&gt;1,VENTAS[[#This Row],[Total]]*10%,0)</f>
        <v>0.2</v>
      </c>
      <c r="K745" s="14">
        <f>IFERROR(VLOOKUP(VENTAS[[#This Row],[Código del producto Vendido]],STOCK[],16,FALSE)*VENTAS[[#This Row],[Cantidad]]+VLOOKUP(VENTAS[[#This Row],[Código del producto Vendido]],STOCK[],19,FALSE)*VENTAS[[#This Row],[Cantidad]],VENTAS[[#This Row],[Total]])</f>
        <v>1.91176470588235</v>
      </c>
      <c r="L745" s="14">
        <f>VENTAS[[#This Row],[Total]]-VENTAS[[#This Row],[Comisión 10%]]-VENTAS[[#This Row],[Costo SIN Comision]]</f>
        <v>-0.11176470588235</v>
      </c>
      <c r="M745" s="14"/>
    </row>
    <row r="746" ht="20" hidden="1" customHeight="1" spans="1:13">
      <c r="A746" s="10">
        <v>45337</v>
      </c>
      <c r="B746" s="11"/>
      <c r="C746" s="11" t="s">
        <v>4101</v>
      </c>
      <c r="D746" s="11"/>
      <c r="E746" s="11" t="s">
        <v>151</v>
      </c>
      <c r="F746" s="11" t="str">
        <f>IFERROR(VLOOKUP(VENTAS[[#This Row],[Código del producto Vendido]],STOCK[],5,FALSE),"-")</f>
        <v>Jean Boyfriend con rotos</v>
      </c>
      <c r="G746" s="11">
        <v>1</v>
      </c>
      <c r="H746" s="14">
        <v>30</v>
      </c>
      <c r="I746" s="14">
        <f>VENTAS[[#This Row],[Cantidad]]*VENTAS[[#This Row],[Precio Venta]]</f>
        <v>30</v>
      </c>
      <c r="J746" s="14">
        <f>IF(VENTAS[[#This Row],[Nombre del Gestor]]&gt;1,VENTAS[[#This Row],[Total]]*10%,0)</f>
        <v>0</v>
      </c>
      <c r="K746" s="14">
        <f>IFERROR(VLOOKUP(VENTAS[[#This Row],[Código del producto Vendido]],STOCK[],16,FALSE)*VENTAS[[#This Row],[Cantidad]]+VLOOKUP(VENTAS[[#This Row],[Código del producto Vendido]],STOCK[],19,FALSE)*VENTAS[[#This Row],[Cantidad]],VENTAS[[#This Row],[Total]])</f>
        <v>18.6866666666667</v>
      </c>
      <c r="L746" s="14">
        <f>VENTAS[[#This Row],[Total]]-VENTAS[[#This Row],[Comisión 10%]]-VENTAS[[#This Row],[Costo SIN Comision]]</f>
        <v>11.3133333333333</v>
      </c>
      <c r="M746" s="14"/>
    </row>
    <row r="747" ht="20" hidden="1" customHeight="1" spans="1:13">
      <c r="A747" s="10" t="s">
        <v>4225</v>
      </c>
      <c r="B747" s="11"/>
      <c r="C747" s="11"/>
      <c r="D747" s="11"/>
      <c r="E747" s="11" t="s">
        <v>1123</v>
      </c>
      <c r="F747" s="11" t="str">
        <f>IFERROR(VLOOKUP(VENTAS[[#This Row],[Código del producto Vendido]],STOCK[],5,FALSE),"-")</f>
        <v>Set de lencería de encaje</v>
      </c>
      <c r="G747" s="11">
        <v>1</v>
      </c>
      <c r="H747" s="14">
        <v>15</v>
      </c>
      <c r="I747" s="14">
        <f>VENTAS[[#This Row],[Cantidad]]*VENTAS[[#This Row],[Precio Venta]]</f>
        <v>15</v>
      </c>
      <c r="J747" s="14">
        <f>IF(VENTAS[[#This Row],[Nombre del Gestor]]&gt;1,VENTAS[[#This Row],[Total]]*10%,0)</f>
        <v>0</v>
      </c>
      <c r="K747" s="14">
        <f>IFERROR(VLOOKUP(VENTAS[[#This Row],[Código del producto Vendido]],STOCK[],16,FALSE)*VENTAS[[#This Row],[Cantidad]]+VLOOKUP(VENTAS[[#This Row],[Código del producto Vendido]],STOCK[],19,FALSE)*VENTAS[[#This Row],[Cantidad]],VENTAS[[#This Row],[Total]])</f>
        <v>7.10882352941176</v>
      </c>
      <c r="L747" s="14">
        <f>VENTAS[[#This Row],[Total]]-VENTAS[[#This Row],[Comisión 10%]]-VENTAS[[#This Row],[Costo SIN Comision]]</f>
        <v>7.89117647058824</v>
      </c>
      <c r="M747" s="14"/>
    </row>
    <row r="748" ht="20" hidden="1" customHeight="1" spans="1:13">
      <c r="A748" s="10">
        <v>45329</v>
      </c>
      <c r="B748" s="11"/>
      <c r="C748" s="11" t="s">
        <v>4233</v>
      </c>
      <c r="D748" s="11"/>
      <c r="E748" s="11" t="s">
        <v>397</v>
      </c>
      <c r="F748" s="11" t="str">
        <f>IFERROR(VLOOKUP(VENTAS[[#This Row],[Código del producto Vendido]],STOCK[],5,FALSE),"-")</f>
        <v>Cinturones Casual</v>
      </c>
      <c r="G748" s="11">
        <v>1</v>
      </c>
      <c r="H748" s="14">
        <v>10</v>
      </c>
      <c r="I748" s="14">
        <f>VENTAS[[#This Row],[Cantidad]]*VENTAS[[#This Row],[Precio Venta]]</f>
        <v>10</v>
      </c>
      <c r="J748" s="14">
        <f>IF(VENTAS[[#This Row],[Nombre del Gestor]]&gt;1,VENTAS[[#This Row],[Total]]*10%,0)</f>
        <v>0</v>
      </c>
      <c r="K748" s="14">
        <f>IFERROR(VLOOKUP(VENTAS[[#This Row],[Código del producto Vendido]],STOCK[],16,FALSE)*VENTAS[[#This Row],[Cantidad]]+VLOOKUP(VENTAS[[#This Row],[Código del producto Vendido]],STOCK[],19,FALSE)*VENTAS[[#This Row],[Cantidad]],VENTAS[[#This Row],[Total]])</f>
        <v>4.38166666666667</v>
      </c>
      <c r="L748" s="14">
        <f>VENTAS[[#This Row],[Total]]-VENTAS[[#This Row],[Comisión 10%]]-VENTAS[[#This Row],[Costo SIN Comision]]</f>
        <v>5.61833333333333</v>
      </c>
      <c r="M748" s="14"/>
    </row>
    <row r="749" ht="20" hidden="1" customHeight="1" spans="1:13">
      <c r="A749" s="10">
        <v>45337</v>
      </c>
      <c r="B749" s="11"/>
      <c r="C749" s="11" t="s">
        <v>4234</v>
      </c>
      <c r="D749" s="11"/>
      <c r="E749" s="11" t="s">
        <v>1599</v>
      </c>
      <c r="F749" s="11" t="str">
        <f>IFERROR(VLOOKUP(VENTAS[[#This Row],[Código del producto Vendido]],STOCK[],5,FALSE),"-")</f>
        <v>Cardigan classy</v>
      </c>
      <c r="G749" s="11">
        <v>1</v>
      </c>
      <c r="H749" s="14">
        <v>22</v>
      </c>
      <c r="I749" s="14">
        <f>VENTAS[[#This Row],[Cantidad]]*VENTAS[[#This Row],[Precio Venta]]</f>
        <v>22</v>
      </c>
      <c r="J749" s="14">
        <f>IF(VENTAS[[#This Row],[Nombre del Gestor]]&gt;1,VENTAS[[#This Row],[Total]]*10%,0)</f>
        <v>0</v>
      </c>
      <c r="K749" s="14">
        <f>IFERROR(VLOOKUP(VENTAS[[#This Row],[Código del producto Vendido]],STOCK[],16,FALSE)*VENTAS[[#This Row],[Cantidad]]+VLOOKUP(VENTAS[[#This Row],[Código del producto Vendido]],STOCK[],19,FALSE)*VENTAS[[#This Row],[Cantidad]],VENTAS[[#This Row],[Total]])</f>
        <v>11.8</v>
      </c>
      <c r="L749" s="14">
        <f>VENTAS[[#This Row],[Total]]-VENTAS[[#This Row],[Comisión 10%]]-VENTAS[[#This Row],[Costo SIN Comision]]</f>
        <v>10.2</v>
      </c>
      <c r="M749" s="14"/>
    </row>
    <row r="750" ht="20" hidden="1" customHeight="1" spans="1:13">
      <c r="A750" s="10">
        <v>45337</v>
      </c>
      <c r="B750" s="11"/>
      <c r="C750" s="11" t="s">
        <v>4234</v>
      </c>
      <c r="D750" s="11"/>
      <c r="E750" s="11" t="s">
        <v>1606</v>
      </c>
      <c r="F750" s="11" t="str">
        <f>IFERROR(VLOOKUP(VENTAS[[#This Row],[Código del producto Vendido]],STOCK[],5,FALSE),"-")</f>
        <v>Vestido camisa modely</v>
      </c>
      <c r="G750" s="11">
        <v>1</v>
      </c>
      <c r="H750" s="14">
        <v>35</v>
      </c>
      <c r="I750" s="14">
        <f>VENTAS[[#This Row],[Cantidad]]*VENTAS[[#This Row],[Precio Venta]]</f>
        <v>35</v>
      </c>
      <c r="J750" s="14">
        <f>IF(VENTAS[[#This Row],[Nombre del Gestor]]&gt;1,VENTAS[[#This Row],[Total]]*10%,0)</f>
        <v>0</v>
      </c>
      <c r="K750" s="14">
        <f>IFERROR(VLOOKUP(VENTAS[[#This Row],[Código del producto Vendido]],STOCK[],16,FALSE)*VENTAS[[#This Row],[Cantidad]]+VLOOKUP(VENTAS[[#This Row],[Código del producto Vendido]],STOCK[],19,FALSE)*VENTAS[[#This Row],[Cantidad]],VENTAS[[#This Row],[Total]])</f>
        <v>14.84</v>
      </c>
      <c r="L750" s="14">
        <f>VENTAS[[#This Row],[Total]]-VENTAS[[#This Row],[Comisión 10%]]-VENTAS[[#This Row],[Costo SIN Comision]]</f>
        <v>20.16</v>
      </c>
      <c r="M750" s="14"/>
    </row>
    <row r="751" ht="20" hidden="1" customHeight="1" spans="1:13">
      <c r="A751" s="10">
        <v>45337</v>
      </c>
      <c r="B751" s="11"/>
      <c r="C751" s="11" t="s">
        <v>4234</v>
      </c>
      <c r="D751" s="11"/>
      <c r="E751" s="11" t="s">
        <v>1788</v>
      </c>
      <c r="F751" s="11" t="str">
        <f>IFERROR(VLOOKUP(VENTAS[[#This Row],[Código del producto Vendido]],STOCK[],5,FALSE),"-")</f>
        <v>Cinturón básico grueso Negro</v>
      </c>
      <c r="G751" s="11">
        <v>1</v>
      </c>
      <c r="H751" s="14">
        <v>8</v>
      </c>
      <c r="I751" s="14">
        <f>VENTAS[[#This Row],[Cantidad]]*VENTAS[[#This Row],[Precio Venta]]</f>
        <v>8</v>
      </c>
      <c r="J751" s="14">
        <f>IF(VENTAS[[#This Row],[Nombre del Gestor]]&gt;1,VENTAS[[#This Row],[Total]]*10%,0)</f>
        <v>0</v>
      </c>
      <c r="K751" s="14">
        <f>IFERROR(VLOOKUP(VENTAS[[#This Row],[Código del producto Vendido]],STOCK[],16,FALSE)*VENTAS[[#This Row],[Cantidad]]+VLOOKUP(VENTAS[[#This Row],[Código del producto Vendido]],STOCK[],19,FALSE)*VENTAS[[#This Row],[Cantidad]],VENTAS[[#This Row],[Total]])</f>
        <v>4.23529411764706</v>
      </c>
      <c r="L751" s="14">
        <f>VENTAS[[#This Row],[Total]]-VENTAS[[#This Row],[Comisión 10%]]-VENTAS[[#This Row],[Costo SIN Comision]]</f>
        <v>3.76470588235294</v>
      </c>
      <c r="M751" s="14"/>
    </row>
    <row r="752" ht="20" hidden="1" customHeight="1" spans="1:13">
      <c r="A752" s="10">
        <v>45337</v>
      </c>
      <c r="B752" s="11"/>
      <c r="C752" s="11" t="s">
        <v>4229</v>
      </c>
      <c r="D752" s="11"/>
      <c r="E752" s="11" t="s">
        <v>360</v>
      </c>
      <c r="F752" s="11" t="str">
        <f>IFERROR(VLOOKUP(VENTAS[[#This Row],[Código del producto Vendido]],STOCK[],5,FALSE),"-")</f>
        <v>Pantalón tejido de rayas </v>
      </c>
      <c r="G752" s="11">
        <v>1</v>
      </c>
      <c r="H752" s="14">
        <v>20</v>
      </c>
      <c r="I752" s="14">
        <f>VENTAS[[#This Row],[Cantidad]]*VENTAS[[#This Row],[Precio Venta]]</f>
        <v>20</v>
      </c>
      <c r="J752" s="14">
        <f>IF(VENTAS[[#This Row],[Nombre del Gestor]]&gt;1,VENTAS[[#This Row],[Total]]*10%,0)</f>
        <v>0</v>
      </c>
      <c r="K752" s="14">
        <f>IFERROR(VLOOKUP(VENTAS[[#This Row],[Código del producto Vendido]],STOCK[],16,FALSE)*VENTAS[[#This Row],[Cantidad]]+VLOOKUP(VENTAS[[#This Row],[Código del producto Vendido]],STOCK[],19,FALSE)*VENTAS[[#This Row],[Cantidad]],VENTAS[[#This Row],[Total]])</f>
        <v>12.8833333333333</v>
      </c>
      <c r="L752" s="14">
        <f>VENTAS[[#This Row],[Total]]-VENTAS[[#This Row],[Comisión 10%]]-VENTAS[[#This Row],[Costo SIN Comision]]</f>
        <v>7.1166666666667</v>
      </c>
      <c r="M752" s="14"/>
    </row>
    <row r="753" ht="20" hidden="1" customHeight="1" spans="1:13">
      <c r="A753" s="10">
        <v>45337</v>
      </c>
      <c r="B753" s="11"/>
      <c r="C753" s="11" t="s">
        <v>4219</v>
      </c>
      <c r="D753" s="11"/>
      <c r="E753" s="11" t="s">
        <v>1485</v>
      </c>
      <c r="F753" s="11" t="str">
        <f>IFERROR(VLOOKUP(VENTAS[[#This Row],[Código del producto Vendido]],STOCK[],5,FALSE),"-")</f>
        <v>Sandalias de tacón fino</v>
      </c>
      <c r="G753" s="11">
        <v>1</v>
      </c>
      <c r="H753" s="14">
        <v>35</v>
      </c>
      <c r="I753" s="14">
        <f>VENTAS[[#This Row],[Cantidad]]*VENTAS[[#This Row],[Precio Venta]]</f>
        <v>35</v>
      </c>
      <c r="J753" s="14">
        <f>IF(VENTAS[[#This Row],[Nombre del Gestor]]&gt;1,VENTAS[[#This Row],[Total]]*10%,0)</f>
        <v>0</v>
      </c>
      <c r="K753" s="14">
        <f>IFERROR(VLOOKUP(VENTAS[[#This Row],[Código del producto Vendido]],STOCK[],16,FALSE)*VENTAS[[#This Row],[Cantidad]]+VLOOKUP(VENTAS[[#This Row],[Código del producto Vendido]],STOCK[],19,FALSE)*VENTAS[[#This Row],[Cantidad]],VENTAS[[#This Row],[Total]])</f>
        <v>23.5</v>
      </c>
      <c r="L753" s="14">
        <f>VENTAS[[#This Row],[Total]]-VENTAS[[#This Row],[Comisión 10%]]-VENTAS[[#This Row],[Costo SIN Comision]]</f>
        <v>11.5</v>
      </c>
      <c r="M753" s="14"/>
    </row>
    <row r="754" ht="20" hidden="1" customHeight="1" spans="1:13">
      <c r="A754" s="10">
        <v>45337</v>
      </c>
      <c r="B754" s="11"/>
      <c r="C754" s="11"/>
      <c r="D754" s="11"/>
      <c r="E754" s="11" t="s">
        <v>1798</v>
      </c>
      <c r="F754" s="11" t="str">
        <f>IFERROR(VLOOKUP(VENTAS[[#This Row],[Código del producto Vendido]],STOCK[],5,FALSE),"-")</f>
        <v>Horquillas en forma de lazo</v>
      </c>
      <c r="G754" s="11">
        <v>1</v>
      </c>
      <c r="H754" s="14">
        <v>2.5</v>
      </c>
      <c r="I754" s="14">
        <f>VENTAS[[#This Row],[Cantidad]]*VENTAS[[#This Row],[Precio Venta]]</f>
        <v>2.5</v>
      </c>
      <c r="J754" s="14">
        <f>IF(VENTAS[[#This Row],[Nombre del Gestor]]&gt;1,VENTAS[[#This Row],[Total]]*10%,0)</f>
        <v>0</v>
      </c>
      <c r="K754" s="14">
        <f>IFERROR(VLOOKUP(VENTAS[[#This Row],[Código del producto Vendido]],STOCK[],16,FALSE)*VENTAS[[#This Row],[Cantidad]]+VLOOKUP(VENTAS[[#This Row],[Código del producto Vendido]],STOCK[],19,FALSE)*VENTAS[[#This Row],[Cantidad]],VENTAS[[#This Row],[Total]])</f>
        <v>1.39117647058824</v>
      </c>
      <c r="L754" s="14">
        <f>VENTAS[[#This Row],[Total]]-VENTAS[[#This Row],[Comisión 10%]]-VENTAS[[#This Row],[Costo SIN Comision]]</f>
        <v>1.10882352941176</v>
      </c>
      <c r="M754" s="14"/>
    </row>
    <row r="755" ht="20" hidden="1" customHeight="1" spans="1:13">
      <c r="A755" s="10">
        <v>45343</v>
      </c>
      <c r="B755" s="11"/>
      <c r="C755" s="11" t="s">
        <v>4235</v>
      </c>
      <c r="D755" s="11"/>
      <c r="E755" s="11" t="s">
        <v>1724</v>
      </c>
      <c r="F755" s="11" t="str">
        <f>IFERROR(VLOOKUP(VENTAS[[#This Row],[Código del producto Vendido]],STOCK[],5,FALSE),"-")</f>
        <v>Vestido negro corte A</v>
      </c>
      <c r="G755" s="11">
        <v>1</v>
      </c>
      <c r="H755" s="14">
        <v>20</v>
      </c>
      <c r="I755" s="14">
        <f>VENTAS[[#This Row],[Cantidad]]*VENTAS[[#This Row],[Precio Venta]]</f>
        <v>20</v>
      </c>
      <c r="J755" s="14">
        <f>IF(VENTAS[[#This Row],[Nombre del Gestor]]&gt;1,VENTAS[[#This Row],[Total]]*10%,0)</f>
        <v>0</v>
      </c>
      <c r="K755" s="14">
        <f>IFERROR(VLOOKUP(VENTAS[[#This Row],[Código del producto Vendido]],STOCK[],16,FALSE)*VENTAS[[#This Row],[Cantidad]]+VLOOKUP(VENTAS[[#This Row],[Código del producto Vendido]],STOCK[],19,FALSE)*VENTAS[[#This Row],[Cantidad]],VENTAS[[#This Row],[Total]])</f>
        <v>11</v>
      </c>
      <c r="L755" s="14">
        <f>VENTAS[[#This Row],[Total]]-VENTAS[[#This Row],[Comisión 10%]]-VENTAS[[#This Row],[Costo SIN Comision]]</f>
        <v>9</v>
      </c>
      <c r="M755" s="14"/>
    </row>
    <row r="756" ht="20" hidden="1" customHeight="1" spans="1:13">
      <c r="A756" s="10">
        <v>45324</v>
      </c>
      <c r="B756" s="11"/>
      <c r="C756" s="11"/>
      <c r="D756" s="11"/>
      <c r="E756" s="11"/>
      <c r="F756" s="11" t="str">
        <f>IFERROR(VLOOKUP(VENTAS[[#This Row],[Código del producto Vendido]],STOCK[],5,FALSE),"-")</f>
        <v>-</v>
      </c>
      <c r="G756" s="11">
        <v>1</v>
      </c>
      <c r="H756" s="14">
        <v>28</v>
      </c>
      <c r="I756" s="14">
        <f>VENTAS[[#This Row],[Cantidad]]*VENTAS[[#This Row],[Precio Venta]]</f>
        <v>28</v>
      </c>
      <c r="J756" s="14">
        <f>IF(VENTAS[[#This Row],[Nombre del Gestor]]&gt;1,VENTAS[[#This Row],[Total]]*10%,0)</f>
        <v>0</v>
      </c>
      <c r="K756" s="14">
        <f>IFERROR(VLOOKUP(VENTAS[[#This Row],[Código del producto Vendido]],STOCK[],16,FALSE)*VENTAS[[#This Row],[Cantidad]]+VLOOKUP(VENTAS[[#This Row],[Código del producto Vendido]],STOCK[],19,FALSE)*VENTAS[[#This Row],[Cantidad]],VENTAS[[#This Row],[Total]])</f>
        <v>28</v>
      </c>
      <c r="L756" s="14">
        <f>VENTAS[[#This Row],[Total]]-VENTAS[[#This Row],[Comisión 10%]]-VENTAS[[#This Row],[Costo SIN Comision]]</f>
        <v>0</v>
      </c>
      <c r="M756" s="14"/>
    </row>
    <row r="757" ht="20" hidden="1" customHeight="1" spans="1:13">
      <c r="A757" s="10">
        <v>45324</v>
      </c>
      <c r="B757" s="11"/>
      <c r="C757" s="11"/>
      <c r="D757" s="11"/>
      <c r="E757" s="11" t="s">
        <v>1672</v>
      </c>
      <c r="F757" s="11" t="str">
        <f>IFERROR(VLOOKUP(VENTAS[[#This Row],[Código del producto Vendido]],STOCK[],5,FALSE),"-")</f>
        <v>Conjunto Albaricoque</v>
      </c>
      <c r="G757" s="11">
        <v>1</v>
      </c>
      <c r="H757" s="14">
        <v>28</v>
      </c>
      <c r="I757" s="14">
        <f>VENTAS[[#This Row],[Cantidad]]*VENTAS[[#This Row],[Precio Venta]]</f>
        <v>28</v>
      </c>
      <c r="J757" s="14">
        <f>IF(VENTAS[[#This Row],[Nombre del Gestor]]&gt;1,VENTAS[[#This Row],[Total]]*10%,0)</f>
        <v>0</v>
      </c>
      <c r="K757" s="14">
        <f>IFERROR(VLOOKUP(VENTAS[[#This Row],[Código del producto Vendido]],STOCK[],16,FALSE)*VENTAS[[#This Row],[Cantidad]]+VLOOKUP(VENTAS[[#This Row],[Código del producto Vendido]],STOCK[],19,FALSE)*VENTAS[[#This Row],[Cantidad]],VENTAS[[#This Row],[Total]])</f>
        <v>13.97</v>
      </c>
      <c r="L757" s="14">
        <f>VENTAS[[#This Row],[Total]]-VENTAS[[#This Row],[Comisión 10%]]-VENTAS[[#This Row],[Costo SIN Comision]]</f>
        <v>14.03</v>
      </c>
      <c r="M757" s="14"/>
    </row>
    <row r="758" ht="20" hidden="1" customHeight="1" spans="1:13">
      <c r="A758" s="10">
        <v>45324</v>
      </c>
      <c r="B758" s="11"/>
      <c r="C758" s="11"/>
      <c r="D758" s="11"/>
      <c r="E758" s="11" t="s">
        <v>1612</v>
      </c>
      <c r="F758" s="11" t="str">
        <f>IFERROR(VLOOKUP(VENTAS[[#This Row],[Código del producto Vendido]],STOCK[],5,FALSE),"-")</f>
        <v>Camisa Modely</v>
      </c>
      <c r="G758" s="11">
        <v>1</v>
      </c>
      <c r="H758" s="14">
        <v>22</v>
      </c>
      <c r="I758" s="14">
        <f>VENTAS[[#This Row],[Cantidad]]*VENTAS[[#This Row],[Precio Venta]]</f>
        <v>22</v>
      </c>
      <c r="J758" s="14">
        <f>IF(VENTAS[[#This Row],[Nombre del Gestor]]&gt;1,VENTAS[[#This Row],[Total]]*10%,0)</f>
        <v>0</v>
      </c>
      <c r="K758" s="14">
        <f>IFERROR(VLOOKUP(VENTAS[[#This Row],[Código del producto Vendido]],STOCK[],16,FALSE)*VENTAS[[#This Row],[Cantidad]]+VLOOKUP(VENTAS[[#This Row],[Código del producto Vendido]],STOCK[],19,FALSE)*VENTAS[[#This Row],[Cantidad]],VENTAS[[#This Row],[Total]])</f>
        <v>9.74</v>
      </c>
      <c r="L758" s="14">
        <f>VENTAS[[#This Row],[Total]]-VENTAS[[#This Row],[Comisión 10%]]-VENTAS[[#This Row],[Costo SIN Comision]]</f>
        <v>12.26</v>
      </c>
      <c r="M758" s="14"/>
    </row>
    <row r="759" ht="20" hidden="1" customHeight="1" spans="1:13">
      <c r="A759" s="10">
        <v>45347</v>
      </c>
      <c r="B759" s="11"/>
      <c r="C759" s="11"/>
      <c r="D759" s="11"/>
      <c r="E759" s="11" t="s">
        <v>1599</v>
      </c>
      <c r="F759" s="11" t="str">
        <f>IFERROR(VLOOKUP(VENTAS[[#This Row],[Código del producto Vendido]],STOCK[],5,FALSE),"-")</f>
        <v>Cardigan classy</v>
      </c>
      <c r="G759" s="11">
        <v>1</v>
      </c>
      <c r="H759" s="14">
        <v>22</v>
      </c>
      <c r="I759" s="14">
        <f>VENTAS[[#This Row],[Cantidad]]*VENTAS[[#This Row],[Precio Venta]]</f>
        <v>22</v>
      </c>
      <c r="J759" s="14">
        <f>IF(VENTAS[[#This Row],[Nombre del Gestor]]&gt;1,VENTAS[[#This Row],[Total]]*10%,0)</f>
        <v>0</v>
      </c>
      <c r="K759" s="14">
        <f>IFERROR(VLOOKUP(VENTAS[[#This Row],[Código del producto Vendido]],STOCK[],16,FALSE)*VENTAS[[#This Row],[Cantidad]]+VLOOKUP(VENTAS[[#This Row],[Código del producto Vendido]],STOCK[],19,FALSE)*VENTAS[[#This Row],[Cantidad]],VENTAS[[#This Row],[Total]])</f>
        <v>11.8</v>
      </c>
      <c r="L759" s="14">
        <f>VENTAS[[#This Row],[Total]]-VENTAS[[#This Row],[Comisión 10%]]-VENTAS[[#This Row],[Costo SIN Comision]]</f>
        <v>10.2</v>
      </c>
      <c r="M759" s="14"/>
    </row>
    <row r="760" ht="20" hidden="1" customHeight="1" spans="1:13">
      <c r="A760" s="10">
        <v>45339</v>
      </c>
      <c r="B760" s="11"/>
      <c r="C760" s="11"/>
      <c r="D760" s="11"/>
      <c r="E760" s="11" t="s">
        <v>1745</v>
      </c>
      <c r="F760" s="11" t="str">
        <f>IFERROR(VLOOKUP(VENTAS[[#This Row],[Código del producto Vendido]],STOCK[],5,FALSE),"-")</f>
        <v>Kimono Dazy Elegante</v>
      </c>
      <c r="G760" s="11">
        <v>1</v>
      </c>
      <c r="H760" s="14">
        <v>22</v>
      </c>
      <c r="I760" s="14">
        <f>VENTAS[[#This Row],[Cantidad]]*VENTAS[[#This Row],[Precio Venta]]</f>
        <v>22</v>
      </c>
      <c r="J760" s="14">
        <f>IF(VENTAS[[#This Row],[Nombre del Gestor]]&gt;1,VENTAS[[#This Row],[Total]]*10%,0)</f>
        <v>0</v>
      </c>
      <c r="K760" s="14">
        <f>IFERROR(VLOOKUP(VENTAS[[#This Row],[Código del producto Vendido]],STOCK[],16,FALSE)*VENTAS[[#This Row],[Cantidad]]+VLOOKUP(VENTAS[[#This Row],[Código del producto Vendido]],STOCK[],19,FALSE)*VENTAS[[#This Row],[Cantidad]],VENTAS[[#This Row],[Total]])</f>
        <v>13.3529411764706</v>
      </c>
      <c r="L760" s="14">
        <f>VENTAS[[#This Row],[Total]]-VENTAS[[#This Row],[Comisión 10%]]-VENTAS[[#This Row],[Costo SIN Comision]]</f>
        <v>8.64705882352941</v>
      </c>
      <c r="M760" s="14"/>
    </row>
    <row r="761" ht="20" hidden="1" customHeight="1" spans="1:13">
      <c r="A761" s="10">
        <v>45326</v>
      </c>
      <c r="B761" s="11"/>
      <c r="C761" s="11" t="s">
        <v>4085</v>
      </c>
      <c r="D761" s="11" t="s">
        <v>4194</v>
      </c>
      <c r="E761" s="11" t="s">
        <v>771</v>
      </c>
      <c r="F761" s="11" t="str">
        <f>IFERROR(VLOOKUP(VENTAS[[#This Row],[Código del producto Vendido]],STOCK[],5,FALSE),"-")</f>
        <v>Sandalias atadas </v>
      </c>
      <c r="G761" s="11">
        <v>1</v>
      </c>
      <c r="H761" s="14">
        <v>39</v>
      </c>
      <c r="I761" s="14">
        <f>VENTAS[[#This Row],[Cantidad]]*VENTAS[[#This Row],[Precio Venta]]</f>
        <v>39</v>
      </c>
      <c r="J761" s="14">
        <f>IF(VENTAS[[#This Row],[Nombre del Gestor]]&gt;1,VENTAS[[#This Row],[Total]]*10%,0)</f>
        <v>3.9</v>
      </c>
      <c r="K761" s="14">
        <f>IFERROR(VLOOKUP(VENTAS[[#This Row],[Código del producto Vendido]],STOCK[],16,FALSE)*VENTAS[[#This Row],[Cantidad]]+VLOOKUP(VENTAS[[#This Row],[Código del producto Vendido]],STOCK[],19,FALSE)*VENTAS[[#This Row],[Cantidad]],VENTAS[[#This Row],[Total]])</f>
        <v>29.5</v>
      </c>
      <c r="L761" s="14">
        <f>VENTAS[[#This Row],[Total]]-VENTAS[[#This Row],[Comisión 10%]]-VENTAS[[#This Row],[Costo SIN Comision]]</f>
        <v>5.6</v>
      </c>
      <c r="M761" s="14"/>
    </row>
    <row r="762" ht="20" hidden="1" customHeight="1" spans="1:13">
      <c r="A762" s="10">
        <v>45350</v>
      </c>
      <c r="B762" s="11"/>
      <c r="C762" s="11" t="s">
        <v>4201</v>
      </c>
      <c r="D762" s="11" t="s">
        <v>4194</v>
      </c>
      <c r="E762" s="11" t="s">
        <v>1529</v>
      </c>
      <c r="F762" s="11" t="str">
        <f>IFERROR(VLOOKUP(VENTAS[[#This Row],[Código del producto Vendido]],STOCK[],5,FALSE),"-")</f>
        <v>Sandalias de tacón fino</v>
      </c>
      <c r="G762" s="11">
        <v>1</v>
      </c>
      <c r="H762" s="14">
        <v>35</v>
      </c>
      <c r="I762" s="14">
        <f>VENTAS[[#This Row],[Cantidad]]*VENTAS[[#This Row],[Precio Venta]]</f>
        <v>35</v>
      </c>
      <c r="J762" s="14">
        <f>IF(VENTAS[[#This Row],[Nombre del Gestor]]&gt;1,VENTAS[[#This Row],[Total]]*10%,0)</f>
        <v>3.5</v>
      </c>
      <c r="K762" s="14">
        <f>IFERROR(VLOOKUP(VENTAS[[#This Row],[Código del producto Vendido]],STOCK[],16,FALSE)*VENTAS[[#This Row],[Cantidad]]+VLOOKUP(VENTAS[[#This Row],[Código del producto Vendido]],STOCK[],19,FALSE)*VENTAS[[#This Row],[Cantidad]],VENTAS[[#This Row],[Total]])</f>
        <v>20</v>
      </c>
      <c r="L762" s="14">
        <f>VENTAS[[#This Row],[Total]]-VENTAS[[#This Row],[Comisión 10%]]-VENTAS[[#This Row],[Costo SIN Comision]]</f>
        <v>11.5</v>
      </c>
      <c r="M762" s="14"/>
    </row>
    <row r="763" ht="20" hidden="1" customHeight="1" spans="1:13">
      <c r="A763" s="10">
        <v>45346</v>
      </c>
      <c r="B763" s="11"/>
      <c r="C763" s="11" t="s">
        <v>4232</v>
      </c>
      <c r="D763" s="11"/>
      <c r="E763" s="11" t="s">
        <v>151</v>
      </c>
      <c r="F763" s="11" t="str">
        <f>IFERROR(VLOOKUP(VENTAS[[#This Row],[Código del producto Vendido]],STOCK[],5,FALSE),"-")</f>
        <v>Jean Boyfriend con rotos</v>
      </c>
      <c r="G763" s="11">
        <v>1</v>
      </c>
      <c r="H763" s="14">
        <v>30</v>
      </c>
      <c r="I763" s="14">
        <f>VENTAS[[#This Row],[Cantidad]]*VENTAS[[#This Row],[Precio Venta]]</f>
        <v>30</v>
      </c>
      <c r="J763" s="14">
        <f>IF(VENTAS[[#This Row],[Nombre del Gestor]]&gt;1,VENTAS[[#This Row],[Total]]*10%,0)</f>
        <v>0</v>
      </c>
      <c r="K763" s="14">
        <f>IFERROR(VLOOKUP(VENTAS[[#This Row],[Código del producto Vendido]],STOCK[],16,FALSE)*VENTAS[[#This Row],[Cantidad]]+VLOOKUP(VENTAS[[#This Row],[Código del producto Vendido]],STOCK[],19,FALSE)*VENTAS[[#This Row],[Cantidad]],VENTAS[[#This Row],[Total]])</f>
        <v>18.6866666666667</v>
      </c>
      <c r="L763" s="14">
        <f>VENTAS[[#This Row],[Total]]-VENTAS[[#This Row],[Comisión 10%]]-VENTAS[[#This Row],[Costo SIN Comision]]</f>
        <v>11.3133333333333</v>
      </c>
      <c r="M763" s="14"/>
    </row>
    <row r="764" ht="20" hidden="1" customHeight="1" spans="1:13">
      <c r="A764" s="10">
        <v>45346</v>
      </c>
      <c r="B764" s="11"/>
      <c r="C764" s="11" t="s">
        <v>4232</v>
      </c>
      <c r="D764" s="11"/>
      <c r="E764" s="11" t="s">
        <v>1614</v>
      </c>
      <c r="F764" s="11" t="str">
        <f>IFERROR(VLOOKUP(VENTAS[[#This Row],[Código del producto Vendido]],STOCK[],5,FALSE),"-")</f>
        <v>Camisa Modely</v>
      </c>
      <c r="G764" s="11">
        <v>1</v>
      </c>
      <c r="H764" s="14">
        <v>22</v>
      </c>
      <c r="I764" s="14">
        <f>VENTAS[[#This Row],[Cantidad]]*VENTAS[[#This Row],[Precio Venta]]</f>
        <v>22</v>
      </c>
      <c r="J764" s="14">
        <f>IF(VENTAS[[#This Row],[Nombre del Gestor]]&gt;1,VENTAS[[#This Row],[Total]]*10%,0)</f>
        <v>0</v>
      </c>
      <c r="K764" s="14">
        <f>IFERROR(VLOOKUP(VENTAS[[#This Row],[Código del producto Vendido]],STOCK[],16,FALSE)*VENTAS[[#This Row],[Cantidad]]+VLOOKUP(VENTAS[[#This Row],[Código del producto Vendido]],STOCK[],19,FALSE)*VENTAS[[#This Row],[Cantidad]],VENTAS[[#This Row],[Total]])</f>
        <v>9.74</v>
      </c>
      <c r="L764" s="14">
        <f>VENTAS[[#This Row],[Total]]-VENTAS[[#This Row],[Comisión 10%]]-VENTAS[[#This Row],[Costo SIN Comision]]</f>
        <v>12.26</v>
      </c>
      <c r="M764" s="14"/>
    </row>
    <row r="765" ht="20" hidden="1" customHeight="1" spans="1:13">
      <c r="A765" s="10">
        <v>45346</v>
      </c>
      <c r="B765" s="11"/>
      <c r="C765" s="11"/>
      <c r="D765" s="11"/>
      <c r="E765" s="11" t="s">
        <v>1303</v>
      </c>
      <c r="F765" s="11" t="str">
        <f>IFERROR(VLOOKUP(VENTAS[[#This Row],[Código del producto Vendido]],STOCK[],5,FALSE),"-")</f>
        <v>Jean ajustado Claro</v>
      </c>
      <c r="G765" s="11">
        <v>1</v>
      </c>
      <c r="H765" s="14">
        <v>32</v>
      </c>
      <c r="I765" s="14">
        <f>VENTAS[[#This Row],[Cantidad]]*VENTAS[[#This Row],[Precio Venta]]</f>
        <v>32</v>
      </c>
      <c r="J765" s="14">
        <f>IF(VENTAS[[#This Row],[Nombre del Gestor]]&gt;1,VENTAS[[#This Row],[Total]]*10%,0)</f>
        <v>0</v>
      </c>
      <c r="K765" s="14">
        <f>IFERROR(VLOOKUP(VENTAS[[#This Row],[Código del producto Vendido]],STOCK[],16,FALSE)*VENTAS[[#This Row],[Cantidad]]+VLOOKUP(VENTAS[[#This Row],[Código del producto Vendido]],STOCK[],19,FALSE)*VENTAS[[#This Row],[Cantidad]],VENTAS[[#This Row],[Total]])</f>
        <v>23.79</v>
      </c>
      <c r="L765" s="14">
        <f>VENTAS[[#This Row],[Total]]-VENTAS[[#This Row],[Comisión 10%]]-VENTAS[[#This Row],[Costo SIN Comision]]</f>
        <v>8.21</v>
      </c>
      <c r="M765" s="14"/>
    </row>
    <row r="766" ht="20" hidden="1" customHeight="1" spans="1:13">
      <c r="A766" s="10">
        <v>45346</v>
      </c>
      <c r="B766" s="11"/>
      <c r="C766" s="11"/>
      <c r="D766" s="11" t="s">
        <v>4129</v>
      </c>
      <c r="E766" s="11" t="s">
        <v>939</v>
      </c>
      <c r="F766" s="11" t="str">
        <f>IFERROR(VLOOKUP(VENTAS[[#This Row],[Código del producto Vendido]],STOCK[],5,FALSE),"-")</f>
        <v>Vestido tropical</v>
      </c>
      <c r="G766" s="11">
        <v>1</v>
      </c>
      <c r="H766" s="14">
        <v>30</v>
      </c>
      <c r="I766" s="14">
        <f>VENTAS[[#This Row],[Cantidad]]*VENTAS[[#This Row],[Precio Venta]]</f>
        <v>30</v>
      </c>
      <c r="J766" s="14">
        <f>IF(VENTAS[[#This Row],[Nombre del Gestor]]&gt;1,VENTAS[[#This Row],[Total]]*10%,0)</f>
        <v>3</v>
      </c>
      <c r="K766" s="14">
        <f>IFERROR(VLOOKUP(VENTAS[[#This Row],[Código del producto Vendido]],STOCK[],16,FALSE)*VENTAS[[#This Row],[Cantidad]]+VLOOKUP(VENTAS[[#This Row],[Código del producto Vendido]],STOCK[],19,FALSE)*VENTAS[[#This Row],[Cantidad]],VENTAS[[#This Row],[Total]])</f>
        <v>19.0186363636364</v>
      </c>
      <c r="L766" s="14">
        <f>VENTAS[[#This Row],[Total]]-VENTAS[[#This Row],[Comisión 10%]]-VENTAS[[#This Row],[Costo SIN Comision]]</f>
        <v>7.9813636363636</v>
      </c>
      <c r="M766" s="14"/>
    </row>
    <row r="767" ht="20" hidden="1" customHeight="1" spans="1:13">
      <c r="A767" s="10">
        <v>45346</v>
      </c>
      <c r="B767" s="11"/>
      <c r="C767" s="11" t="s">
        <v>4236</v>
      </c>
      <c r="D767" s="11"/>
      <c r="E767" s="11" t="s">
        <v>1196</v>
      </c>
      <c r="F767" s="11" t="str">
        <f>IFERROR(VLOOKUP(VENTAS[[#This Row],[Código del producto Vendido]],STOCK[],5,FALSE),"-")</f>
        <v>Conjunto de top y falda cruzada</v>
      </c>
      <c r="G767" s="11">
        <v>1</v>
      </c>
      <c r="H767" s="14">
        <v>0</v>
      </c>
      <c r="I767" s="14">
        <f>VENTAS[[#This Row],[Cantidad]]*VENTAS[[#This Row],[Precio Venta]]</f>
        <v>0</v>
      </c>
      <c r="J767" s="14">
        <f>IF(VENTAS[[#This Row],[Nombre del Gestor]]&gt;1,VENTAS[[#This Row],[Total]]*10%,0)</f>
        <v>0</v>
      </c>
      <c r="K767" s="14">
        <f>IFERROR(VLOOKUP(VENTAS[[#This Row],[Código del producto Vendido]],STOCK[],16,FALSE)*VENTAS[[#This Row],[Cantidad]]+VLOOKUP(VENTAS[[#This Row],[Código del producto Vendido]],STOCK[],19,FALSE)*VENTAS[[#This Row],[Cantidad]],VENTAS[[#This Row],[Total]])</f>
        <v>27.82</v>
      </c>
      <c r="L767" s="14">
        <f>VENTAS[[#This Row],[Total]]-VENTAS[[#This Row],[Comisión 10%]]-VENTAS[[#This Row],[Costo SIN Comision]]</f>
        <v>-27.82</v>
      </c>
      <c r="M767" s="14"/>
    </row>
    <row r="768" ht="20" hidden="1" customHeight="1" spans="1:13">
      <c r="A768" s="10">
        <v>45346</v>
      </c>
      <c r="B768" s="11"/>
      <c r="C768" s="11" t="s">
        <v>4237</v>
      </c>
      <c r="D768" s="11"/>
      <c r="E768" s="11"/>
      <c r="F768" s="11" t="str">
        <f>IFERROR(VLOOKUP(VENTAS[[#This Row],[Código del producto Vendido]],STOCK[],5,FALSE),"-")</f>
        <v>-</v>
      </c>
      <c r="G768" s="11">
        <v>10</v>
      </c>
      <c r="H768" s="14">
        <v>1.8</v>
      </c>
      <c r="I768" s="14">
        <f>VENTAS[[#This Row],[Cantidad]]*VENTAS[[#This Row],[Precio Venta]]</f>
        <v>18</v>
      </c>
      <c r="J768" s="14">
        <f>IF(VENTAS[[#This Row],[Nombre del Gestor]]&gt;1,VENTAS[[#This Row],[Total]]*10%,0)</f>
        <v>0</v>
      </c>
      <c r="K768" s="14">
        <f>IFERROR(VLOOKUP(VENTAS[[#This Row],[Código del producto Vendido]],STOCK[],16,FALSE)*VENTAS[[#This Row],[Cantidad]]+VLOOKUP(VENTAS[[#This Row],[Código del producto Vendido]],STOCK[],19,FALSE)*VENTAS[[#This Row],[Cantidad]],VENTAS[[#This Row],[Total]])</f>
        <v>18</v>
      </c>
      <c r="L768" s="14">
        <f>VENTAS[[#This Row],[Total]]-VENTAS[[#This Row],[Comisión 10%]]-VENTAS[[#This Row],[Costo SIN Comision]]</f>
        <v>0</v>
      </c>
      <c r="M768" s="14"/>
    </row>
    <row r="769" ht="20" hidden="1" customHeight="1" spans="1:13">
      <c r="A769" s="10">
        <v>45346</v>
      </c>
      <c r="B769" s="11"/>
      <c r="C769" s="11" t="s">
        <v>4229</v>
      </c>
      <c r="D769" s="11"/>
      <c r="E769" s="11" t="s">
        <v>226</v>
      </c>
      <c r="F769" s="11" t="str">
        <f>IFERROR(VLOOKUP(VENTAS[[#This Row],[Código del producto Vendido]],STOCK[],5,FALSE),"-")</f>
        <v> Pantalón ancho con cinturón</v>
      </c>
      <c r="G769" s="11">
        <v>1</v>
      </c>
      <c r="H769" s="14">
        <v>23</v>
      </c>
      <c r="I769" s="14">
        <f>VENTAS[[#This Row],[Cantidad]]*VENTAS[[#This Row],[Precio Venta]]</f>
        <v>23</v>
      </c>
      <c r="J769" s="14">
        <f>IF(VENTAS[[#This Row],[Nombre del Gestor]]&gt;1,VENTAS[[#This Row],[Total]]*10%,0)</f>
        <v>0</v>
      </c>
      <c r="K769" s="14">
        <f>IFERROR(VLOOKUP(VENTAS[[#This Row],[Código del producto Vendido]],STOCK[],16,FALSE)*VENTAS[[#This Row],[Cantidad]]+VLOOKUP(VENTAS[[#This Row],[Código del producto Vendido]],STOCK[],19,FALSE)*VENTAS[[#This Row],[Cantidad]],VENTAS[[#This Row],[Total]])</f>
        <v>13.9444444444444</v>
      </c>
      <c r="L769" s="14">
        <f>VENTAS[[#This Row],[Total]]-VENTAS[[#This Row],[Comisión 10%]]-VENTAS[[#This Row],[Costo SIN Comision]]</f>
        <v>9.0555555555556</v>
      </c>
      <c r="M769" s="14"/>
    </row>
    <row r="770" ht="20" hidden="1" customHeight="1" spans="1:13">
      <c r="A770" s="10">
        <v>45346</v>
      </c>
      <c r="B770" s="11"/>
      <c r="C770" s="11" t="s">
        <v>4238</v>
      </c>
      <c r="D770" s="11"/>
      <c r="E770" s="11" t="s">
        <v>291</v>
      </c>
      <c r="F770" s="11" t="str">
        <f>IFERROR(VLOOKUP(VENTAS[[#This Row],[Código del producto Vendido]],STOCK[],5,FALSE),"-")</f>
        <v> Conjunto elegante acanalado </v>
      </c>
      <c r="G770" s="11">
        <v>1</v>
      </c>
      <c r="H770" s="14">
        <v>30</v>
      </c>
      <c r="I770" s="14">
        <f>VENTAS[[#This Row],[Cantidad]]*VENTAS[[#This Row],[Precio Venta]]</f>
        <v>30</v>
      </c>
      <c r="J770" s="14">
        <f>IF(VENTAS[[#This Row],[Nombre del Gestor]]&gt;1,VENTAS[[#This Row],[Total]]*10%,0)</f>
        <v>0</v>
      </c>
      <c r="K770" s="14">
        <f>IFERROR(VLOOKUP(VENTAS[[#This Row],[Código del producto Vendido]],STOCK[],16,FALSE)*VENTAS[[#This Row],[Cantidad]]+VLOOKUP(VENTAS[[#This Row],[Código del producto Vendido]],STOCK[],19,FALSE)*VENTAS[[#This Row],[Cantidad]],VENTAS[[#This Row],[Total]])</f>
        <v>14.7933333333333</v>
      </c>
      <c r="L770" s="14">
        <f>VENTAS[[#This Row],[Total]]-VENTAS[[#This Row],[Comisión 10%]]-VENTAS[[#This Row],[Costo SIN Comision]]</f>
        <v>15.2066666666667</v>
      </c>
      <c r="M770" s="14"/>
    </row>
    <row r="771" ht="20" hidden="1" customHeight="1" spans="1:13">
      <c r="A771" s="10">
        <v>45346</v>
      </c>
      <c r="B771" s="11"/>
      <c r="C771" s="11" t="s">
        <v>4239</v>
      </c>
      <c r="D771" s="11"/>
      <c r="E771" s="11" t="s">
        <v>640</v>
      </c>
      <c r="F771" s="11" t="str">
        <f>IFERROR(VLOOKUP(VENTAS[[#This Row],[Código del producto Vendido]],STOCK[],5,FALSE),"-")</f>
        <v>Vestido con estampado floral</v>
      </c>
      <c r="G771" s="11">
        <v>1</v>
      </c>
      <c r="H771" s="14">
        <v>0</v>
      </c>
      <c r="I771" s="14">
        <f>VENTAS[[#This Row],[Cantidad]]*VENTAS[[#This Row],[Precio Venta]]</f>
        <v>0</v>
      </c>
      <c r="J771" s="14">
        <f>IF(VENTAS[[#This Row],[Nombre del Gestor]]&gt;1,VENTAS[[#This Row],[Total]]*10%,0)</f>
        <v>0</v>
      </c>
      <c r="K771" s="14">
        <f>IFERROR(VLOOKUP(VENTAS[[#This Row],[Código del producto Vendido]],STOCK[],16,FALSE)*VENTAS[[#This Row],[Cantidad]]+VLOOKUP(VENTAS[[#This Row],[Código del producto Vendido]],STOCK[],19,FALSE)*VENTAS[[#This Row],[Cantidad]],VENTAS[[#This Row],[Total]])</f>
        <v>10.7222222222222</v>
      </c>
      <c r="L771" s="14">
        <f>VENTAS[[#This Row],[Total]]-VENTAS[[#This Row],[Comisión 10%]]-VENTAS[[#This Row],[Costo SIN Comision]]</f>
        <v>-10.7222222222222</v>
      </c>
      <c r="M771" s="14"/>
    </row>
    <row r="772" ht="20" hidden="1" customHeight="1" spans="1:13">
      <c r="A772" s="10">
        <v>45346</v>
      </c>
      <c r="B772" s="11"/>
      <c r="C772" s="11" t="s">
        <v>4238</v>
      </c>
      <c r="D772" s="11"/>
      <c r="E772" s="11" t="s">
        <v>790</v>
      </c>
      <c r="F772" s="11" t="str">
        <f>IFERROR(VLOOKUP(VENTAS[[#This Row],[Código del producto Vendido]],STOCK[],5,FALSE),"-")</f>
        <v>Visera rosa</v>
      </c>
      <c r="G772" s="11">
        <v>1</v>
      </c>
      <c r="H772" s="14">
        <v>15</v>
      </c>
      <c r="I772" s="14">
        <f>VENTAS[[#This Row],[Cantidad]]*VENTAS[[#This Row],[Precio Venta]]</f>
        <v>15</v>
      </c>
      <c r="J772" s="14">
        <f>IF(VENTAS[[#This Row],[Nombre del Gestor]]&gt;1,VENTAS[[#This Row],[Total]]*10%,0)</f>
        <v>0</v>
      </c>
      <c r="K772" s="14">
        <f>IFERROR(VLOOKUP(VENTAS[[#This Row],[Código del producto Vendido]],STOCK[],16,FALSE)*VENTAS[[#This Row],[Cantidad]]+VLOOKUP(VENTAS[[#This Row],[Código del producto Vendido]],STOCK[],19,FALSE)*VENTAS[[#This Row],[Cantidad]],VENTAS[[#This Row],[Total]])</f>
        <v>11.5555555555556</v>
      </c>
      <c r="L772" s="14">
        <f>VENTAS[[#This Row],[Total]]-VENTAS[[#This Row],[Comisión 10%]]-VENTAS[[#This Row],[Costo SIN Comision]]</f>
        <v>3.4444444444444</v>
      </c>
      <c r="M772" s="14"/>
    </row>
    <row r="773" ht="20" hidden="1" customHeight="1" spans="1:13">
      <c r="A773" s="10">
        <v>45346</v>
      </c>
      <c r="B773" s="11"/>
      <c r="C773" s="11" t="s">
        <v>4238</v>
      </c>
      <c r="D773" s="11"/>
      <c r="E773" s="11" t="s">
        <v>1768</v>
      </c>
      <c r="F773" s="11" t="str">
        <f>IFERROR(VLOOKUP(VENTAS[[#This Row],[Código del producto Vendido]],STOCK[],5,FALSE),"-")</f>
        <v>Calcetines bajos</v>
      </c>
      <c r="G773" s="11">
        <v>2</v>
      </c>
      <c r="H773" s="14">
        <v>1</v>
      </c>
      <c r="I773" s="14">
        <f>VENTAS[[#This Row],[Cantidad]]*VENTAS[[#This Row],[Precio Venta]]</f>
        <v>2</v>
      </c>
      <c r="J773" s="14">
        <f>IF(VENTAS[[#This Row],[Nombre del Gestor]]&gt;1,VENTAS[[#This Row],[Total]]*10%,0)</f>
        <v>0</v>
      </c>
      <c r="K773" s="14">
        <f>IFERROR(VLOOKUP(VENTAS[[#This Row],[Código del producto Vendido]],STOCK[],16,FALSE)*VENTAS[[#This Row],[Cantidad]]+VLOOKUP(VENTAS[[#This Row],[Código del producto Vendido]],STOCK[],19,FALSE)*VENTAS[[#This Row],[Cantidad]],VENTAS[[#This Row],[Total]])</f>
        <v>0.858823529411764</v>
      </c>
      <c r="L773" s="14">
        <f>VENTAS[[#This Row],[Total]]-VENTAS[[#This Row],[Comisión 10%]]-VENTAS[[#This Row],[Costo SIN Comision]]</f>
        <v>1.14117647058824</v>
      </c>
      <c r="M773" s="14"/>
    </row>
    <row r="774" ht="20" hidden="1" customHeight="1" spans="1:13">
      <c r="A774" s="10">
        <v>45359</v>
      </c>
      <c r="B774" s="11"/>
      <c r="C774" s="11" t="s">
        <v>4129</v>
      </c>
      <c r="D774" s="11"/>
      <c r="E774" s="11" t="s">
        <v>1785</v>
      </c>
      <c r="F774" s="11" t="str">
        <f>IFERROR(VLOOKUP(VENTAS[[#This Row],[Código del producto Vendido]],STOCK[],5,FALSE),"-")</f>
        <v>Traje de baño blanco sexy </v>
      </c>
      <c r="G774" s="11">
        <v>1</v>
      </c>
      <c r="H774" s="14">
        <v>20</v>
      </c>
      <c r="I774" s="14">
        <f>VENTAS[[#This Row],[Cantidad]]*VENTAS[[#This Row],[Precio Venta]]</f>
        <v>20</v>
      </c>
      <c r="J774" s="14">
        <f>IF(VENTAS[[#This Row],[Nombre del Gestor]]&gt;1,VENTAS[[#This Row],[Total]]*10%,0)</f>
        <v>0</v>
      </c>
      <c r="K774" s="14">
        <f>IFERROR(VLOOKUP(VENTAS[[#This Row],[Código del producto Vendido]],STOCK[],16,FALSE)*VENTAS[[#This Row],[Cantidad]]+VLOOKUP(VENTAS[[#This Row],[Código del producto Vendido]],STOCK[],19,FALSE)*VENTAS[[#This Row],[Cantidad]],VENTAS[[#This Row],[Total]])</f>
        <v>9.58823529411765</v>
      </c>
      <c r="L774" s="14">
        <f>VENTAS[[#This Row],[Total]]-VENTAS[[#This Row],[Comisión 10%]]-VENTAS[[#This Row],[Costo SIN Comision]]</f>
        <v>10.4117647058823</v>
      </c>
      <c r="M774" s="14"/>
    </row>
    <row r="775" ht="20" hidden="1" customHeight="1" spans="1:13">
      <c r="A775" s="10">
        <v>45359</v>
      </c>
      <c r="B775" s="11"/>
      <c r="C775" s="11" t="s">
        <v>4129</v>
      </c>
      <c r="D775" s="11"/>
      <c r="E775" s="11" t="s">
        <v>947</v>
      </c>
      <c r="F775" s="11" t="str">
        <f>IFERROR(VLOOKUP(VENTAS[[#This Row],[Código del producto Vendido]],STOCK[],5,FALSE),"-")</f>
        <v> Top Básico Business </v>
      </c>
      <c r="G775" s="11">
        <v>1</v>
      </c>
      <c r="H775" s="14">
        <v>12</v>
      </c>
      <c r="I775" s="14">
        <f>VENTAS[[#This Row],[Cantidad]]*VENTAS[[#This Row],[Precio Venta]]</f>
        <v>12</v>
      </c>
      <c r="J775" s="14">
        <f>IF(VENTAS[[#This Row],[Nombre del Gestor]]&gt;1,VENTAS[[#This Row],[Total]]*10%,0)</f>
        <v>0</v>
      </c>
      <c r="K775" s="14">
        <f>IFERROR(VLOOKUP(VENTAS[[#This Row],[Código del producto Vendido]],STOCK[],16,FALSE)*VENTAS[[#This Row],[Cantidad]]+VLOOKUP(VENTAS[[#This Row],[Código del producto Vendido]],STOCK[],19,FALSE)*VENTAS[[#This Row],[Cantidad]],VENTAS[[#This Row],[Total]])</f>
        <v>7.20909090909091</v>
      </c>
      <c r="L775" s="14">
        <f>VENTAS[[#This Row],[Total]]-VENTAS[[#This Row],[Comisión 10%]]-VENTAS[[#This Row],[Costo SIN Comision]]</f>
        <v>4.79090909090909</v>
      </c>
      <c r="M775" s="14"/>
    </row>
    <row r="776" ht="20" hidden="1" customHeight="1" spans="1:13">
      <c r="A776" s="10">
        <v>45359</v>
      </c>
      <c r="B776" s="11"/>
      <c r="C776" s="11" t="s">
        <v>4210</v>
      </c>
      <c r="D776" s="11"/>
      <c r="E776" s="11" t="s">
        <v>1672</v>
      </c>
      <c r="F776" s="11" t="str">
        <f>IFERROR(VLOOKUP(VENTAS[[#This Row],[Código del producto Vendido]],STOCK[],5,FALSE),"-")</f>
        <v>Conjunto Albaricoque</v>
      </c>
      <c r="G776" s="11">
        <v>1</v>
      </c>
      <c r="H776" s="14">
        <v>28</v>
      </c>
      <c r="I776" s="14">
        <f>VENTAS[[#This Row],[Cantidad]]*VENTAS[[#This Row],[Precio Venta]]</f>
        <v>28</v>
      </c>
      <c r="J776" s="14">
        <f>IF(VENTAS[[#This Row],[Nombre del Gestor]]&gt;1,VENTAS[[#This Row],[Total]]*10%,0)</f>
        <v>0</v>
      </c>
      <c r="K776" s="14">
        <f>IFERROR(VLOOKUP(VENTAS[[#This Row],[Código del producto Vendido]],STOCK[],16,FALSE)*VENTAS[[#This Row],[Cantidad]]+VLOOKUP(VENTAS[[#This Row],[Código del producto Vendido]],STOCK[],19,FALSE)*VENTAS[[#This Row],[Cantidad]],VENTAS[[#This Row],[Total]])</f>
        <v>13.97</v>
      </c>
      <c r="L776" s="14">
        <f>VENTAS[[#This Row],[Total]]-VENTAS[[#This Row],[Comisión 10%]]-VENTAS[[#This Row],[Costo SIN Comision]]</f>
        <v>14.03</v>
      </c>
      <c r="M776" s="14"/>
    </row>
    <row r="777" ht="20" hidden="1" customHeight="1" spans="1:13">
      <c r="A777" s="10">
        <v>45361</v>
      </c>
      <c r="B777" s="11"/>
      <c r="C777" s="11" t="s">
        <v>4240</v>
      </c>
      <c r="D777" s="11"/>
      <c r="E777" s="11" t="s">
        <v>1287</v>
      </c>
      <c r="F777" s="11" t="str">
        <f>IFERROR(VLOOKUP(VENTAS[[#This Row],[Código del producto Vendido]],STOCK[],5,FALSE),"-")</f>
        <v>Pantalón de corte recto</v>
      </c>
      <c r="G777" s="11">
        <v>1</v>
      </c>
      <c r="H777" s="14">
        <v>25</v>
      </c>
      <c r="I777" s="14">
        <f>VENTAS[[#This Row],[Cantidad]]*VENTAS[[#This Row],[Precio Venta]]</f>
        <v>25</v>
      </c>
      <c r="J777" s="14">
        <f>IF(VENTAS[[#This Row],[Nombre del Gestor]]&gt;1,VENTAS[[#This Row],[Total]]*10%,0)</f>
        <v>0</v>
      </c>
      <c r="K777" s="14">
        <f>IFERROR(VLOOKUP(VENTAS[[#This Row],[Código del producto Vendido]],STOCK[],16,FALSE)*VENTAS[[#This Row],[Cantidad]]+VLOOKUP(VENTAS[[#This Row],[Código del producto Vendido]],STOCK[],19,FALSE)*VENTAS[[#This Row],[Cantidad]],VENTAS[[#This Row],[Total]])</f>
        <v>20.78</v>
      </c>
      <c r="L777" s="14">
        <f>VENTAS[[#This Row],[Total]]-VENTAS[[#This Row],[Comisión 10%]]-VENTAS[[#This Row],[Costo SIN Comision]]</f>
        <v>4.22</v>
      </c>
      <c r="M777" s="14"/>
    </row>
    <row r="778" ht="20" hidden="1" customHeight="1" spans="1:13">
      <c r="A778" s="10">
        <v>45361</v>
      </c>
      <c r="B778" s="11"/>
      <c r="C778" s="11" t="s">
        <v>4240</v>
      </c>
      <c r="D778" s="11"/>
      <c r="E778" s="11" t="s">
        <v>1409</v>
      </c>
      <c r="F778" s="11" t="str">
        <f>IFERROR(VLOOKUP(VENTAS[[#This Row],[Código del producto Vendido]],STOCK[],5,FALSE),"-")</f>
        <v>Pantaloneta con abertura y bolsillos</v>
      </c>
      <c r="G778" s="11">
        <v>1</v>
      </c>
      <c r="H778" s="14">
        <v>23</v>
      </c>
      <c r="I778" s="14">
        <f>VENTAS[[#This Row],[Cantidad]]*VENTAS[[#This Row],[Precio Venta]]</f>
        <v>23</v>
      </c>
      <c r="J778" s="14">
        <f>IF(VENTAS[[#This Row],[Nombre del Gestor]]&gt;1,VENTAS[[#This Row],[Total]]*10%,0)</f>
        <v>0</v>
      </c>
      <c r="K778" s="14">
        <f>IFERROR(VLOOKUP(VENTAS[[#This Row],[Código del producto Vendido]],STOCK[],16,FALSE)*VENTAS[[#This Row],[Cantidad]]+VLOOKUP(VENTAS[[#This Row],[Código del producto Vendido]],STOCK[],19,FALSE)*VENTAS[[#This Row],[Cantidad]],VENTAS[[#This Row],[Total]])</f>
        <v>14.22</v>
      </c>
      <c r="L778" s="14">
        <f>VENTAS[[#This Row],[Total]]-VENTAS[[#This Row],[Comisión 10%]]-VENTAS[[#This Row],[Costo SIN Comision]]</f>
        <v>8.78</v>
      </c>
      <c r="M778" s="14"/>
    </row>
    <row r="779" ht="20" hidden="1" customHeight="1" spans="1:13">
      <c r="A779" s="10">
        <v>45363</v>
      </c>
      <c r="B779" s="11"/>
      <c r="C779" s="11"/>
      <c r="D779" s="11"/>
      <c r="E779" s="11" t="s">
        <v>1463</v>
      </c>
      <c r="F779" s="11" t="str">
        <f>IFERROR(VLOOKUP(VENTAS[[#This Row],[Código del producto Vendido]],STOCK[],5,FALSE),"-")</f>
        <v>Pantalón alto de bajo elegante</v>
      </c>
      <c r="G779" s="11">
        <v>2</v>
      </c>
      <c r="H779" s="14">
        <v>32</v>
      </c>
      <c r="I779" s="14">
        <f>VENTAS[[#This Row],[Cantidad]]*VENTAS[[#This Row],[Precio Venta]]</f>
        <v>64</v>
      </c>
      <c r="J779" s="14">
        <f>IF(VENTAS[[#This Row],[Nombre del Gestor]]&gt;1,VENTAS[[#This Row],[Total]]*10%,0)</f>
        <v>0</v>
      </c>
      <c r="K779" s="14">
        <f>IFERROR(VLOOKUP(VENTAS[[#This Row],[Código del producto Vendido]],STOCK[],16,FALSE)*VENTAS[[#This Row],[Cantidad]]+VLOOKUP(VENTAS[[#This Row],[Código del producto Vendido]],STOCK[],19,FALSE)*VENTAS[[#This Row],[Cantidad]],VENTAS[[#This Row],[Total]])</f>
        <v>32.38</v>
      </c>
      <c r="L779" s="14">
        <f>VENTAS[[#This Row],[Total]]-VENTAS[[#This Row],[Comisión 10%]]-VENTAS[[#This Row],[Costo SIN Comision]]</f>
        <v>31.62</v>
      </c>
      <c r="M779" s="14"/>
    </row>
    <row r="780" ht="20" hidden="1" customHeight="1" spans="1:13">
      <c r="A780" s="10">
        <v>45364</v>
      </c>
      <c r="B780" s="11"/>
      <c r="C780" s="11"/>
      <c r="D780" s="11"/>
      <c r="E780" s="11" t="s">
        <v>1698</v>
      </c>
      <c r="F780" s="11" t="str">
        <f>IFERROR(VLOOKUP(VENTAS[[#This Row],[Código del producto Vendido]],STOCK[],5,FALSE),"-")</f>
        <v>Jean Mom con bajo descosido</v>
      </c>
      <c r="G780" s="11">
        <v>1</v>
      </c>
      <c r="H780" s="14">
        <v>30</v>
      </c>
      <c r="I780" s="14">
        <f>VENTAS[[#This Row],[Cantidad]]*VENTAS[[#This Row],[Precio Venta]]</f>
        <v>30</v>
      </c>
      <c r="J780" s="14">
        <f>IF(VENTAS[[#This Row],[Nombre del Gestor]]&gt;1,VENTAS[[#This Row],[Total]]*10%,0)</f>
        <v>0</v>
      </c>
      <c r="K780" s="14">
        <f>IFERROR(VLOOKUP(VENTAS[[#This Row],[Código del producto Vendido]],STOCK[],16,FALSE)*VENTAS[[#This Row],[Cantidad]]+VLOOKUP(VENTAS[[#This Row],[Código del producto Vendido]],STOCK[],19,FALSE)*VENTAS[[#This Row],[Cantidad]],VENTAS[[#This Row],[Total]])</f>
        <v>20.5</v>
      </c>
      <c r="L780" s="14">
        <f>VENTAS[[#This Row],[Total]]-VENTAS[[#This Row],[Comisión 10%]]-VENTAS[[#This Row],[Costo SIN Comision]]</f>
        <v>9.5</v>
      </c>
      <c r="M780" s="14"/>
    </row>
    <row r="781" ht="20" hidden="1" customHeight="1" spans="1:13">
      <c r="A781" s="10">
        <v>45365</v>
      </c>
      <c r="B781" s="11"/>
      <c r="C781" s="11"/>
      <c r="D781" s="11"/>
      <c r="E781" s="11" t="s">
        <v>1416</v>
      </c>
      <c r="F781" s="11" t="str">
        <f>IFERROR(VLOOKUP(VENTAS[[#This Row],[Código del producto Vendido]],STOCK[],5,FALSE),"-")</f>
        <v>Jean MOM con rotos</v>
      </c>
      <c r="G781" s="11">
        <v>1</v>
      </c>
      <c r="H781" s="14">
        <v>32</v>
      </c>
      <c r="I781" s="14">
        <f>VENTAS[[#This Row],[Cantidad]]*VENTAS[[#This Row],[Precio Venta]]</f>
        <v>32</v>
      </c>
      <c r="J781" s="14">
        <f>IF(VENTAS[[#This Row],[Nombre del Gestor]]&gt;1,VENTAS[[#This Row],[Total]]*10%,0)</f>
        <v>0</v>
      </c>
      <c r="K781" s="14">
        <f>IFERROR(VLOOKUP(VENTAS[[#This Row],[Código del producto Vendido]],STOCK[],16,FALSE)*VENTAS[[#This Row],[Cantidad]]+VLOOKUP(VENTAS[[#This Row],[Código del producto Vendido]],STOCK[],19,FALSE)*VENTAS[[#This Row],[Cantidad]],VENTAS[[#This Row],[Total]])</f>
        <v>20</v>
      </c>
      <c r="L781" s="14">
        <f>VENTAS[[#This Row],[Total]]-VENTAS[[#This Row],[Comisión 10%]]-VENTAS[[#This Row],[Costo SIN Comision]]</f>
        <v>12</v>
      </c>
      <c r="M781" s="14"/>
    </row>
    <row r="782" ht="20" hidden="1" customHeight="1" spans="1:13">
      <c r="A782" s="10">
        <v>45366</v>
      </c>
      <c r="B782" s="11"/>
      <c r="C782" s="11"/>
      <c r="D782" s="11" t="s">
        <v>4241</v>
      </c>
      <c r="E782" s="11" t="s">
        <v>131</v>
      </c>
      <c r="F782" s="11" t="str">
        <f>IFERROR(VLOOKUP(VENTAS[[#This Row],[Código del producto Vendido]],STOCK[],5,FALSE),"-")</f>
        <v>Bibiki niñita Pez</v>
      </c>
      <c r="G782" s="11">
        <v>1</v>
      </c>
      <c r="H782" s="14">
        <v>18</v>
      </c>
      <c r="I782" s="14">
        <f>VENTAS[[#This Row],[Cantidad]]*VENTAS[[#This Row],[Precio Venta]]</f>
        <v>18</v>
      </c>
      <c r="J782" s="14">
        <f>IF(VENTAS[[#This Row],[Nombre del Gestor]]&gt;1,VENTAS[[#This Row],[Total]]*10%,0)</f>
        <v>1.8</v>
      </c>
      <c r="K782" s="14">
        <f>IFERROR(VLOOKUP(VENTAS[[#This Row],[Código del producto Vendido]],STOCK[],16,FALSE)*VENTAS[[#This Row],[Cantidad]]+VLOOKUP(VENTAS[[#This Row],[Código del producto Vendido]],STOCK[],19,FALSE)*VENTAS[[#This Row],[Cantidad]],VENTAS[[#This Row],[Total]])</f>
        <v>11.0988888888889</v>
      </c>
      <c r="L782" s="14">
        <f>VENTAS[[#This Row],[Total]]-VENTAS[[#This Row],[Comisión 10%]]-VENTAS[[#This Row],[Costo SIN Comision]]</f>
        <v>5.10111111111111</v>
      </c>
      <c r="M782" s="14"/>
    </row>
    <row r="783" ht="20" hidden="1" customHeight="1" spans="1:13">
      <c r="A783" s="10">
        <v>45367</v>
      </c>
      <c r="B783" s="11"/>
      <c r="C783" s="11"/>
      <c r="D783" s="11" t="s">
        <v>4241</v>
      </c>
      <c r="E783" s="11" t="s">
        <v>1416</v>
      </c>
      <c r="F783" s="11" t="str">
        <f>IFERROR(VLOOKUP(VENTAS[[#This Row],[Código del producto Vendido]],STOCK[],5,FALSE),"-")</f>
        <v>Jean MOM con rotos</v>
      </c>
      <c r="G783" s="11">
        <v>1</v>
      </c>
      <c r="H783" s="14">
        <v>32</v>
      </c>
      <c r="I783" s="14">
        <f>VENTAS[[#This Row],[Cantidad]]*VENTAS[[#This Row],[Precio Venta]]</f>
        <v>32</v>
      </c>
      <c r="J783" s="14">
        <f>IF(VENTAS[[#This Row],[Nombre del Gestor]]&gt;1,VENTAS[[#This Row],[Total]]*10%,0)</f>
        <v>3.2</v>
      </c>
      <c r="K783" s="14">
        <f>IFERROR(VLOOKUP(VENTAS[[#This Row],[Código del producto Vendido]],STOCK[],16,FALSE)*VENTAS[[#This Row],[Cantidad]]+VLOOKUP(VENTAS[[#This Row],[Código del producto Vendido]],STOCK[],19,FALSE)*VENTAS[[#This Row],[Cantidad]],VENTAS[[#This Row],[Total]])</f>
        <v>20</v>
      </c>
      <c r="L783" s="14">
        <f>VENTAS[[#This Row],[Total]]-VENTAS[[#This Row],[Comisión 10%]]-VENTAS[[#This Row],[Costo SIN Comision]]</f>
        <v>8.8</v>
      </c>
      <c r="M783" s="14"/>
    </row>
    <row r="784" ht="20" hidden="1" customHeight="1" spans="1:13">
      <c r="A784" s="10">
        <v>45368</v>
      </c>
      <c r="B784" s="11"/>
      <c r="C784" s="11"/>
      <c r="D784" s="11" t="s">
        <v>4241</v>
      </c>
      <c r="E784" s="11" t="s">
        <v>1303</v>
      </c>
      <c r="F784" s="11" t="str">
        <f>IFERROR(VLOOKUP(VENTAS[[#This Row],[Código del producto Vendido]],STOCK[],5,FALSE),"-")</f>
        <v>Jean ajustado Claro</v>
      </c>
      <c r="G784" s="11">
        <v>1</v>
      </c>
      <c r="H784" s="14">
        <v>32</v>
      </c>
      <c r="I784" s="14">
        <f>VENTAS[[#This Row],[Cantidad]]*VENTAS[[#This Row],[Precio Venta]]</f>
        <v>32</v>
      </c>
      <c r="J784" s="14">
        <f>IF(VENTAS[[#This Row],[Nombre del Gestor]]&gt;1,VENTAS[[#This Row],[Total]]*10%,0)</f>
        <v>3.2</v>
      </c>
      <c r="K784" s="14">
        <f>IFERROR(VLOOKUP(VENTAS[[#This Row],[Código del producto Vendido]],STOCK[],16,FALSE)*VENTAS[[#This Row],[Cantidad]]+VLOOKUP(VENTAS[[#This Row],[Código del producto Vendido]],STOCK[],19,FALSE)*VENTAS[[#This Row],[Cantidad]],VENTAS[[#This Row],[Total]])</f>
        <v>23.79</v>
      </c>
      <c r="L784" s="14">
        <f>VENTAS[[#This Row],[Total]]-VENTAS[[#This Row],[Comisión 10%]]-VENTAS[[#This Row],[Costo SIN Comision]]</f>
        <v>5.01</v>
      </c>
      <c r="M784" s="14"/>
    </row>
    <row r="785" ht="20" hidden="1" customHeight="1" spans="1:13">
      <c r="A785" s="10">
        <v>45366</v>
      </c>
      <c r="B785" s="11"/>
      <c r="C785" s="11"/>
      <c r="D785" s="11"/>
      <c r="E785" s="11" t="s">
        <v>1397</v>
      </c>
      <c r="F785" s="11" t="str">
        <f>IFERROR(VLOOKUP(VENTAS[[#This Row],[Código del producto Vendido]],STOCK[],5,FALSE),"-")</f>
        <v>Camiseta acanalada de bajo asimétrico blanco</v>
      </c>
      <c r="G785" s="11">
        <v>1</v>
      </c>
      <c r="H785" s="14">
        <v>12</v>
      </c>
      <c r="I785" s="14">
        <f>VENTAS[[#This Row],[Cantidad]]*VENTAS[[#This Row],[Precio Venta]]</f>
        <v>12</v>
      </c>
      <c r="J785" s="14">
        <f>IF(VENTAS[[#This Row],[Nombre del Gestor]]&gt;1,VENTAS[[#This Row],[Total]]*10%,0)</f>
        <v>0</v>
      </c>
      <c r="K785" s="14">
        <f>IFERROR(VLOOKUP(VENTAS[[#This Row],[Código del producto Vendido]],STOCK[],16,FALSE)*VENTAS[[#This Row],[Cantidad]]+VLOOKUP(VENTAS[[#This Row],[Código del producto Vendido]],STOCK[],19,FALSE)*VENTAS[[#This Row],[Cantidad]],VENTAS[[#This Row],[Total]])</f>
        <v>9</v>
      </c>
      <c r="L785" s="14">
        <f>VENTAS[[#This Row],[Total]]-VENTAS[[#This Row],[Comisión 10%]]-VENTAS[[#This Row],[Costo SIN Comision]]</f>
        <v>3</v>
      </c>
      <c r="M785" s="14"/>
    </row>
    <row r="786" ht="20" hidden="1" customHeight="1" spans="1:13">
      <c r="A786" s="10">
        <v>45367</v>
      </c>
      <c r="B786" s="11"/>
      <c r="C786" s="11"/>
      <c r="D786" s="11"/>
      <c r="E786" s="11" t="s">
        <v>1311</v>
      </c>
      <c r="F786" s="11" t="str">
        <f>IFERROR(VLOOKUP(VENTAS[[#This Row],[Código del producto Vendido]],STOCK[],5,FALSE),"-")</f>
        <v>Short de mezclilla suave con cinturón</v>
      </c>
      <c r="G786" s="11">
        <v>1</v>
      </c>
      <c r="H786" s="14">
        <v>19</v>
      </c>
      <c r="I786" s="14">
        <f>VENTAS[[#This Row],[Cantidad]]*VENTAS[[#This Row],[Precio Venta]]</f>
        <v>19</v>
      </c>
      <c r="J786" s="14">
        <f>IF(VENTAS[[#This Row],[Nombre del Gestor]]&gt;1,VENTAS[[#This Row],[Total]]*10%,0)</f>
        <v>0</v>
      </c>
      <c r="K786" s="14">
        <f>IFERROR(VLOOKUP(VENTAS[[#This Row],[Código del producto Vendido]],STOCK[],16,FALSE)*VENTAS[[#This Row],[Cantidad]]+VLOOKUP(VENTAS[[#This Row],[Código del producto Vendido]],STOCK[],19,FALSE)*VENTAS[[#This Row],[Cantidad]],VENTAS[[#This Row],[Total]])</f>
        <v>11</v>
      </c>
      <c r="L786" s="14">
        <f>VENTAS[[#This Row],[Total]]-VENTAS[[#This Row],[Comisión 10%]]-VENTAS[[#This Row],[Costo SIN Comision]]</f>
        <v>8</v>
      </c>
      <c r="M786" s="14"/>
    </row>
    <row r="787" ht="20" hidden="1" customHeight="1" spans="1:13">
      <c r="A787" s="10">
        <v>45368</v>
      </c>
      <c r="B787" s="11"/>
      <c r="C787" s="11"/>
      <c r="D787" s="11"/>
      <c r="E787" s="11" t="s">
        <v>1466</v>
      </c>
      <c r="F787" s="11" t="str">
        <f>IFERROR(VLOOKUP(VENTAS[[#This Row],[Código del producto Vendido]],STOCK[],5,FALSE),"-")</f>
        <v>Bermuda negra denim</v>
      </c>
      <c r="G787" s="11">
        <v>1</v>
      </c>
      <c r="H787" s="14">
        <v>20</v>
      </c>
      <c r="I787" s="14">
        <f>VENTAS[[#This Row],[Cantidad]]*VENTAS[[#This Row],[Precio Venta]]</f>
        <v>20</v>
      </c>
      <c r="J787" s="14">
        <f>IF(VENTAS[[#This Row],[Nombre del Gestor]]&gt;1,VENTAS[[#This Row],[Total]]*10%,0)</f>
        <v>0</v>
      </c>
      <c r="K787" s="14">
        <f>IFERROR(VLOOKUP(VENTAS[[#This Row],[Código del producto Vendido]],STOCK[],16,FALSE)*VENTAS[[#This Row],[Cantidad]]+VLOOKUP(VENTAS[[#This Row],[Código del producto Vendido]],STOCK[],19,FALSE)*VENTAS[[#This Row],[Cantidad]],VENTAS[[#This Row],[Total]])</f>
        <v>17</v>
      </c>
      <c r="L787" s="14">
        <f>VENTAS[[#This Row],[Total]]-VENTAS[[#This Row],[Comisión 10%]]-VENTAS[[#This Row],[Costo SIN Comision]]</f>
        <v>3</v>
      </c>
      <c r="M787" s="14"/>
    </row>
    <row r="788" ht="20" hidden="1" customHeight="1" spans="1:13">
      <c r="A788" s="10">
        <v>45369</v>
      </c>
      <c r="B788" s="11"/>
      <c r="C788" s="11"/>
      <c r="D788" s="11"/>
      <c r="E788" s="11" t="s">
        <v>1511</v>
      </c>
      <c r="F788" s="11" t="str">
        <f>IFERROR(VLOOKUP(VENTAS[[#This Row],[Código del producto Vendido]],STOCK[],5,FALSE),"-")</f>
        <v>Pantalón acampanado Blanco</v>
      </c>
      <c r="G788" s="11">
        <v>1</v>
      </c>
      <c r="H788" s="14">
        <v>28</v>
      </c>
      <c r="I788" s="14">
        <f>VENTAS[[#This Row],[Cantidad]]*VENTAS[[#This Row],[Precio Venta]]</f>
        <v>28</v>
      </c>
      <c r="J788" s="14">
        <f>IF(VENTAS[[#This Row],[Nombre del Gestor]]&gt;1,VENTAS[[#This Row],[Total]]*10%,0)</f>
        <v>0</v>
      </c>
      <c r="K788" s="14">
        <f>IFERROR(VLOOKUP(VENTAS[[#This Row],[Código del producto Vendido]],STOCK[],16,FALSE)*VENTAS[[#This Row],[Cantidad]]+VLOOKUP(VENTAS[[#This Row],[Código del producto Vendido]],STOCK[],19,FALSE)*VENTAS[[#This Row],[Cantidad]],VENTAS[[#This Row],[Total]])</f>
        <v>16.5</v>
      </c>
      <c r="L788" s="14">
        <f>VENTAS[[#This Row],[Total]]-VENTAS[[#This Row],[Comisión 10%]]-VENTAS[[#This Row],[Costo SIN Comision]]</f>
        <v>11.5</v>
      </c>
      <c r="M788" s="14"/>
    </row>
    <row r="789" ht="20" hidden="1" customHeight="1" spans="1:13">
      <c r="A789" s="11"/>
      <c r="B789" s="11"/>
      <c r="C789" s="11"/>
      <c r="D789" s="11"/>
      <c r="E789" s="11" t="s">
        <v>1746</v>
      </c>
      <c r="F789" s="11" t="str">
        <f>IFERROR(VLOOKUP(VENTAS[[#This Row],[Código del producto Vendido]],STOCK[],5,FALSE),"-")</f>
        <v>Traje de baño blanco sexy </v>
      </c>
      <c r="G789" s="11">
        <v>1</v>
      </c>
      <c r="H789" s="14">
        <v>20</v>
      </c>
      <c r="I789" s="14">
        <f>VENTAS[[#This Row],[Cantidad]]*VENTAS[[#This Row],[Precio Venta]]</f>
        <v>20</v>
      </c>
      <c r="J789" s="14">
        <f>IF(VENTAS[[#This Row],[Nombre del Gestor]]&gt;1,VENTAS[[#This Row],[Total]]*10%,0)</f>
        <v>0</v>
      </c>
      <c r="K789" s="14">
        <f>IFERROR(VLOOKUP(VENTAS[[#This Row],[Código del producto Vendido]],STOCK[],16,FALSE)*VENTAS[[#This Row],[Cantidad]]+VLOOKUP(VENTAS[[#This Row],[Código del producto Vendido]],STOCK[],19,FALSE)*VENTAS[[#This Row],[Cantidad]],VENTAS[[#This Row],[Total]])</f>
        <v>9.58823529411765</v>
      </c>
      <c r="L789" s="14">
        <f>VENTAS[[#This Row],[Total]]-VENTAS[[#This Row],[Comisión 10%]]-VENTAS[[#This Row],[Costo SIN Comision]]</f>
        <v>10.4117647058823</v>
      </c>
      <c r="M789" s="14" t="s">
        <v>4242</v>
      </c>
    </row>
    <row r="790" ht="20" hidden="1" customHeight="1" spans="1:13">
      <c r="A790" s="11"/>
      <c r="B790" s="11"/>
      <c r="C790" s="11" t="s">
        <v>4082</v>
      </c>
      <c r="D790" s="11"/>
      <c r="E790" s="11" t="s">
        <v>1740</v>
      </c>
      <c r="F790" s="11" t="str">
        <f>IFERROR(VLOOKUP(VENTAS[[#This Row],[Código del producto Vendido]],STOCK[],5,FALSE),"-")</f>
        <v>Chaleco de traje Blanco</v>
      </c>
      <c r="G790" s="11">
        <v>1</v>
      </c>
      <c r="H790" s="14">
        <v>25</v>
      </c>
      <c r="I790" s="14">
        <f>VENTAS[[#This Row],[Cantidad]]*VENTAS[[#This Row],[Precio Venta]]</f>
        <v>25</v>
      </c>
      <c r="J790" s="14">
        <f>IF(VENTAS[[#This Row],[Nombre del Gestor]]&gt;1,VENTAS[[#This Row],[Total]]*10%,0)</f>
        <v>0</v>
      </c>
      <c r="K790" s="14">
        <f>IFERROR(VLOOKUP(VENTAS[[#This Row],[Código del producto Vendido]],STOCK[],16,FALSE)*VENTAS[[#This Row],[Cantidad]]+VLOOKUP(VENTAS[[#This Row],[Código del producto Vendido]],STOCK[],19,FALSE)*VENTAS[[#This Row],[Cantidad]],VENTAS[[#This Row],[Total]])</f>
        <v>17.9411764705882</v>
      </c>
      <c r="L790" s="14">
        <f>VENTAS[[#This Row],[Total]]-VENTAS[[#This Row],[Comisión 10%]]-VENTAS[[#This Row],[Costo SIN Comision]]</f>
        <v>7.0588235294118</v>
      </c>
      <c r="M790" s="14"/>
    </row>
    <row r="791" ht="20" hidden="1" customHeight="1" spans="1:13">
      <c r="A791" s="11"/>
      <c r="B791" s="11"/>
      <c r="C791" s="11"/>
      <c r="D791" s="11"/>
      <c r="E791" s="11" t="s">
        <v>1675</v>
      </c>
      <c r="F791" s="11" t="str">
        <f>IFERROR(VLOOKUP(VENTAS[[#This Row],[Código del producto Vendido]],STOCK[],5,FALSE),"-")</f>
        <v>Conjunto Beis</v>
      </c>
      <c r="G791" s="11">
        <v>1</v>
      </c>
      <c r="H791" s="14">
        <v>28</v>
      </c>
      <c r="I791" s="14">
        <f>VENTAS[[#This Row],[Cantidad]]*VENTAS[[#This Row],[Precio Venta]]</f>
        <v>28</v>
      </c>
      <c r="J791" s="14">
        <f>IF(VENTAS[[#This Row],[Nombre del Gestor]]&gt;1,VENTAS[[#This Row],[Total]]*10%,0)</f>
        <v>0</v>
      </c>
      <c r="K791" s="14">
        <f>IFERROR(VLOOKUP(VENTAS[[#This Row],[Código del producto Vendido]],STOCK[],16,FALSE)*VENTAS[[#This Row],[Cantidad]]+VLOOKUP(VENTAS[[#This Row],[Código del producto Vendido]],STOCK[],19,FALSE)*VENTAS[[#This Row],[Cantidad]],VENTAS[[#This Row],[Total]])</f>
        <v>16.7</v>
      </c>
      <c r="L791" s="14">
        <f>VENTAS[[#This Row],[Total]]-VENTAS[[#This Row],[Comisión 10%]]-VENTAS[[#This Row],[Costo SIN Comision]]</f>
        <v>11.3</v>
      </c>
      <c r="M791" s="14"/>
    </row>
    <row r="792" ht="20" hidden="1" customHeight="1" spans="1:13">
      <c r="A792" s="11"/>
      <c r="B792" s="11"/>
      <c r="C792" s="11"/>
      <c r="D792" s="11"/>
      <c r="E792" s="11" t="s">
        <v>1624</v>
      </c>
      <c r="F792" s="11" t="str">
        <f>IFERROR(VLOOKUP(VENTAS[[#This Row],[Código del producto Vendido]],STOCK[],5,FALSE),"-")</f>
        <v>Vestido Tarsha</v>
      </c>
      <c r="G792" s="11">
        <v>1</v>
      </c>
      <c r="H792" s="14">
        <v>27</v>
      </c>
      <c r="I792" s="14">
        <f>VENTAS[[#This Row],[Cantidad]]*VENTAS[[#This Row],[Precio Venta]]</f>
        <v>27</v>
      </c>
      <c r="J792" s="14">
        <f>IF(VENTAS[[#This Row],[Nombre del Gestor]]&gt;1,VENTAS[[#This Row],[Total]]*10%,0)</f>
        <v>0</v>
      </c>
      <c r="K792" s="14">
        <f>IFERROR(VLOOKUP(VENTAS[[#This Row],[Código del producto Vendido]],STOCK[],16,FALSE)*VENTAS[[#This Row],[Cantidad]]+VLOOKUP(VENTAS[[#This Row],[Código del producto Vendido]],STOCK[],19,FALSE)*VENTAS[[#This Row],[Cantidad]],VENTAS[[#This Row],[Total]])</f>
        <v>13.97</v>
      </c>
      <c r="L792" s="14">
        <f>VENTAS[[#This Row],[Total]]-VENTAS[[#This Row],[Comisión 10%]]-VENTAS[[#This Row],[Costo SIN Comision]]</f>
        <v>13.03</v>
      </c>
      <c r="M792" s="14"/>
    </row>
    <row r="793" ht="20" hidden="1" customHeight="1" spans="1:13">
      <c r="A793" s="11"/>
      <c r="B793" s="11"/>
      <c r="C793" s="11"/>
      <c r="D793" s="11"/>
      <c r="E793" s="11" t="s">
        <v>1626</v>
      </c>
      <c r="F793" s="11" t="str">
        <f>IFERROR(VLOOKUP(VENTAS[[#This Row],[Código del producto Vendido]],STOCK[],5,FALSE),"-")</f>
        <v>Vestido Tarsha</v>
      </c>
      <c r="G793" s="11">
        <v>1</v>
      </c>
      <c r="H793" s="14">
        <v>27</v>
      </c>
      <c r="I793" s="14">
        <f>VENTAS[[#This Row],[Cantidad]]*VENTAS[[#This Row],[Precio Venta]]</f>
        <v>27</v>
      </c>
      <c r="J793" s="14">
        <f>IF(VENTAS[[#This Row],[Nombre del Gestor]]&gt;1,VENTAS[[#This Row],[Total]]*10%,0)</f>
        <v>0</v>
      </c>
      <c r="K793" s="14">
        <f>IFERROR(VLOOKUP(VENTAS[[#This Row],[Código del producto Vendido]],STOCK[],16,FALSE)*VENTAS[[#This Row],[Cantidad]]+VLOOKUP(VENTAS[[#This Row],[Código del producto Vendido]],STOCK[],19,FALSE)*VENTAS[[#This Row],[Cantidad]],VENTAS[[#This Row],[Total]])</f>
        <v>13.97</v>
      </c>
      <c r="L793" s="14">
        <f>VENTAS[[#This Row],[Total]]-VENTAS[[#This Row],[Comisión 10%]]-VENTAS[[#This Row],[Costo SIN Comision]]</f>
        <v>13.03</v>
      </c>
      <c r="M793" s="14"/>
    </row>
    <row r="794" ht="20" hidden="1" customHeight="1" spans="1:13">
      <c r="A794" s="10">
        <v>45363</v>
      </c>
      <c r="B794" s="11"/>
      <c r="C794" s="11"/>
      <c r="D794" s="11" t="s">
        <v>4241</v>
      </c>
      <c r="E794" s="11" t="s">
        <v>1807</v>
      </c>
      <c r="F794" s="11" t="str">
        <f>IFERROR(VLOOKUP(VENTAS[[#This Row],[Código del producto Vendido]],STOCK[],5,FALSE),"-")</f>
        <v>Pasador de cabello en forma de lazo</v>
      </c>
      <c r="G794" s="11">
        <v>1</v>
      </c>
      <c r="H794" s="14">
        <v>3</v>
      </c>
      <c r="I794" s="14">
        <f>VENTAS[[#This Row],[Cantidad]]*VENTAS[[#This Row],[Precio Venta]]</f>
        <v>3</v>
      </c>
      <c r="J794" s="14">
        <f>IF(VENTAS[[#This Row],[Nombre del Gestor]]&gt;1,VENTAS[[#This Row],[Total]]*10%,0)</f>
        <v>0.3</v>
      </c>
      <c r="K794" s="14">
        <f>IFERROR(VLOOKUP(VENTAS[[#This Row],[Código del producto Vendido]],STOCK[],16,FALSE)*VENTAS[[#This Row],[Cantidad]]+VLOOKUP(VENTAS[[#This Row],[Código del producto Vendido]],STOCK[],19,FALSE)*VENTAS[[#This Row],[Cantidad]],VENTAS[[#This Row],[Total]])</f>
        <v>1.73529411764706</v>
      </c>
      <c r="L794" s="14">
        <f>VENTAS[[#This Row],[Total]]-VENTAS[[#This Row],[Comisión 10%]]-VENTAS[[#This Row],[Costo SIN Comision]]</f>
        <v>0.96470588235294</v>
      </c>
      <c r="M794" s="14"/>
    </row>
    <row r="795" ht="20" hidden="1" customHeight="1" spans="1:13">
      <c r="A795" s="10">
        <v>45363</v>
      </c>
      <c r="B795" s="11"/>
      <c r="C795" s="11"/>
      <c r="D795" s="11" t="s">
        <v>4241</v>
      </c>
      <c r="E795" s="11" t="s">
        <v>1161</v>
      </c>
      <c r="F795" s="11" t="str">
        <f>IFERROR(VLOOKUP(VENTAS[[#This Row],[Código del producto Vendido]],STOCK[],5,FALSE),"-")</f>
        <v>Pezoneras de silicona</v>
      </c>
      <c r="G795" s="11">
        <v>1</v>
      </c>
      <c r="H795" s="14">
        <v>5</v>
      </c>
      <c r="I795" s="14">
        <f>VENTAS[[#This Row],[Cantidad]]*VENTAS[[#This Row],[Precio Venta]]</f>
        <v>5</v>
      </c>
      <c r="J795" s="14">
        <f>IF(VENTAS[[#This Row],[Nombre del Gestor]]&gt;1,VENTAS[[#This Row],[Total]]*10%,0)</f>
        <v>0.5</v>
      </c>
      <c r="K795" s="14">
        <f>IFERROR(VLOOKUP(VENTAS[[#This Row],[Código del producto Vendido]],STOCK[],16,FALSE)*VENTAS[[#This Row],[Cantidad]]+VLOOKUP(VENTAS[[#This Row],[Código del producto Vendido]],STOCK[],19,FALSE)*VENTAS[[#This Row],[Cantidad]],VENTAS[[#This Row],[Total]])</f>
        <v>2.03</v>
      </c>
      <c r="L795" s="14">
        <f>VENTAS[[#This Row],[Total]]-VENTAS[[#This Row],[Comisión 10%]]-VENTAS[[#This Row],[Costo SIN Comision]]</f>
        <v>2.47</v>
      </c>
      <c r="M795" s="14"/>
    </row>
    <row r="796" ht="20" hidden="1" customHeight="1" spans="1:13">
      <c r="A796" s="10">
        <v>45367</v>
      </c>
      <c r="B796" s="11"/>
      <c r="C796" s="11"/>
      <c r="D796" s="11"/>
      <c r="E796" s="11" t="s">
        <v>2018</v>
      </c>
      <c r="F796" s="11" t="str">
        <f>IFERROR(VLOOKUP(VENTAS[[#This Row],[Código del producto Vendido]],STOCK[],5,FALSE),"-")</f>
        <v>Jogger afelpado de talle alto (Nuevo)</v>
      </c>
      <c r="G796" s="11">
        <v>1</v>
      </c>
      <c r="H796" s="14">
        <v>22</v>
      </c>
      <c r="I796" s="14">
        <f>VENTAS[[#This Row],[Cantidad]]*VENTAS[[#This Row],[Precio Venta]]</f>
        <v>22</v>
      </c>
      <c r="J796" s="14">
        <f>IF(VENTAS[[#This Row],[Nombre del Gestor]]&gt;1,VENTAS[[#This Row],[Total]]*10%,0)</f>
        <v>0</v>
      </c>
      <c r="K796" s="14">
        <f>IFERROR(VLOOKUP(VENTAS[[#This Row],[Código del producto Vendido]],STOCK[],16,FALSE)*VENTAS[[#This Row],[Cantidad]]+VLOOKUP(VENTAS[[#This Row],[Código del producto Vendido]],STOCK[],19,FALSE)*VENTAS[[#This Row],[Cantidad]],VENTAS[[#This Row],[Total]])</f>
        <v>0</v>
      </c>
      <c r="L796" s="14">
        <f>VENTAS[[#This Row],[Total]]-VENTAS[[#This Row],[Comisión 10%]]-VENTAS[[#This Row],[Costo SIN Comision]]</f>
        <v>22</v>
      </c>
      <c r="M796" s="14" t="s">
        <v>4243</v>
      </c>
    </row>
    <row r="797" ht="20" hidden="1" customHeight="1" spans="1:13">
      <c r="A797" s="10">
        <v>45367</v>
      </c>
      <c r="B797" s="11"/>
      <c r="C797" s="11"/>
      <c r="D797" s="11" t="s">
        <v>4222</v>
      </c>
      <c r="E797" s="11" t="s">
        <v>1570</v>
      </c>
      <c r="F797" s="11" t="str">
        <f>IFERROR(VLOOKUP(VENTAS[[#This Row],[Código del producto Vendido]],STOCK[],5,FALSE),"-")</f>
        <v>Sandalias de tiras</v>
      </c>
      <c r="G797" s="11">
        <v>1</v>
      </c>
      <c r="H797" s="14">
        <v>25</v>
      </c>
      <c r="I797" s="14">
        <f>VENTAS[[#This Row],[Cantidad]]*VENTAS[[#This Row],[Precio Venta]]</f>
        <v>25</v>
      </c>
      <c r="J797" s="14">
        <f>IF(VENTAS[[#This Row],[Nombre del Gestor]]&gt;1,VENTAS[[#This Row],[Total]]*10%,0)</f>
        <v>2.5</v>
      </c>
      <c r="K797" s="14">
        <f>IFERROR(VLOOKUP(VENTAS[[#This Row],[Código del producto Vendido]],STOCK[],16,FALSE)*VENTAS[[#This Row],[Cantidad]]+VLOOKUP(VENTAS[[#This Row],[Código del producto Vendido]],STOCK[],19,FALSE)*VENTAS[[#This Row],[Cantidad]],VENTAS[[#This Row],[Total]])</f>
        <v>14</v>
      </c>
      <c r="L797" s="14">
        <f>VENTAS[[#This Row],[Total]]-VENTAS[[#This Row],[Comisión 10%]]-VENTAS[[#This Row],[Costo SIN Comision]]</f>
        <v>8.5</v>
      </c>
      <c r="M797" s="14"/>
    </row>
    <row r="798" ht="20" hidden="1" customHeight="1" spans="1:13">
      <c r="A798" s="10">
        <v>45371</v>
      </c>
      <c r="B798" s="11"/>
      <c r="C798" s="11" t="s">
        <v>4244</v>
      </c>
      <c r="D798" s="11" t="s">
        <v>4129</v>
      </c>
      <c r="E798" s="11" t="s">
        <v>1729</v>
      </c>
      <c r="F798" s="11" t="str">
        <f>IFERROR(VLOOKUP(VENTAS[[#This Row],[Código del producto Vendido]],STOCK[],5,FALSE),"-")</f>
        <v>Chaleco de traje Crema</v>
      </c>
      <c r="G798" s="11">
        <v>1</v>
      </c>
      <c r="H798" s="14">
        <v>25</v>
      </c>
      <c r="I798" s="14">
        <f>VENTAS[[#This Row],[Cantidad]]*VENTAS[[#This Row],[Precio Venta]]</f>
        <v>25</v>
      </c>
      <c r="J798" s="14">
        <f>IF(VENTAS[[#This Row],[Nombre del Gestor]]&gt;1,VENTAS[[#This Row],[Total]]*10%,0)</f>
        <v>2.5</v>
      </c>
      <c r="K798" s="14">
        <f>IFERROR(VLOOKUP(VENTAS[[#This Row],[Código del producto Vendido]],STOCK[],16,FALSE)*VENTAS[[#This Row],[Cantidad]]+VLOOKUP(VENTAS[[#This Row],[Código del producto Vendido]],STOCK[],19,FALSE)*VENTAS[[#This Row],[Cantidad]],VENTAS[[#This Row],[Total]])</f>
        <v>17.9411764705882</v>
      </c>
      <c r="L798" s="14">
        <f>VENTAS[[#This Row],[Total]]-VENTAS[[#This Row],[Comisión 10%]]-VENTAS[[#This Row],[Costo SIN Comision]]</f>
        <v>4.5588235294118</v>
      </c>
      <c r="M798" s="14"/>
    </row>
    <row r="799" ht="20" hidden="1" customHeight="1" spans="1:13">
      <c r="A799" s="10">
        <v>45372</v>
      </c>
      <c r="B799" s="11"/>
      <c r="C799" s="11" t="s">
        <v>4245</v>
      </c>
      <c r="D799" s="11"/>
      <c r="E799" s="11" t="s">
        <v>1609</v>
      </c>
      <c r="F799" s="11" t="str">
        <f>IFERROR(VLOOKUP(VENTAS[[#This Row],[Código del producto Vendido]],STOCK[],5,FALSE),"-")</f>
        <v>Vestido camisero con estampado floral </v>
      </c>
      <c r="G799" s="11">
        <v>1</v>
      </c>
      <c r="H799" s="14">
        <v>35</v>
      </c>
      <c r="I799" s="14">
        <f>VENTAS[[#This Row],[Cantidad]]*VENTAS[[#This Row],[Precio Venta]]</f>
        <v>35</v>
      </c>
      <c r="J799" s="14">
        <f>IF(VENTAS[[#This Row],[Nombre del Gestor]]&gt;1,VENTAS[[#This Row],[Total]]*10%,0)</f>
        <v>0</v>
      </c>
      <c r="K799" s="14">
        <f>IFERROR(VLOOKUP(VENTAS[[#This Row],[Código del producto Vendido]],STOCK[],16,FALSE)*VENTAS[[#This Row],[Cantidad]]+VLOOKUP(VENTAS[[#This Row],[Código del producto Vendido]],STOCK[],19,FALSE)*VENTAS[[#This Row],[Cantidad]],VENTAS[[#This Row],[Total]])</f>
        <v>14.84</v>
      </c>
      <c r="L799" s="14">
        <f>VENTAS[[#This Row],[Total]]-VENTAS[[#This Row],[Comisión 10%]]-VENTAS[[#This Row],[Costo SIN Comision]]</f>
        <v>20.16</v>
      </c>
      <c r="M799" s="14"/>
    </row>
    <row r="800" ht="20" hidden="1" customHeight="1" spans="1:13">
      <c r="A800" s="10">
        <v>45361</v>
      </c>
      <c r="B800" s="11"/>
      <c r="C800" s="11" t="s">
        <v>4240</v>
      </c>
      <c r="D800" s="11"/>
      <c r="E800" s="11" t="s">
        <v>1616</v>
      </c>
      <c r="F800" s="11" t="str">
        <f>IFERROR(VLOOKUP(VENTAS[[#This Row],[Código del producto Vendido]],STOCK[],5,FALSE),"-")</f>
        <v>Vestido largo estampado</v>
      </c>
      <c r="G800" s="11">
        <v>1</v>
      </c>
      <c r="H800" s="14">
        <v>35</v>
      </c>
      <c r="I800" s="14">
        <f>VENTAS[[#This Row],[Cantidad]]*VENTAS[[#This Row],[Precio Venta]]</f>
        <v>35</v>
      </c>
      <c r="J800" s="14">
        <f>IF(VENTAS[[#This Row],[Nombre del Gestor]]&gt;1,VENTAS[[#This Row],[Total]]*10%,0)</f>
        <v>0</v>
      </c>
      <c r="K800" s="14">
        <f>IFERROR(VLOOKUP(VENTAS[[#This Row],[Código del producto Vendido]],STOCK[],16,FALSE)*VENTAS[[#This Row],[Cantidad]]+VLOOKUP(VENTAS[[#This Row],[Código del producto Vendido]],STOCK[],19,FALSE)*VENTAS[[#This Row],[Cantidad]],VENTAS[[#This Row],[Total]])</f>
        <v>15.09</v>
      </c>
      <c r="L800" s="14">
        <f>VENTAS[[#This Row],[Total]]-VENTAS[[#This Row],[Comisión 10%]]-VENTAS[[#This Row],[Costo SIN Comision]]</f>
        <v>19.91</v>
      </c>
      <c r="M800" s="14"/>
    </row>
    <row r="801" ht="20" hidden="1" customHeight="1" spans="1:13">
      <c r="A801" s="10">
        <v>45372</v>
      </c>
      <c r="B801" s="11"/>
      <c r="C801" s="11" t="s">
        <v>4245</v>
      </c>
      <c r="D801" s="11"/>
      <c r="E801" s="11" t="s">
        <v>1788</v>
      </c>
      <c r="F801" s="11" t="str">
        <f>IFERROR(VLOOKUP(VENTAS[[#This Row],[Código del producto Vendido]],STOCK[],5,FALSE),"-")</f>
        <v>Cinturón básico grueso Negro</v>
      </c>
      <c r="G801" s="11">
        <v>1</v>
      </c>
      <c r="H801" s="14">
        <v>8</v>
      </c>
      <c r="I801" s="14">
        <f>VENTAS[[#This Row],[Cantidad]]*VENTAS[[#This Row],[Precio Venta]]</f>
        <v>8</v>
      </c>
      <c r="J801" s="14">
        <f>IF(VENTAS[[#This Row],[Nombre del Gestor]]&gt;1,VENTAS[[#This Row],[Total]]*10%,0)</f>
        <v>0</v>
      </c>
      <c r="K801" s="14">
        <f>IFERROR(VLOOKUP(VENTAS[[#This Row],[Código del producto Vendido]],STOCK[],16,FALSE)*VENTAS[[#This Row],[Cantidad]]+VLOOKUP(VENTAS[[#This Row],[Código del producto Vendido]],STOCK[],19,FALSE)*VENTAS[[#This Row],[Cantidad]],VENTAS[[#This Row],[Total]])</f>
        <v>4.23529411764706</v>
      </c>
      <c r="L801" s="14">
        <f>VENTAS[[#This Row],[Total]]-VENTAS[[#This Row],[Comisión 10%]]-VENTAS[[#This Row],[Costo SIN Comision]]</f>
        <v>3.76470588235294</v>
      </c>
      <c r="M801" s="14"/>
    </row>
    <row r="802" ht="20" hidden="1" customHeight="1" spans="1:13">
      <c r="A802" s="10">
        <v>45375</v>
      </c>
      <c r="B802" s="11"/>
      <c r="C802" s="11"/>
      <c r="D802" s="11" t="s">
        <v>4241</v>
      </c>
      <c r="E802" s="11" t="s">
        <v>1088</v>
      </c>
      <c r="F802" s="11" t="str">
        <f>IFERROR(VLOOKUP(VENTAS[[#This Row],[Código del producto Vendido]],STOCK[],5,FALSE),"-")</f>
        <v>Cobertor de traje de baño</v>
      </c>
      <c r="G802" s="11">
        <v>1</v>
      </c>
      <c r="H802" s="14">
        <v>10</v>
      </c>
      <c r="I802" s="14">
        <f>VENTAS[[#This Row],[Cantidad]]*VENTAS[[#This Row],[Precio Venta]]</f>
        <v>10</v>
      </c>
      <c r="J802" s="14">
        <f>IF(VENTAS[[#This Row],[Nombre del Gestor]]&gt;1,VENTAS[[#This Row],[Total]]*10%,0)</f>
        <v>1</v>
      </c>
      <c r="K802" s="14">
        <f>IFERROR(VLOOKUP(VENTAS[[#This Row],[Código del producto Vendido]],STOCK[],16,FALSE)*VENTAS[[#This Row],[Cantidad]]+VLOOKUP(VENTAS[[#This Row],[Código del producto Vendido]],STOCK[],19,FALSE)*VENTAS[[#This Row],[Cantidad]],VENTAS[[#This Row],[Total]])</f>
        <v>4.52205882352941</v>
      </c>
      <c r="L802" s="14">
        <f>VENTAS[[#This Row],[Total]]-VENTAS[[#This Row],[Comisión 10%]]-VENTAS[[#This Row],[Costo SIN Comision]]</f>
        <v>4.47794117647059</v>
      </c>
      <c r="M802" s="14"/>
    </row>
    <row r="803" ht="20" hidden="1" customHeight="1" spans="1:13">
      <c r="A803" s="10">
        <v>45375</v>
      </c>
      <c r="B803" s="11"/>
      <c r="C803" s="11"/>
      <c r="D803" s="11" t="s">
        <v>4241</v>
      </c>
      <c r="E803" s="11" t="s">
        <v>830</v>
      </c>
      <c r="F803" s="11" t="str">
        <f>IFERROR(VLOOKUP(VENTAS[[#This Row],[Código del producto Vendido]],STOCK[],5,FALSE),"-")</f>
        <v>Set de bikini malva</v>
      </c>
      <c r="G803" s="11">
        <v>1</v>
      </c>
      <c r="H803" s="14">
        <v>15</v>
      </c>
      <c r="I803" s="14">
        <f>VENTAS[[#This Row],[Cantidad]]*VENTAS[[#This Row],[Precio Venta]]</f>
        <v>15</v>
      </c>
      <c r="J803" s="14">
        <f>IF(VENTAS[[#This Row],[Nombre del Gestor]]&gt;1,VENTAS[[#This Row],[Total]]*10%,0)</f>
        <v>1.5</v>
      </c>
      <c r="K803" s="14">
        <f>IFERROR(VLOOKUP(VENTAS[[#This Row],[Código del producto Vendido]],STOCK[],16,FALSE)*VENTAS[[#This Row],[Cantidad]]+VLOOKUP(VENTAS[[#This Row],[Código del producto Vendido]],STOCK[],19,FALSE)*VENTAS[[#This Row],[Cantidad]],VENTAS[[#This Row],[Total]])</f>
        <v>9.22222222222222</v>
      </c>
      <c r="L803" s="14">
        <f>VENTAS[[#This Row],[Total]]-VENTAS[[#This Row],[Comisión 10%]]-VENTAS[[#This Row],[Costo SIN Comision]]</f>
        <v>4.27777777777778</v>
      </c>
      <c r="M803" s="14"/>
    </row>
    <row r="804" ht="20" hidden="1" customHeight="1" spans="1:13">
      <c r="A804" s="10">
        <v>45361</v>
      </c>
      <c r="B804" s="11"/>
      <c r="C804" s="11" t="s">
        <v>4240</v>
      </c>
      <c r="D804" s="11"/>
      <c r="E804" s="11" t="s">
        <v>820</v>
      </c>
      <c r="F804" s="11" t="str">
        <f>IFERROR(VLOOKUP(VENTAS[[#This Row],[Código del producto Vendido]],STOCK[],5,FALSE),"-")</f>
        <v>Blusa atada bohemia</v>
      </c>
      <c r="G804" s="11">
        <v>1</v>
      </c>
      <c r="H804" s="14">
        <v>10</v>
      </c>
      <c r="I804" s="14">
        <f>VENTAS[[#This Row],[Cantidad]]*VENTAS[[#This Row],[Precio Venta]]</f>
        <v>10</v>
      </c>
      <c r="J804" s="14">
        <f>IF(VENTAS[[#This Row],[Nombre del Gestor]]&gt;1,VENTAS[[#This Row],[Total]]*10%,0)</f>
        <v>0</v>
      </c>
      <c r="K804" s="14">
        <f>IFERROR(VLOOKUP(VENTAS[[#This Row],[Código del producto Vendido]],STOCK[],16,FALSE)*VENTAS[[#This Row],[Cantidad]]+VLOOKUP(VENTAS[[#This Row],[Código del producto Vendido]],STOCK[],19,FALSE)*VENTAS[[#This Row],[Cantidad]],VENTAS[[#This Row],[Total]])</f>
        <v>8</v>
      </c>
      <c r="L804" s="14">
        <f>VENTAS[[#This Row],[Total]]-VENTAS[[#This Row],[Comisión 10%]]-VENTAS[[#This Row],[Costo SIN Comision]]</f>
        <v>2</v>
      </c>
      <c r="M804" s="14"/>
    </row>
    <row r="805" ht="20" hidden="1" customHeight="1" spans="1:13">
      <c r="A805" s="10">
        <v>45376</v>
      </c>
      <c r="B805" s="11"/>
      <c r="C805" s="11"/>
      <c r="D805" s="11" t="s">
        <v>4241</v>
      </c>
      <c r="E805" s="11" t="s">
        <v>405</v>
      </c>
      <c r="F805" s="11" t="str">
        <f>IFERROR(VLOOKUP(VENTAS[[#This Row],[Código del producto Vendido]],STOCK[],5,FALSE),"-")</f>
        <v>Vestido Bohemio</v>
      </c>
      <c r="G805" s="11">
        <v>1</v>
      </c>
      <c r="H805" s="14">
        <v>20</v>
      </c>
      <c r="I805" s="14">
        <f>VENTAS[[#This Row],[Cantidad]]*VENTAS[[#This Row],[Precio Venta]]</f>
        <v>20</v>
      </c>
      <c r="J805" s="14">
        <f>IF(VENTAS[[#This Row],[Nombre del Gestor]]&gt;1,VENTAS[[#This Row],[Total]]*10%,0)</f>
        <v>2</v>
      </c>
      <c r="K805" s="14">
        <f>IFERROR(VLOOKUP(VENTAS[[#This Row],[Código del producto Vendido]],STOCK[],16,FALSE)*VENTAS[[#This Row],[Cantidad]]+VLOOKUP(VENTAS[[#This Row],[Código del producto Vendido]],STOCK[],19,FALSE)*VENTAS[[#This Row],[Cantidad]],VENTAS[[#This Row],[Total]])</f>
        <v>12.5705555555556</v>
      </c>
      <c r="L805" s="14">
        <f>VENTAS[[#This Row],[Total]]-VENTAS[[#This Row],[Comisión 10%]]-VENTAS[[#This Row],[Costo SIN Comision]]</f>
        <v>5.42944444444444</v>
      </c>
      <c r="M805" s="14"/>
    </row>
    <row r="806" ht="20" hidden="1" customHeight="1" spans="1:13">
      <c r="A806" s="10">
        <v>45376</v>
      </c>
      <c r="B806" s="11"/>
      <c r="C806" s="11"/>
      <c r="D806" s="11"/>
      <c r="E806" s="11" t="s">
        <v>1590</v>
      </c>
      <c r="F806" s="11" t="str">
        <f>IFERROR(VLOOKUP(VENTAS[[#This Row],[Código del producto Vendido]],STOCK[],5,FALSE),"-")</f>
        <v>Sandalias flip de plataforma Naranja Marca F21</v>
      </c>
      <c r="G806" s="11">
        <v>1</v>
      </c>
      <c r="H806" s="14">
        <v>15</v>
      </c>
      <c r="I806" s="14">
        <f>VENTAS[[#This Row],[Cantidad]]*VENTAS[[#This Row],[Precio Venta]]</f>
        <v>15</v>
      </c>
      <c r="J806" s="14">
        <f>IF(VENTAS[[#This Row],[Nombre del Gestor]]&gt;1,VENTAS[[#This Row],[Total]]*10%,0)</f>
        <v>0</v>
      </c>
      <c r="K806" s="14">
        <f>IFERROR(VLOOKUP(VENTAS[[#This Row],[Código del producto Vendido]],STOCK[],16,FALSE)*VENTAS[[#This Row],[Cantidad]]+VLOOKUP(VENTAS[[#This Row],[Código del producto Vendido]],STOCK[],19,FALSE)*VENTAS[[#This Row],[Cantidad]],VENTAS[[#This Row],[Total]])</f>
        <v>9.49</v>
      </c>
      <c r="L806" s="14">
        <f>VENTAS[[#This Row],[Total]]-VENTAS[[#This Row],[Comisión 10%]]-VENTAS[[#This Row],[Costo SIN Comision]]</f>
        <v>5.51</v>
      </c>
      <c r="M806" s="14"/>
    </row>
    <row r="807" ht="20" hidden="1" customHeight="1" spans="1:13">
      <c r="A807" s="10">
        <v>45376</v>
      </c>
      <c r="B807" s="11"/>
      <c r="C807" s="11"/>
      <c r="D807" s="11"/>
      <c r="E807" s="11" t="s">
        <v>77</v>
      </c>
      <c r="F807" s="11" t="str">
        <f>IFERROR(VLOOKUP(VENTAS[[#This Row],[Código del producto Vendido]],STOCK[],5,FALSE),"-")</f>
        <v>Pareo pantalón de malla</v>
      </c>
      <c r="G807" s="11">
        <v>1</v>
      </c>
      <c r="H807" s="14">
        <v>15</v>
      </c>
      <c r="I807" s="14">
        <f>VENTAS[[#This Row],[Cantidad]]*VENTAS[[#This Row],[Precio Venta]]</f>
        <v>15</v>
      </c>
      <c r="J807" s="14">
        <f>IF(VENTAS[[#This Row],[Nombre del Gestor]]&gt;1,VENTAS[[#This Row],[Total]]*10%,0)</f>
        <v>0</v>
      </c>
      <c r="K807" s="14">
        <f>IFERROR(VLOOKUP(VENTAS[[#This Row],[Código del producto Vendido]],STOCK[],16,FALSE)*VENTAS[[#This Row],[Cantidad]]+VLOOKUP(VENTAS[[#This Row],[Código del producto Vendido]],STOCK[],19,FALSE)*VENTAS[[#This Row],[Cantidad]],VENTAS[[#This Row],[Total]])</f>
        <v>9.36055555555556</v>
      </c>
      <c r="L807" s="14">
        <f>VENTAS[[#This Row],[Total]]-VENTAS[[#This Row],[Comisión 10%]]-VENTAS[[#This Row],[Costo SIN Comision]]</f>
        <v>5.63944444444444</v>
      </c>
      <c r="M807" s="14"/>
    </row>
    <row r="808" ht="20" hidden="1" customHeight="1" spans="1:13">
      <c r="A808" s="10">
        <v>45376</v>
      </c>
      <c r="B808" s="11"/>
      <c r="C808" s="11"/>
      <c r="D808" s="11"/>
      <c r="E808" s="11" t="s">
        <v>483</v>
      </c>
      <c r="F808" s="11" t="str">
        <f>IFERROR(VLOOKUP(VENTAS[[#This Row],[Código del producto Vendido]],STOCK[],5,FALSE),"-")</f>
        <v>Bikini estampado cebra</v>
      </c>
      <c r="G808" s="11">
        <v>1</v>
      </c>
      <c r="H808" s="14">
        <v>15</v>
      </c>
      <c r="I808" s="14">
        <f>VENTAS[[#This Row],[Cantidad]]*VENTAS[[#This Row],[Precio Venta]]</f>
        <v>15</v>
      </c>
      <c r="J808" s="14">
        <f>IF(VENTAS[[#This Row],[Nombre del Gestor]]&gt;1,VENTAS[[#This Row],[Total]]*10%,0)</f>
        <v>0</v>
      </c>
      <c r="K808" s="14">
        <f>IFERROR(VLOOKUP(VENTAS[[#This Row],[Código del producto Vendido]],STOCK[],16,FALSE)*VENTAS[[#This Row],[Cantidad]]+VLOOKUP(VENTAS[[#This Row],[Código del producto Vendido]],STOCK[],19,FALSE)*VENTAS[[#This Row],[Cantidad]],VENTAS[[#This Row],[Total]])</f>
        <v>8.78722222222222</v>
      </c>
      <c r="L808" s="14">
        <f>VENTAS[[#This Row],[Total]]-VENTAS[[#This Row],[Comisión 10%]]-VENTAS[[#This Row],[Costo SIN Comision]]</f>
        <v>6.21277777777778</v>
      </c>
      <c r="M808" s="14"/>
    </row>
    <row r="809" ht="20" hidden="1" customHeight="1" spans="1:13">
      <c r="A809" s="10">
        <v>45376</v>
      </c>
      <c r="B809" s="11"/>
      <c r="C809" s="11"/>
      <c r="D809" s="11"/>
      <c r="E809" s="11" t="s">
        <v>499</v>
      </c>
      <c r="F809" s="11" t="str">
        <f>IFERROR(VLOOKUP(VENTAS[[#This Row],[Código del producto Vendido]],STOCK[],5,FALSE),"-")</f>
        <v>Vestido Bohemio</v>
      </c>
      <c r="G809" s="11">
        <v>1</v>
      </c>
      <c r="H809" s="14">
        <v>25</v>
      </c>
      <c r="I809" s="14">
        <f>VENTAS[[#This Row],[Cantidad]]*VENTAS[[#This Row],[Precio Venta]]</f>
        <v>25</v>
      </c>
      <c r="J809" s="14">
        <f>IF(VENTAS[[#This Row],[Nombre del Gestor]]&gt;1,VENTAS[[#This Row],[Total]]*10%,0)</f>
        <v>0</v>
      </c>
      <c r="K809" s="14">
        <f>IFERROR(VLOOKUP(VENTAS[[#This Row],[Código del producto Vendido]],STOCK[],16,FALSE)*VENTAS[[#This Row],[Cantidad]]+VLOOKUP(VENTAS[[#This Row],[Código del producto Vendido]],STOCK[],19,FALSE)*VENTAS[[#This Row],[Cantidad]],VENTAS[[#This Row],[Total]])</f>
        <v>10.1894444444444</v>
      </c>
      <c r="L809" s="14">
        <f>VENTAS[[#This Row],[Total]]-VENTAS[[#This Row],[Comisión 10%]]-VENTAS[[#This Row],[Costo SIN Comision]]</f>
        <v>14.8105555555556</v>
      </c>
      <c r="M809" s="14"/>
    </row>
    <row r="810" ht="20" hidden="1" customHeight="1" spans="1:13">
      <c r="A810" s="10">
        <v>45376</v>
      </c>
      <c r="B810" s="11"/>
      <c r="C810" s="11"/>
      <c r="D810" s="11"/>
      <c r="E810" s="11" t="s">
        <v>1399</v>
      </c>
      <c r="F810" s="11" t="str">
        <f>IFERROR(VLOOKUP(VENTAS[[#This Row],[Código del producto Vendido]],STOCK[],5,FALSE),"-")</f>
        <v>Camiseta acanalada de bajo asimétrico blanco</v>
      </c>
      <c r="G810" s="11">
        <v>1</v>
      </c>
      <c r="H810" s="14">
        <v>12</v>
      </c>
      <c r="I810" s="14">
        <f>VENTAS[[#This Row],[Cantidad]]*VENTAS[[#This Row],[Precio Venta]]</f>
        <v>12</v>
      </c>
      <c r="J810" s="14">
        <f>IF(VENTAS[[#This Row],[Nombre del Gestor]]&gt;1,VENTAS[[#This Row],[Total]]*10%,0)</f>
        <v>0</v>
      </c>
      <c r="K810" s="14">
        <f>IFERROR(VLOOKUP(VENTAS[[#This Row],[Código del producto Vendido]],STOCK[],16,FALSE)*VENTAS[[#This Row],[Cantidad]]+VLOOKUP(VENTAS[[#This Row],[Código del producto Vendido]],STOCK[],19,FALSE)*VENTAS[[#This Row],[Cantidad]],VENTAS[[#This Row],[Total]])</f>
        <v>9</v>
      </c>
      <c r="L810" s="14">
        <f>VENTAS[[#This Row],[Total]]-VENTAS[[#This Row],[Comisión 10%]]-VENTAS[[#This Row],[Costo SIN Comision]]</f>
        <v>3</v>
      </c>
      <c r="M810" s="14"/>
    </row>
    <row r="811" ht="20" hidden="1" customHeight="1" spans="1:13">
      <c r="A811" s="10">
        <v>45378</v>
      </c>
      <c r="B811" s="11"/>
      <c r="C811" s="11"/>
      <c r="D811" s="11"/>
      <c r="E811" s="11" t="s">
        <v>1531</v>
      </c>
      <c r="F811" s="11" t="str">
        <f>IFERROR(VLOOKUP(VENTAS[[#This Row],[Código del producto Vendido]],STOCK[],5,FALSE),"-")</f>
        <v>Bolso de Mimbre</v>
      </c>
      <c r="G811" s="11">
        <v>1</v>
      </c>
      <c r="H811" s="14">
        <v>22</v>
      </c>
      <c r="I811" s="14">
        <f>VENTAS[[#This Row],[Cantidad]]*VENTAS[[#This Row],[Precio Venta]]</f>
        <v>22</v>
      </c>
      <c r="J811" s="14">
        <f>IF(VENTAS[[#This Row],[Nombre del Gestor]]&gt;1,VENTAS[[#This Row],[Total]]*10%,0)</f>
        <v>0</v>
      </c>
      <c r="K811" s="14">
        <f>IFERROR(VLOOKUP(VENTAS[[#This Row],[Código del producto Vendido]],STOCK[],16,FALSE)*VENTAS[[#This Row],[Cantidad]]+VLOOKUP(VENTAS[[#This Row],[Código del producto Vendido]],STOCK[],19,FALSE)*VENTAS[[#This Row],[Cantidad]],VENTAS[[#This Row],[Total]])</f>
        <v>14.5</v>
      </c>
      <c r="L811" s="14">
        <f>VENTAS[[#This Row],[Total]]-VENTAS[[#This Row],[Comisión 10%]]-VENTAS[[#This Row],[Costo SIN Comision]]</f>
        <v>7.5</v>
      </c>
      <c r="M811" s="14"/>
    </row>
    <row r="812" ht="20" hidden="1" customHeight="1" spans="1:13">
      <c r="A812" s="10">
        <v>45378</v>
      </c>
      <c r="B812" s="11"/>
      <c r="C812" s="11"/>
      <c r="D812" s="11" t="s">
        <v>4241</v>
      </c>
      <c r="E812" s="11" t="s">
        <v>1531</v>
      </c>
      <c r="F812" s="11" t="str">
        <f>IFERROR(VLOOKUP(VENTAS[[#This Row],[Código del producto Vendido]],STOCK[],5,FALSE),"-")</f>
        <v>Bolso de Mimbre</v>
      </c>
      <c r="G812" s="11">
        <v>1</v>
      </c>
      <c r="H812" s="14">
        <v>22</v>
      </c>
      <c r="I812" s="14">
        <f>VENTAS[[#This Row],[Cantidad]]*VENTAS[[#This Row],[Precio Venta]]</f>
        <v>22</v>
      </c>
      <c r="J812" s="14">
        <f>IF(VENTAS[[#This Row],[Nombre del Gestor]]&gt;1,VENTAS[[#This Row],[Total]]*10%,0)</f>
        <v>2.2</v>
      </c>
      <c r="K812" s="14">
        <f>IFERROR(VLOOKUP(VENTAS[[#This Row],[Código del producto Vendido]],STOCK[],16,FALSE)*VENTAS[[#This Row],[Cantidad]]+VLOOKUP(VENTAS[[#This Row],[Código del producto Vendido]],STOCK[],19,FALSE)*VENTAS[[#This Row],[Cantidad]],VENTAS[[#This Row],[Total]])</f>
        <v>14.5</v>
      </c>
      <c r="L812" s="14">
        <f>VENTAS[[#This Row],[Total]]-VENTAS[[#This Row],[Comisión 10%]]-VENTAS[[#This Row],[Costo SIN Comision]]</f>
        <v>5.3</v>
      </c>
      <c r="M812" s="14"/>
    </row>
    <row r="813" ht="20" hidden="1" customHeight="1" spans="1:13">
      <c r="A813" s="10">
        <v>45378</v>
      </c>
      <c r="B813" s="11"/>
      <c r="C813" s="11"/>
      <c r="D813" s="11"/>
      <c r="E813" s="11" t="s">
        <v>1012</v>
      </c>
      <c r="F813" s="11" t="str">
        <f>IFERROR(VLOOKUP(VENTAS[[#This Row],[Código del producto Vendido]],STOCK[],5,FALSE),"-")</f>
        <v>Maxi Vestido con Bolsillo</v>
      </c>
      <c r="G813" s="11">
        <v>1</v>
      </c>
      <c r="H813" s="14">
        <v>35</v>
      </c>
      <c r="I813" s="14">
        <f>VENTAS[[#This Row],[Cantidad]]*VENTAS[[#This Row],[Precio Venta]]</f>
        <v>35</v>
      </c>
      <c r="J813" s="14">
        <f>IF(VENTAS[[#This Row],[Nombre del Gestor]]&gt;1,VENTAS[[#This Row],[Total]]*10%,0)</f>
        <v>0</v>
      </c>
      <c r="K813" s="14">
        <f>IFERROR(VLOOKUP(VENTAS[[#This Row],[Código del producto Vendido]],STOCK[],16,FALSE)*VENTAS[[#This Row],[Cantidad]]+VLOOKUP(VENTAS[[#This Row],[Código del producto Vendido]],STOCK[],19,FALSE)*VENTAS[[#This Row],[Cantidad]],VENTAS[[#This Row],[Total]])</f>
        <v>24.2045454545455</v>
      </c>
      <c r="L813" s="14">
        <f>VENTAS[[#This Row],[Total]]-VENTAS[[#This Row],[Comisión 10%]]-VENTAS[[#This Row],[Costo SIN Comision]]</f>
        <v>10.7954545454545</v>
      </c>
      <c r="M813" s="14"/>
    </row>
    <row r="814" ht="20" hidden="1" customHeight="1" spans="1:13">
      <c r="A814" s="10">
        <v>45380</v>
      </c>
      <c r="B814" s="11"/>
      <c r="C814" s="11"/>
      <c r="D814" s="11" t="s">
        <v>4129</v>
      </c>
      <c r="E814" s="11" t="s">
        <v>1759</v>
      </c>
      <c r="F814" s="11" t="str">
        <f>IFERROR(VLOOKUP(VENTAS[[#This Row],[Código del producto Vendido]],STOCK[],5,FALSE),"-")</f>
        <v>Zapatillas blanco casual</v>
      </c>
      <c r="G814" s="11">
        <v>1</v>
      </c>
      <c r="H814" s="14">
        <v>35</v>
      </c>
      <c r="I814" s="14">
        <f>VENTAS[[#This Row],[Cantidad]]*VENTAS[[#This Row],[Precio Venta]]</f>
        <v>35</v>
      </c>
      <c r="J814" s="14">
        <f>IF(VENTAS[[#This Row],[Nombre del Gestor]]&gt;1,VENTAS[[#This Row],[Total]]*10%,0)</f>
        <v>3.5</v>
      </c>
      <c r="K814" s="14">
        <f>IFERROR(VLOOKUP(VENTAS[[#This Row],[Código del producto Vendido]],STOCK[],16,FALSE)*VENTAS[[#This Row],[Cantidad]]+VLOOKUP(VENTAS[[#This Row],[Código del producto Vendido]],STOCK[],19,FALSE)*VENTAS[[#This Row],[Cantidad]],VENTAS[[#This Row],[Total]])</f>
        <v>25.4705882352941</v>
      </c>
      <c r="L814" s="14">
        <f>VENTAS[[#This Row],[Total]]-VENTAS[[#This Row],[Comisión 10%]]-VENTAS[[#This Row],[Costo SIN Comision]]</f>
        <v>6.0294117647059</v>
      </c>
      <c r="M814" s="14"/>
    </row>
    <row r="815" ht="20" hidden="1" customHeight="1" spans="1:13">
      <c r="A815" s="10">
        <v>45381</v>
      </c>
      <c r="B815" s="11"/>
      <c r="C815" s="11"/>
      <c r="D815" s="11" t="s">
        <v>4241</v>
      </c>
      <c r="E815" s="11" t="s">
        <v>1623</v>
      </c>
      <c r="F815" s="11" t="str">
        <f>IFERROR(VLOOKUP(VENTAS[[#This Row],[Código del producto Vendido]],STOCK[],5,FALSE),"-")</f>
        <v>Sandalias minimalistas de tacón</v>
      </c>
      <c r="G815" s="11">
        <v>1</v>
      </c>
      <c r="H815" s="14">
        <v>39</v>
      </c>
      <c r="I815" s="14">
        <f>VENTAS[[#This Row],[Cantidad]]*VENTAS[[#This Row],[Precio Venta]]</f>
        <v>39</v>
      </c>
      <c r="J815" s="14">
        <f>IF(VENTAS[[#This Row],[Nombre del Gestor]]&gt;1,VENTAS[[#This Row],[Total]]*10%,0)</f>
        <v>3.9</v>
      </c>
      <c r="K815" s="14">
        <f>IFERROR(VLOOKUP(VENTAS[[#This Row],[Código del producto Vendido]],STOCK[],16,FALSE)*VENTAS[[#This Row],[Cantidad]]+VLOOKUP(VENTAS[[#This Row],[Código del producto Vendido]],STOCK[],19,FALSE)*VENTAS[[#This Row],[Cantidad]],VENTAS[[#This Row],[Total]])</f>
        <v>20.86</v>
      </c>
      <c r="L815" s="14">
        <f>VENTAS[[#This Row],[Total]]-VENTAS[[#This Row],[Comisión 10%]]-VENTAS[[#This Row],[Costo SIN Comision]]</f>
        <v>14.24</v>
      </c>
      <c r="M815" s="14"/>
    </row>
    <row r="816" ht="20" hidden="1" customHeight="1" spans="1:13">
      <c r="A816" s="10">
        <v>45381</v>
      </c>
      <c r="B816" s="11"/>
      <c r="C816" s="11"/>
      <c r="D816" s="11" t="s">
        <v>4241</v>
      </c>
      <c r="E816" s="11" t="s">
        <v>1728</v>
      </c>
      <c r="F816" s="11" t="str">
        <f>IFERROR(VLOOKUP(VENTAS[[#This Row],[Código del producto Vendido]],STOCK[],5,FALSE),"-")</f>
        <v>Zapato de punta fina y Tacón Cuadrado</v>
      </c>
      <c r="G816" s="11">
        <v>1</v>
      </c>
      <c r="H816" s="14">
        <v>40</v>
      </c>
      <c r="I816" s="14">
        <f>VENTAS[[#This Row],[Cantidad]]*VENTAS[[#This Row],[Precio Venta]]</f>
        <v>40</v>
      </c>
      <c r="J816" s="14">
        <f>IF(VENTAS[[#This Row],[Nombre del Gestor]]&gt;1,VENTAS[[#This Row],[Total]]*10%,0)</f>
        <v>4</v>
      </c>
      <c r="K816" s="14">
        <f>IFERROR(VLOOKUP(VENTAS[[#This Row],[Código del producto Vendido]],STOCK[],16,FALSE)*VENTAS[[#This Row],[Cantidad]]+VLOOKUP(VENTAS[[#This Row],[Código del producto Vendido]],STOCK[],19,FALSE)*VENTAS[[#This Row],[Cantidad]],VENTAS[[#This Row],[Total]])</f>
        <v>27.5</v>
      </c>
      <c r="L816" s="14">
        <f>VENTAS[[#This Row],[Total]]-VENTAS[[#This Row],[Comisión 10%]]-VENTAS[[#This Row],[Costo SIN Comision]]</f>
        <v>8.5</v>
      </c>
      <c r="M816" s="14"/>
    </row>
    <row r="817" ht="20" hidden="1" customHeight="1" spans="1:13">
      <c r="A817" s="10">
        <v>45381</v>
      </c>
      <c r="B817" s="11"/>
      <c r="C817" s="11"/>
      <c r="D817" s="11" t="s">
        <v>4241</v>
      </c>
      <c r="E817" s="11" t="s">
        <v>1684</v>
      </c>
      <c r="F817" s="11" t="str">
        <f>IFERROR(VLOOKUP(VENTAS[[#This Row],[Código del producto Vendido]],STOCK[],5,FALSE),"-")</f>
        <v>Vestido de mangas en contraste</v>
      </c>
      <c r="G817" s="11">
        <v>1</v>
      </c>
      <c r="H817" s="14">
        <v>28</v>
      </c>
      <c r="I817" s="14">
        <f>VENTAS[[#This Row],[Cantidad]]*VENTAS[[#This Row],[Precio Venta]]</f>
        <v>28</v>
      </c>
      <c r="J817" s="14">
        <f>IF(VENTAS[[#This Row],[Nombre del Gestor]]&gt;1,VENTAS[[#This Row],[Total]]*10%,0)</f>
        <v>2.8</v>
      </c>
      <c r="K817" s="14">
        <f>IFERROR(VLOOKUP(VENTAS[[#This Row],[Código del producto Vendido]],STOCK[],16,FALSE)*VENTAS[[#This Row],[Cantidad]]+VLOOKUP(VENTAS[[#This Row],[Código del producto Vendido]],STOCK[],19,FALSE)*VENTAS[[#This Row],[Cantidad]],VENTAS[[#This Row],[Total]])</f>
        <v>17.25</v>
      </c>
      <c r="L817" s="14">
        <f>VENTAS[[#This Row],[Total]]-VENTAS[[#This Row],[Comisión 10%]]-VENTAS[[#This Row],[Costo SIN Comision]]</f>
        <v>7.95</v>
      </c>
      <c r="M817" s="14"/>
    </row>
    <row r="818" ht="20" hidden="1" customHeight="1" spans="1:13">
      <c r="A818" s="10">
        <v>45382</v>
      </c>
      <c r="B818" s="11"/>
      <c r="C818" s="11"/>
      <c r="D818" s="11"/>
      <c r="E818" s="11" t="s">
        <v>102</v>
      </c>
      <c r="F818" s="11" t="str">
        <f>IFERROR(VLOOKUP(VENTAS[[#This Row],[Código del producto Vendido]],STOCK[],5,FALSE),"-")</f>
        <v>Pareo pantalón de malla</v>
      </c>
      <c r="G818" s="11">
        <v>1</v>
      </c>
      <c r="H818" s="14">
        <v>15</v>
      </c>
      <c r="I818" s="14">
        <f>VENTAS[[#This Row],[Cantidad]]*VENTAS[[#This Row],[Precio Venta]]</f>
        <v>15</v>
      </c>
      <c r="J818" s="14">
        <f>IF(VENTAS[[#This Row],[Nombre del Gestor]]&gt;1,VENTAS[[#This Row],[Total]]*10%,0)</f>
        <v>0</v>
      </c>
      <c r="K818" s="14">
        <f>IFERROR(VLOOKUP(VENTAS[[#This Row],[Código del producto Vendido]],STOCK[],16,FALSE)*VENTAS[[#This Row],[Cantidad]]+VLOOKUP(VENTAS[[#This Row],[Código del producto Vendido]],STOCK[],19,FALSE)*VENTAS[[#This Row],[Cantidad]],VENTAS[[#This Row],[Total]])</f>
        <v>9.78555555555556</v>
      </c>
      <c r="L818" s="14">
        <f>VENTAS[[#This Row],[Total]]-VENTAS[[#This Row],[Comisión 10%]]-VENTAS[[#This Row],[Costo SIN Comision]]</f>
        <v>5.21444444444444</v>
      </c>
      <c r="M818" s="14"/>
    </row>
    <row r="819" ht="20" hidden="1" customHeight="1" spans="1:13">
      <c r="A819" s="11"/>
      <c r="B819" s="11"/>
      <c r="C819" s="11" t="s">
        <v>4240</v>
      </c>
      <c r="D819" s="11"/>
      <c r="E819" s="11" t="s">
        <v>1740</v>
      </c>
      <c r="F819" s="11" t="str">
        <f>IFERROR(VLOOKUP(VENTAS[[#This Row],[Código del producto Vendido]],STOCK[],5,FALSE),"-")</f>
        <v>Chaleco de traje Blanco</v>
      </c>
      <c r="G819" s="11">
        <v>1</v>
      </c>
      <c r="H819" s="14">
        <v>25</v>
      </c>
      <c r="I819" s="14">
        <f>VENTAS[[#This Row],[Cantidad]]*VENTAS[[#This Row],[Precio Venta]]</f>
        <v>25</v>
      </c>
      <c r="J819" s="14">
        <f>IF(VENTAS[[#This Row],[Nombre del Gestor]]&gt;1,VENTAS[[#This Row],[Total]]*10%,0)</f>
        <v>0</v>
      </c>
      <c r="K819" s="14">
        <f>IFERROR(VLOOKUP(VENTAS[[#This Row],[Código del producto Vendido]],STOCK[],16,FALSE)*VENTAS[[#This Row],[Cantidad]]+VLOOKUP(VENTAS[[#This Row],[Código del producto Vendido]],STOCK[],19,FALSE)*VENTAS[[#This Row],[Cantidad]],VENTAS[[#This Row],[Total]])</f>
        <v>17.9411764705882</v>
      </c>
      <c r="L819" s="14">
        <f>VENTAS[[#This Row],[Total]]-VENTAS[[#This Row],[Comisión 10%]]-VENTAS[[#This Row],[Costo SIN Comision]]</f>
        <v>7.0588235294118</v>
      </c>
      <c r="M819" s="14"/>
    </row>
    <row r="820" ht="20" hidden="1" customHeight="1" spans="1:13">
      <c r="A820" s="10">
        <v>45381</v>
      </c>
      <c r="B820" s="11"/>
      <c r="C820" s="11"/>
      <c r="D820" s="11"/>
      <c r="E820" s="11" t="s">
        <v>1586</v>
      </c>
      <c r="F820" s="11" t="str">
        <f>IFERROR(VLOOKUP(VENTAS[[#This Row],[Código del producto Vendido]],STOCK[],5,FALSE),"-")</f>
        <v>Sandalias de hebilla</v>
      </c>
      <c r="G820" s="11">
        <v>1</v>
      </c>
      <c r="H820" s="14">
        <v>18</v>
      </c>
      <c r="I820" s="14">
        <f>VENTAS[[#This Row],[Cantidad]]*VENTAS[[#This Row],[Precio Venta]]</f>
        <v>18</v>
      </c>
      <c r="J820" s="14">
        <f>IF(VENTAS[[#This Row],[Nombre del Gestor]]&gt;1,VENTAS[[#This Row],[Total]]*10%,0)</f>
        <v>0</v>
      </c>
      <c r="K820" s="14">
        <f>IFERROR(VLOOKUP(VENTAS[[#This Row],[Código del producto Vendido]],STOCK[],16,FALSE)*VENTAS[[#This Row],[Cantidad]]+VLOOKUP(VENTAS[[#This Row],[Código del producto Vendido]],STOCK[],19,FALSE)*VENTAS[[#This Row],[Cantidad]],VENTAS[[#This Row],[Total]])</f>
        <v>11</v>
      </c>
      <c r="L820" s="14">
        <f>VENTAS[[#This Row],[Total]]-VENTAS[[#This Row],[Comisión 10%]]-VENTAS[[#This Row],[Costo SIN Comision]]</f>
        <v>7</v>
      </c>
      <c r="M820" s="14"/>
    </row>
    <row r="821" ht="20" hidden="1" customHeight="1" spans="1:13">
      <c r="A821" s="10">
        <v>45381</v>
      </c>
      <c r="B821" s="11"/>
      <c r="C821" s="11"/>
      <c r="D821" s="11"/>
      <c r="E821" s="11" t="s">
        <v>1524</v>
      </c>
      <c r="F821" s="11" t="str">
        <f>IFERROR(VLOOKUP(VENTAS[[#This Row],[Código del producto Vendido]],STOCK[],5,FALSE),"-")</f>
        <v>Zapato de punta fina y Tacón Cuadrado</v>
      </c>
      <c r="G821" s="11">
        <v>1</v>
      </c>
      <c r="H821" s="14">
        <v>45</v>
      </c>
      <c r="I821" s="14">
        <f>VENTAS[[#This Row],[Cantidad]]*VENTAS[[#This Row],[Precio Venta]]</f>
        <v>45</v>
      </c>
      <c r="J821" s="14">
        <f>IF(VENTAS[[#This Row],[Nombre del Gestor]]&gt;1,VENTAS[[#This Row],[Total]]*10%,0)</f>
        <v>0</v>
      </c>
      <c r="K821" s="14">
        <f>IFERROR(VLOOKUP(VENTAS[[#This Row],[Código del producto Vendido]],STOCK[],16,FALSE)*VENTAS[[#This Row],[Cantidad]]+VLOOKUP(VENTAS[[#This Row],[Código del producto Vendido]],STOCK[],19,FALSE)*VENTAS[[#This Row],[Cantidad]],VENTAS[[#This Row],[Total]])</f>
        <v>31</v>
      </c>
      <c r="L821" s="14">
        <f>VENTAS[[#This Row],[Total]]-VENTAS[[#This Row],[Comisión 10%]]-VENTAS[[#This Row],[Costo SIN Comision]]</f>
        <v>14</v>
      </c>
      <c r="M821" s="14"/>
    </row>
    <row r="822" ht="20" hidden="1" customHeight="1" spans="1:13">
      <c r="A822" s="10">
        <v>45384</v>
      </c>
      <c r="B822" s="11"/>
      <c r="C822" s="11"/>
      <c r="D822" s="11"/>
      <c r="E822" s="11" t="s">
        <v>1762</v>
      </c>
      <c r="F822" s="11" t="str">
        <f>IFERROR(VLOOKUP(VENTAS[[#This Row],[Código del producto Vendido]],STOCK[],5,FALSE),"-")</f>
        <v>Zapatillas blanco casual</v>
      </c>
      <c r="G822" s="11">
        <v>1</v>
      </c>
      <c r="H822" s="14">
        <v>35</v>
      </c>
      <c r="I822" s="14">
        <f>VENTAS[[#This Row],[Cantidad]]*VENTAS[[#This Row],[Precio Venta]]</f>
        <v>35</v>
      </c>
      <c r="J822" s="14">
        <f>IF(VENTAS[[#This Row],[Nombre del Gestor]]&gt;1,VENTAS[[#This Row],[Total]]*10%,0)</f>
        <v>0</v>
      </c>
      <c r="K822" s="14">
        <f>IFERROR(VLOOKUP(VENTAS[[#This Row],[Código del producto Vendido]],STOCK[],16,FALSE)*VENTAS[[#This Row],[Cantidad]]+VLOOKUP(VENTAS[[#This Row],[Código del producto Vendido]],STOCK[],19,FALSE)*VENTAS[[#This Row],[Cantidad]],VENTAS[[#This Row],[Total]])</f>
        <v>25.4705882352941</v>
      </c>
      <c r="L822" s="14">
        <f>VENTAS[[#This Row],[Total]]-VENTAS[[#This Row],[Comisión 10%]]-VENTAS[[#This Row],[Costo SIN Comision]]</f>
        <v>9.5294117647059</v>
      </c>
      <c r="M822" s="14"/>
    </row>
    <row r="823" ht="20" hidden="1" customHeight="1" spans="1:13">
      <c r="A823" s="10">
        <v>45384</v>
      </c>
      <c r="B823" s="11"/>
      <c r="C823" s="11"/>
      <c r="D823" s="11" t="s">
        <v>4241</v>
      </c>
      <c r="E823" s="11" t="s">
        <v>31</v>
      </c>
      <c r="F823" s="11" t="str">
        <f>IFERROR(VLOOKUP(VENTAS[[#This Row],[Código del producto Vendido]],STOCK[],5,FALSE),"-")</f>
        <v>Pareo falda </v>
      </c>
      <c r="G823" s="11">
        <v>1</v>
      </c>
      <c r="H823" s="14">
        <v>8</v>
      </c>
      <c r="I823" s="14">
        <f>VENTAS[[#This Row],[Cantidad]]*VENTAS[[#This Row],[Precio Venta]]</f>
        <v>8</v>
      </c>
      <c r="J823" s="14">
        <f>IF(VENTAS[[#This Row],[Nombre del Gestor]]&gt;1,VENTAS[[#This Row],[Total]]*10%,0)</f>
        <v>0.8</v>
      </c>
      <c r="K823" s="14">
        <f>IFERROR(VLOOKUP(VENTAS[[#This Row],[Código del producto Vendido]],STOCK[],16,FALSE)*VENTAS[[#This Row],[Cantidad]]+VLOOKUP(VENTAS[[#This Row],[Código del producto Vendido]],STOCK[],19,FALSE)*VENTAS[[#This Row],[Cantidad]],VENTAS[[#This Row],[Total]])</f>
        <v>4.33722222222222</v>
      </c>
      <c r="L823" s="14">
        <f>VENTAS[[#This Row],[Total]]-VENTAS[[#This Row],[Comisión 10%]]-VENTAS[[#This Row],[Costo SIN Comision]]</f>
        <v>2.86277777777778</v>
      </c>
      <c r="M823" s="14"/>
    </row>
    <row r="824" ht="20" hidden="1" customHeight="1" spans="1:13">
      <c r="A824" s="10">
        <v>45384</v>
      </c>
      <c r="B824" s="11"/>
      <c r="C824" s="11"/>
      <c r="D824" s="11" t="s">
        <v>4241</v>
      </c>
      <c r="E824" s="11" t="s">
        <v>1786</v>
      </c>
      <c r="F824" s="11" t="str">
        <f>IFERROR(VLOOKUP(VENTAS[[#This Row],[Código del producto Vendido]],STOCK[],5,FALSE),"-")</f>
        <v>Traje de baño blanco sexy</v>
      </c>
      <c r="G824" s="11">
        <v>1</v>
      </c>
      <c r="H824" s="14">
        <v>20</v>
      </c>
      <c r="I824" s="14">
        <f>VENTAS[[#This Row],[Cantidad]]*VENTAS[[#This Row],[Precio Venta]]</f>
        <v>20</v>
      </c>
      <c r="J824" s="14">
        <f>IF(VENTAS[[#This Row],[Nombre del Gestor]]&gt;1,VENTAS[[#This Row],[Total]]*10%,0)</f>
        <v>2</v>
      </c>
      <c r="K824" s="14">
        <f>IFERROR(VLOOKUP(VENTAS[[#This Row],[Código del producto Vendido]],STOCK[],16,FALSE)*VENTAS[[#This Row],[Cantidad]]+VLOOKUP(VENTAS[[#This Row],[Código del producto Vendido]],STOCK[],19,FALSE)*VENTAS[[#This Row],[Cantidad]],VENTAS[[#This Row],[Total]])</f>
        <v>9.58823529411765</v>
      </c>
      <c r="L824" s="14">
        <f>VENTAS[[#This Row],[Total]]-VENTAS[[#This Row],[Comisión 10%]]-VENTAS[[#This Row],[Costo SIN Comision]]</f>
        <v>8.41176470588235</v>
      </c>
      <c r="M824" s="14"/>
    </row>
    <row r="825" ht="20" hidden="1" customHeight="1" spans="1:13">
      <c r="A825" s="10">
        <v>45386</v>
      </c>
      <c r="B825" s="11"/>
      <c r="C825" s="11"/>
      <c r="D825" s="11" t="s">
        <v>4241</v>
      </c>
      <c r="E825" s="11" t="s">
        <v>827</v>
      </c>
      <c r="F825" s="11" t="str">
        <f>IFERROR(VLOOKUP(VENTAS[[#This Row],[Código del producto Vendido]],STOCK[],5,FALSE),"-")</f>
        <v>Bikini cintura alta</v>
      </c>
      <c r="G825" s="11">
        <v>1</v>
      </c>
      <c r="H825" s="14">
        <v>12</v>
      </c>
      <c r="I825" s="14">
        <f>VENTAS[[#This Row],[Cantidad]]*VENTAS[[#This Row],[Precio Venta]]</f>
        <v>12</v>
      </c>
      <c r="J825" s="14">
        <f>IF(VENTAS[[#This Row],[Nombre del Gestor]]&gt;1,VENTAS[[#This Row],[Total]]*10%,0)</f>
        <v>1.2</v>
      </c>
      <c r="K825" s="14">
        <f>IFERROR(VLOOKUP(VENTAS[[#This Row],[Código del producto Vendido]],STOCK[],16,FALSE)*VENTAS[[#This Row],[Cantidad]]+VLOOKUP(VENTAS[[#This Row],[Código del producto Vendido]],STOCK[],19,FALSE)*VENTAS[[#This Row],[Cantidad]],VENTAS[[#This Row],[Total]])</f>
        <v>7.05555555555556</v>
      </c>
      <c r="L825" s="14">
        <f>VENTAS[[#This Row],[Total]]-VENTAS[[#This Row],[Comisión 10%]]-VENTAS[[#This Row],[Costo SIN Comision]]</f>
        <v>3.74444444444444</v>
      </c>
      <c r="M825" s="14"/>
    </row>
    <row r="826" ht="20" hidden="1" customHeight="1" spans="1:13">
      <c r="A826" s="10" t="s">
        <v>4225</v>
      </c>
      <c r="B826" s="11"/>
      <c r="C826" s="11" t="s">
        <v>4246</v>
      </c>
      <c r="D826" s="11"/>
      <c r="E826" s="11" t="s">
        <v>1742</v>
      </c>
      <c r="F826" s="11" t="str">
        <f>IFERROR(VLOOKUP(VENTAS[[#This Row],[Código del producto Vendido]],STOCK[],5,FALSE),"-")</f>
        <v>Kimono Dazy Elegante</v>
      </c>
      <c r="G826" s="11">
        <v>1</v>
      </c>
      <c r="H826" s="14">
        <v>0</v>
      </c>
      <c r="I826" s="14">
        <f>VENTAS[[#This Row],[Cantidad]]*VENTAS[[#This Row],[Precio Venta]]</f>
        <v>0</v>
      </c>
      <c r="J826" s="14">
        <f>IF(VENTAS[[#This Row],[Nombre del Gestor]]&gt;1,VENTAS[[#This Row],[Total]]*10%,0)</f>
        <v>0</v>
      </c>
      <c r="K826" s="14">
        <f>IFERROR(VLOOKUP(VENTAS[[#This Row],[Código del producto Vendido]],STOCK[],16,FALSE)*VENTAS[[#This Row],[Cantidad]]+VLOOKUP(VENTAS[[#This Row],[Código del producto Vendido]],STOCK[],19,FALSE)*VENTAS[[#This Row],[Cantidad]],VENTAS[[#This Row],[Total]])</f>
        <v>13.3529411764706</v>
      </c>
      <c r="L826" s="14">
        <f>VENTAS[[#This Row],[Total]]-VENTAS[[#This Row],[Comisión 10%]]-VENTAS[[#This Row],[Costo SIN Comision]]</f>
        <v>-13.3529411764706</v>
      </c>
      <c r="M826" s="14"/>
    </row>
    <row r="827" ht="20" hidden="1" customHeight="1" spans="1:13">
      <c r="A827" s="10" t="s">
        <v>4225</v>
      </c>
      <c r="B827" s="11"/>
      <c r="C827" s="11"/>
      <c r="D827" s="11"/>
      <c r="E827" s="11" t="s">
        <v>1615</v>
      </c>
      <c r="F827" s="11" t="str">
        <f>IFERROR(VLOOKUP(VENTAS[[#This Row],[Código del producto Vendido]],STOCK[],5,FALSE),"-")</f>
        <v>Camisa Modely</v>
      </c>
      <c r="G827" s="11">
        <v>1</v>
      </c>
      <c r="H827" s="14">
        <v>22</v>
      </c>
      <c r="I827" s="14">
        <f>VENTAS[[#This Row],[Cantidad]]*VENTAS[[#This Row],[Precio Venta]]</f>
        <v>22</v>
      </c>
      <c r="J827" s="14">
        <f>IF(VENTAS[[#This Row],[Nombre del Gestor]]&gt;1,VENTAS[[#This Row],[Total]]*10%,0)</f>
        <v>0</v>
      </c>
      <c r="K827" s="14">
        <f>IFERROR(VLOOKUP(VENTAS[[#This Row],[Código del producto Vendido]],STOCK[],16,FALSE)*VENTAS[[#This Row],[Cantidad]]+VLOOKUP(VENTAS[[#This Row],[Código del producto Vendido]],STOCK[],19,FALSE)*VENTAS[[#This Row],[Cantidad]],VENTAS[[#This Row],[Total]])</f>
        <v>9.74</v>
      </c>
      <c r="L827" s="14">
        <f>VENTAS[[#This Row],[Total]]-VENTAS[[#This Row],[Comisión 10%]]-VENTAS[[#This Row],[Costo SIN Comision]]</f>
        <v>12.26</v>
      </c>
      <c r="M827" s="14"/>
    </row>
    <row r="828" ht="20" hidden="1" customHeight="1" spans="1:13">
      <c r="A828" s="10" t="s">
        <v>4225</v>
      </c>
      <c r="B828" s="11"/>
      <c r="C828" s="11"/>
      <c r="D828" s="11"/>
      <c r="E828" s="11" t="s">
        <v>998</v>
      </c>
      <c r="F828" s="11" t="str">
        <f>IFERROR(VLOOKUP(VENTAS[[#This Row],[Código del producto Vendido]],STOCK[],5,FALSE),"-")</f>
        <v>Top Acanalado</v>
      </c>
      <c r="G828" s="11">
        <v>1</v>
      </c>
      <c r="H828" s="14">
        <v>13</v>
      </c>
      <c r="I828" s="14">
        <f>VENTAS[[#This Row],[Cantidad]]*VENTAS[[#This Row],[Precio Venta]]</f>
        <v>13</v>
      </c>
      <c r="J828" s="14">
        <f>IF(VENTAS[[#This Row],[Nombre del Gestor]]&gt;1,VENTAS[[#This Row],[Total]]*10%,0)</f>
        <v>0</v>
      </c>
      <c r="K828" s="14">
        <f>IFERROR(VLOOKUP(VENTAS[[#This Row],[Código del producto Vendido]],STOCK[],16,FALSE)*VENTAS[[#This Row],[Cantidad]]+VLOOKUP(VENTAS[[#This Row],[Código del producto Vendido]],STOCK[],19,FALSE)*VENTAS[[#This Row],[Cantidad]],VENTAS[[#This Row],[Total]])</f>
        <v>9.28</v>
      </c>
      <c r="L828" s="14">
        <f>VENTAS[[#This Row],[Total]]-VENTAS[[#This Row],[Comisión 10%]]-VENTAS[[#This Row],[Costo SIN Comision]]</f>
        <v>3.72</v>
      </c>
      <c r="M828" s="14"/>
    </row>
    <row r="829" ht="20" hidden="1" customHeight="1" spans="1:13">
      <c r="A829" s="10"/>
      <c r="B829" s="11"/>
      <c r="C829" s="11"/>
      <c r="D829" s="11"/>
      <c r="E829" s="11"/>
      <c r="F829" s="11" t="str">
        <f>IFERROR(VLOOKUP(VENTAS[[#This Row],[Código del producto Vendido]],STOCK[],5,FALSE),"-")</f>
        <v>-</v>
      </c>
      <c r="G829" s="11">
        <v>1</v>
      </c>
      <c r="H829" s="14">
        <v>25</v>
      </c>
      <c r="I829" s="14">
        <f>VENTAS[[#This Row],[Cantidad]]*VENTAS[[#This Row],[Precio Venta]]</f>
        <v>25</v>
      </c>
      <c r="J829" s="14">
        <f>IF(VENTAS[[#This Row],[Nombre del Gestor]]&gt;1,VENTAS[[#This Row],[Total]]*10%,0)</f>
        <v>0</v>
      </c>
      <c r="K829" s="14">
        <f>IFERROR(VLOOKUP(VENTAS[[#This Row],[Código del producto Vendido]],STOCK[],16,FALSE)*VENTAS[[#This Row],[Cantidad]]+VLOOKUP(VENTAS[[#This Row],[Código del producto Vendido]],STOCK[],19,FALSE)*VENTAS[[#This Row],[Cantidad]],VENTAS[[#This Row],[Total]])</f>
        <v>25</v>
      </c>
      <c r="L829" s="14">
        <f>VENTAS[[#This Row],[Total]]-VENTAS[[#This Row],[Comisión 10%]]-VENTAS[[#This Row],[Costo SIN Comision]]</f>
        <v>0</v>
      </c>
      <c r="M829" s="14"/>
    </row>
    <row r="830" ht="20" hidden="1" customHeight="1" spans="1:13">
      <c r="A830" s="10">
        <v>45387</v>
      </c>
      <c r="B830" s="11"/>
      <c r="C830" s="11" t="s">
        <v>4247</v>
      </c>
      <c r="D830" s="11" t="s">
        <v>4241</v>
      </c>
      <c r="E830" s="11" t="s">
        <v>64</v>
      </c>
      <c r="F830" s="11" t="str">
        <f>IFERROR(VLOOKUP(VENTAS[[#This Row],[Código del producto Vendido]],STOCK[],5,FALSE),"-")</f>
        <v>Enguatada con protección UV</v>
      </c>
      <c r="G830" s="11">
        <v>1</v>
      </c>
      <c r="H830" s="14">
        <v>17</v>
      </c>
      <c r="I830" s="14">
        <f>VENTAS[[#This Row],[Cantidad]]*VENTAS[[#This Row],[Precio Venta]]</f>
        <v>17</v>
      </c>
      <c r="J830" s="14">
        <f>IF(VENTAS[[#This Row],[Nombre del Gestor]]&gt;1,VENTAS[[#This Row],[Total]]*10%,0)</f>
        <v>1.7</v>
      </c>
      <c r="K830" s="14">
        <f>IFERROR(VLOOKUP(VENTAS[[#This Row],[Código del producto Vendido]],STOCK[],16,FALSE)*VENTAS[[#This Row],[Cantidad]]+VLOOKUP(VENTAS[[#This Row],[Código del producto Vendido]],STOCK[],19,FALSE)*VENTAS[[#This Row],[Cantidad]],VENTAS[[#This Row],[Total]])</f>
        <v>12.3966666666667</v>
      </c>
      <c r="L830" s="14">
        <f>VENTAS[[#This Row],[Total]]-VENTAS[[#This Row],[Comisión 10%]]-VENTAS[[#This Row],[Costo SIN Comision]]</f>
        <v>2.90333333333333</v>
      </c>
      <c r="M830" s="14"/>
    </row>
    <row r="831" ht="20" hidden="1" customHeight="1" spans="1:13">
      <c r="A831" s="10" t="s">
        <v>4225</v>
      </c>
      <c r="B831" s="11"/>
      <c r="C831" s="11"/>
      <c r="D831" s="11"/>
      <c r="E831" s="11" t="s">
        <v>662</v>
      </c>
      <c r="F831" s="11" t="str">
        <f>IFERROR(VLOOKUP(VENTAS[[#This Row],[Código del producto Vendido]],STOCK[],5,FALSE),"-")</f>
        <v>Top Cruzado negro</v>
      </c>
      <c r="G831" s="11">
        <v>2</v>
      </c>
      <c r="H831" s="14">
        <v>9</v>
      </c>
      <c r="I831" s="14">
        <f>VENTAS[[#This Row],[Cantidad]]*VENTAS[[#This Row],[Precio Venta]]</f>
        <v>18</v>
      </c>
      <c r="J831" s="14">
        <f>IF(VENTAS[[#This Row],[Nombre del Gestor]]&gt;1,VENTAS[[#This Row],[Total]]*10%,0)</f>
        <v>0</v>
      </c>
      <c r="K831" s="14">
        <f>IFERROR(VLOOKUP(VENTAS[[#This Row],[Código del producto Vendido]],STOCK[],16,FALSE)*VENTAS[[#This Row],[Cantidad]]+VLOOKUP(VENTAS[[#This Row],[Código del producto Vendido]],STOCK[],19,FALSE)*VENTAS[[#This Row],[Cantidad]],VENTAS[[#This Row],[Total]])</f>
        <v>9.80333333333334</v>
      </c>
      <c r="L831" s="14">
        <f>VENTAS[[#This Row],[Total]]-VENTAS[[#This Row],[Comisión 10%]]-VENTAS[[#This Row],[Costo SIN Comision]]</f>
        <v>8.19666666666666</v>
      </c>
      <c r="M831" s="14"/>
    </row>
    <row r="832" ht="20" hidden="1" customHeight="1" spans="1:13">
      <c r="A832" s="10" t="s">
        <v>4225</v>
      </c>
      <c r="B832" s="11"/>
      <c r="C832" s="11"/>
      <c r="D832" s="11"/>
      <c r="E832" s="11" t="s">
        <v>1670</v>
      </c>
      <c r="F832" s="11" t="str">
        <f>IFERROR(VLOOKUP(VENTAS[[#This Row],[Código del producto Vendido]],STOCK[],5,FALSE),"-")</f>
        <v>Conjunto Albaricoque</v>
      </c>
      <c r="G832" s="11">
        <v>1</v>
      </c>
      <c r="H832" s="14">
        <v>27</v>
      </c>
      <c r="I832" s="14">
        <f>VENTAS[[#This Row],[Cantidad]]*VENTAS[[#This Row],[Precio Venta]]</f>
        <v>27</v>
      </c>
      <c r="J832" s="14">
        <f>IF(VENTAS[[#This Row],[Nombre del Gestor]]&gt;1,VENTAS[[#This Row],[Total]]*10%,0)</f>
        <v>0</v>
      </c>
      <c r="K832" s="14">
        <f>IFERROR(VLOOKUP(VENTAS[[#This Row],[Código del producto Vendido]],STOCK[],16,FALSE)*VENTAS[[#This Row],[Cantidad]]+VLOOKUP(VENTAS[[#This Row],[Código del producto Vendido]],STOCK[],19,FALSE)*VENTAS[[#This Row],[Cantidad]],VENTAS[[#This Row],[Total]])</f>
        <v>13.97</v>
      </c>
      <c r="L832" s="14">
        <f>VENTAS[[#This Row],[Total]]-VENTAS[[#This Row],[Comisión 10%]]-VENTAS[[#This Row],[Costo SIN Comision]]</f>
        <v>13.03</v>
      </c>
      <c r="M832" s="14"/>
    </row>
    <row r="833" ht="20" hidden="1" customHeight="1" spans="1:13">
      <c r="A833" s="10">
        <v>45386</v>
      </c>
      <c r="B833" s="11"/>
      <c r="C833" s="11" t="s">
        <v>4247</v>
      </c>
      <c r="D833" s="11" t="s">
        <v>4241</v>
      </c>
      <c r="E833" s="11" t="s">
        <v>1668</v>
      </c>
      <c r="F833" s="11" t="str">
        <f>IFERROR(VLOOKUP(VENTAS[[#This Row],[Código del producto Vendido]],STOCK[],5,FALSE),"-")</f>
        <v>Vestido cruzado </v>
      </c>
      <c r="G833" s="11">
        <v>1</v>
      </c>
      <c r="H833" s="14">
        <v>23</v>
      </c>
      <c r="I833" s="14">
        <f>VENTAS[[#This Row],[Cantidad]]*VENTAS[[#This Row],[Precio Venta]]</f>
        <v>23</v>
      </c>
      <c r="J833" s="14">
        <f>IF(VENTAS[[#This Row],[Nombre del Gestor]]&gt;1,VENTAS[[#This Row],[Total]]*10%,0)</f>
        <v>2.3</v>
      </c>
      <c r="K833" s="14">
        <f>IFERROR(VLOOKUP(VENTAS[[#This Row],[Código del producto Vendido]],STOCK[],16,FALSE)*VENTAS[[#This Row],[Cantidad]]+VLOOKUP(VENTAS[[#This Row],[Código del producto Vendido]],STOCK[],19,FALSE)*VENTAS[[#This Row],[Cantidad]],VENTAS[[#This Row],[Total]])</f>
        <v>14.65</v>
      </c>
      <c r="L833" s="14">
        <f>VENTAS[[#This Row],[Total]]-VENTAS[[#This Row],[Comisión 10%]]-VENTAS[[#This Row],[Costo SIN Comision]]</f>
        <v>6.05</v>
      </c>
      <c r="M833" s="14"/>
    </row>
    <row r="834" ht="20" hidden="1" customHeight="1" spans="1:13">
      <c r="A834" s="10">
        <v>45387</v>
      </c>
      <c r="B834" s="11"/>
      <c r="C834" s="11" t="s">
        <v>4247</v>
      </c>
      <c r="D834" s="11" t="s">
        <v>4241</v>
      </c>
      <c r="E834" s="11" t="s">
        <v>412</v>
      </c>
      <c r="F834" s="11" t="str">
        <f>IFERROR(VLOOKUP(VENTAS[[#This Row],[Código del producto Vendido]],STOCK[],5,FALSE),"-")</f>
        <v>Bikini Floral</v>
      </c>
      <c r="G834" s="11">
        <v>1</v>
      </c>
      <c r="H834" s="14">
        <v>22</v>
      </c>
      <c r="I834" s="14">
        <f>VENTAS[[#This Row],[Cantidad]]*VENTAS[[#This Row],[Precio Venta]]</f>
        <v>22</v>
      </c>
      <c r="J834" s="14">
        <f>IF(VENTAS[[#This Row],[Nombre del Gestor]]&gt;1,VENTAS[[#This Row],[Total]]*10%,0)</f>
        <v>2.2</v>
      </c>
      <c r="K834" s="14">
        <f>IFERROR(VLOOKUP(VENTAS[[#This Row],[Código del producto Vendido]],STOCK[],16,FALSE)*VENTAS[[#This Row],[Cantidad]]+VLOOKUP(VENTAS[[#This Row],[Código del producto Vendido]],STOCK[],19,FALSE)*VENTAS[[#This Row],[Cantidad]],VENTAS[[#This Row],[Total]])</f>
        <v>13.9444444444444</v>
      </c>
      <c r="L834" s="14">
        <f>VENTAS[[#This Row],[Total]]-VENTAS[[#This Row],[Comisión 10%]]-VENTAS[[#This Row],[Costo SIN Comision]]</f>
        <v>5.8555555555556</v>
      </c>
      <c r="M834" s="14"/>
    </row>
    <row r="835" ht="20" hidden="1" customHeight="1" spans="1:13">
      <c r="A835" s="10">
        <v>45387</v>
      </c>
      <c r="B835" s="11"/>
      <c r="C835" s="11" t="s">
        <v>4247</v>
      </c>
      <c r="D835" s="11" t="s">
        <v>4241</v>
      </c>
      <c r="E835" s="11" t="s">
        <v>407</v>
      </c>
      <c r="F835" s="11" t="str">
        <f>IFERROR(VLOOKUP(VENTAS[[#This Row],[Código del producto Vendido]],STOCK[],5,FALSE),"-")</f>
        <v>Bañador una pieza de color combinado </v>
      </c>
      <c r="G835" s="11">
        <v>1</v>
      </c>
      <c r="H835" s="14">
        <v>18</v>
      </c>
      <c r="I835" s="14">
        <f>VENTAS[[#This Row],[Cantidad]]*VENTAS[[#This Row],[Precio Venta]]</f>
        <v>18</v>
      </c>
      <c r="J835" s="14">
        <f>IF(VENTAS[[#This Row],[Nombre del Gestor]]&gt;1,VENTAS[[#This Row],[Total]]*10%,0)</f>
        <v>1.8</v>
      </c>
      <c r="K835" s="14">
        <f>IFERROR(VLOOKUP(VENTAS[[#This Row],[Código del producto Vendido]],STOCK[],16,FALSE)*VENTAS[[#This Row],[Cantidad]]+VLOOKUP(VENTAS[[#This Row],[Código del producto Vendido]],STOCK[],19,FALSE)*VENTAS[[#This Row],[Cantidad]],VENTAS[[#This Row],[Total]])</f>
        <v>9.66666666666667</v>
      </c>
      <c r="L835" s="14">
        <f>VENTAS[[#This Row],[Total]]-VENTAS[[#This Row],[Comisión 10%]]-VENTAS[[#This Row],[Costo SIN Comision]]</f>
        <v>6.53333333333333</v>
      </c>
      <c r="M835" s="14"/>
    </row>
    <row r="836" ht="20" hidden="1" customHeight="1" spans="1:13">
      <c r="A836" s="10">
        <v>45387</v>
      </c>
      <c r="B836" s="11"/>
      <c r="C836" s="11" t="s">
        <v>4247</v>
      </c>
      <c r="D836" s="11" t="s">
        <v>4241</v>
      </c>
      <c r="E836" s="11" t="s">
        <v>493</v>
      </c>
      <c r="F836" s="11" t="str">
        <f>IFERROR(VLOOKUP(VENTAS[[#This Row],[Código del producto Vendido]],STOCK[],5,FALSE),"-")</f>
        <v>Bañador de talle alto con vuelos</v>
      </c>
      <c r="G836" s="11">
        <v>1</v>
      </c>
      <c r="H836" s="14">
        <v>22</v>
      </c>
      <c r="I836" s="14">
        <f>VENTAS[[#This Row],[Cantidad]]*VENTAS[[#This Row],[Precio Venta]]</f>
        <v>22</v>
      </c>
      <c r="J836" s="14">
        <f>IF(VENTAS[[#This Row],[Nombre del Gestor]]&gt;1,VENTAS[[#This Row],[Total]]*10%,0)</f>
        <v>2.2</v>
      </c>
      <c r="K836" s="14">
        <f>IFERROR(VLOOKUP(VENTAS[[#This Row],[Código del producto Vendido]],STOCK[],16,FALSE)*VENTAS[[#This Row],[Cantidad]]+VLOOKUP(VENTAS[[#This Row],[Código del producto Vendido]],STOCK[],19,FALSE)*VENTAS[[#This Row],[Cantidad]],VENTAS[[#This Row],[Total]])</f>
        <v>12.4805555555556</v>
      </c>
      <c r="L836" s="14">
        <f>VENTAS[[#This Row],[Total]]-VENTAS[[#This Row],[Comisión 10%]]-VENTAS[[#This Row],[Costo SIN Comision]]</f>
        <v>7.3194444444444</v>
      </c>
      <c r="M836" s="14"/>
    </row>
    <row r="837" ht="20" hidden="1" customHeight="1" spans="1:13">
      <c r="A837" s="10">
        <v>45390</v>
      </c>
      <c r="B837" s="11"/>
      <c r="C837" s="11"/>
      <c r="D837" s="11" t="s">
        <v>4241</v>
      </c>
      <c r="E837" s="11" t="s">
        <v>1750</v>
      </c>
      <c r="F837" s="11" t="str">
        <f>IFERROR(VLOOKUP(VENTAS[[#This Row],[Código del producto Vendido]],STOCK[],5,FALSE),"-")</f>
        <v>Traje de baño de mangas estampadas</v>
      </c>
      <c r="G837" s="11">
        <v>2</v>
      </c>
      <c r="H837" s="14">
        <v>25</v>
      </c>
      <c r="I837" s="14">
        <f>VENTAS[[#This Row],[Cantidad]]*VENTAS[[#This Row],[Precio Venta]]</f>
        <v>50</v>
      </c>
      <c r="J837" s="14">
        <f>IF(VENTAS[[#This Row],[Nombre del Gestor]]&gt;1,VENTAS[[#This Row],[Total]]*10%,0)</f>
        <v>5</v>
      </c>
      <c r="K837" s="14">
        <f>IFERROR(VLOOKUP(VENTAS[[#This Row],[Código del producto Vendido]],STOCK[],16,FALSE)*VENTAS[[#This Row],[Cantidad]]+VLOOKUP(VENTAS[[#This Row],[Código del producto Vendido]],STOCK[],19,FALSE)*VENTAS[[#This Row],[Cantidad]],VENTAS[[#This Row],[Total]])</f>
        <v>24.8235294117648</v>
      </c>
      <c r="L837" s="14">
        <f>VENTAS[[#This Row],[Total]]-VENTAS[[#This Row],[Comisión 10%]]-VENTAS[[#This Row],[Costo SIN Comision]]</f>
        <v>20.1764705882352</v>
      </c>
      <c r="M837" s="14"/>
    </row>
    <row r="838" ht="20" hidden="1" customHeight="1" spans="1:13">
      <c r="A838" s="10">
        <v>45389</v>
      </c>
      <c r="B838" s="11"/>
      <c r="C838" s="11"/>
      <c r="D838" s="11" t="s">
        <v>4241</v>
      </c>
      <c r="E838" s="11" t="s">
        <v>1781</v>
      </c>
      <c r="F838" s="11" t="str">
        <f>IFERROR(VLOOKUP(VENTAS[[#This Row],[Código del producto Vendido]],STOCK[],5,FALSE),"-")</f>
        <v>Conjunto de bikini moca</v>
      </c>
      <c r="G838" s="11">
        <v>1</v>
      </c>
      <c r="H838" s="14">
        <v>20</v>
      </c>
      <c r="I838" s="14">
        <f>VENTAS[[#This Row],[Cantidad]]*VENTAS[[#This Row],[Precio Venta]]</f>
        <v>20</v>
      </c>
      <c r="J838" s="14">
        <f>IF(VENTAS[[#This Row],[Nombre del Gestor]]&gt;1,VENTAS[[#This Row],[Total]]*10%,0)</f>
        <v>2</v>
      </c>
      <c r="K838" s="14">
        <f>IFERROR(VLOOKUP(VENTAS[[#This Row],[Código del producto Vendido]],STOCK[],16,FALSE)*VENTAS[[#This Row],[Cantidad]]+VLOOKUP(VENTAS[[#This Row],[Código del producto Vendido]],STOCK[],19,FALSE)*VENTAS[[#This Row],[Cantidad]],VENTAS[[#This Row],[Total]])</f>
        <v>12.3529411764706</v>
      </c>
      <c r="L838" s="14">
        <f>VENTAS[[#This Row],[Total]]-VENTAS[[#This Row],[Comisión 10%]]-VENTAS[[#This Row],[Costo SIN Comision]]</f>
        <v>5.64705882352941</v>
      </c>
      <c r="M838" s="14"/>
    </row>
    <row r="839" ht="20" hidden="1" customHeight="1" spans="1:13">
      <c r="A839" s="10" t="s">
        <v>4225</v>
      </c>
      <c r="B839" s="11"/>
      <c r="C839" s="11"/>
      <c r="D839" s="11"/>
      <c r="E839" s="11" t="s">
        <v>975</v>
      </c>
      <c r="F839" s="11" t="str">
        <f>IFERROR(VLOOKUP(VENTAS[[#This Row],[Código del producto Vendido]],STOCK[],5,FALSE),"-")</f>
        <v>Bañador despalda descubierta</v>
      </c>
      <c r="G839" s="11">
        <v>1</v>
      </c>
      <c r="H839" s="14">
        <v>25</v>
      </c>
      <c r="I839" s="14">
        <f>VENTAS[[#This Row],[Cantidad]]*VENTAS[[#This Row],[Precio Venta]]</f>
        <v>25</v>
      </c>
      <c r="J839" s="14">
        <f>IF(VENTAS[[#This Row],[Nombre del Gestor]]&gt;1,VENTAS[[#This Row],[Total]]*10%,0)</f>
        <v>0</v>
      </c>
      <c r="K839" s="14">
        <f>IFERROR(VLOOKUP(VENTAS[[#This Row],[Código del producto Vendido]],STOCK[],16,FALSE)*VENTAS[[#This Row],[Cantidad]]+VLOOKUP(VENTAS[[#This Row],[Código del producto Vendido]],STOCK[],19,FALSE)*VENTAS[[#This Row],[Cantidad]],VENTAS[[#This Row],[Total]])</f>
        <v>15.325</v>
      </c>
      <c r="L839" s="14">
        <f>VENTAS[[#This Row],[Total]]-VENTAS[[#This Row],[Comisión 10%]]-VENTAS[[#This Row],[Costo SIN Comision]]</f>
        <v>9.675</v>
      </c>
      <c r="M839" s="14"/>
    </row>
    <row r="840" ht="20" hidden="1" customHeight="1" spans="1:13">
      <c r="A840" s="10">
        <v>45386</v>
      </c>
      <c r="B840" s="11"/>
      <c r="C840" s="11"/>
      <c r="D840" s="11" t="s">
        <v>4241</v>
      </c>
      <c r="E840" s="11" t="s">
        <v>405</v>
      </c>
      <c r="F840" s="11" t="str">
        <f>IFERROR(VLOOKUP(VENTAS[[#This Row],[Código del producto Vendido]],STOCK[],5,FALSE),"-")</f>
        <v>Vestido Bohemio</v>
      </c>
      <c r="G840" s="11">
        <v>1</v>
      </c>
      <c r="H840" s="14">
        <v>20</v>
      </c>
      <c r="I840" s="14">
        <f>VENTAS[[#This Row],[Cantidad]]*VENTAS[[#This Row],[Precio Venta]]</f>
        <v>20</v>
      </c>
      <c r="J840" s="14">
        <f>IF(VENTAS[[#This Row],[Nombre del Gestor]]&gt;1,VENTAS[[#This Row],[Total]]*10%,0)</f>
        <v>2</v>
      </c>
      <c r="K840" s="14">
        <f>IFERROR(VLOOKUP(VENTAS[[#This Row],[Código del producto Vendido]],STOCK[],16,FALSE)*VENTAS[[#This Row],[Cantidad]]+VLOOKUP(VENTAS[[#This Row],[Código del producto Vendido]],STOCK[],19,FALSE)*VENTAS[[#This Row],[Cantidad]],VENTAS[[#This Row],[Total]])</f>
        <v>12.5705555555556</v>
      </c>
      <c r="L840" s="14">
        <f>VENTAS[[#This Row],[Total]]-VENTAS[[#This Row],[Comisión 10%]]-VENTAS[[#This Row],[Costo SIN Comision]]</f>
        <v>5.42944444444444</v>
      </c>
      <c r="M840" s="14"/>
    </row>
    <row r="841" ht="20" hidden="1" customHeight="1" spans="1:13">
      <c r="A841" s="10">
        <v>45383</v>
      </c>
      <c r="B841" s="11"/>
      <c r="C841" s="11"/>
      <c r="D841" s="11" t="s">
        <v>4241</v>
      </c>
      <c r="E841" s="11" t="s">
        <v>1416</v>
      </c>
      <c r="F841" s="11" t="str">
        <f>IFERROR(VLOOKUP(VENTAS[[#This Row],[Código del producto Vendido]],STOCK[],5,FALSE),"-")</f>
        <v>Jean MOM con rotos</v>
      </c>
      <c r="G841" s="11">
        <v>1</v>
      </c>
      <c r="H841" s="14">
        <v>32</v>
      </c>
      <c r="I841" s="14">
        <f>VENTAS[[#This Row],[Cantidad]]*VENTAS[[#This Row],[Precio Venta]]</f>
        <v>32</v>
      </c>
      <c r="J841" s="14">
        <f>IF(VENTAS[[#This Row],[Nombre del Gestor]]&gt;1,VENTAS[[#This Row],[Total]]*10%,0)</f>
        <v>3.2</v>
      </c>
      <c r="K841" s="14">
        <f>IFERROR(VLOOKUP(VENTAS[[#This Row],[Código del producto Vendido]],STOCK[],16,FALSE)*VENTAS[[#This Row],[Cantidad]]+VLOOKUP(VENTAS[[#This Row],[Código del producto Vendido]],STOCK[],19,FALSE)*VENTAS[[#This Row],[Cantidad]],VENTAS[[#This Row],[Total]])</f>
        <v>20</v>
      </c>
      <c r="L841" s="14">
        <f>VENTAS[[#This Row],[Total]]-VENTAS[[#This Row],[Comisión 10%]]-VENTAS[[#This Row],[Costo SIN Comision]]</f>
        <v>8.8</v>
      </c>
      <c r="M841" s="14"/>
    </row>
    <row r="842" ht="20" hidden="1" customHeight="1" spans="1:13">
      <c r="A842" s="10">
        <v>45393</v>
      </c>
      <c r="B842" s="11"/>
      <c r="C842" s="11"/>
      <c r="D842" s="11" t="s">
        <v>4241</v>
      </c>
      <c r="E842" s="11" t="s">
        <v>1303</v>
      </c>
      <c r="F842" s="11" t="str">
        <f>IFERROR(VLOOKUP(VENTAS[[#This Row],[Código del producto Vendido]],STOCK[],5,FALSE),"-")</f>
        <v>Jean ajustado Claro</v>
      </c>
      <c r="G842" s="11">
        <v>1</v>
      </c>
      <c r="H842" s="14">
        <v>32</v>
      </c>
      <c r="I842" s="14">
        <f>VENTAS[[#This Row],[Cantidad]]*VENTAS[[#This Row],[Precio Venta]]</f>
        <v>32</v>
      </c>
      <c r="J842" s="14">
        <f>IF(VENTAS[[#This Row],[Nombre del Gestor]]&gt;1,VENTAS[[#This Row],[Total]]*10%,0)</f>
        <v>3.2</v>
      </c>
      <c r="K842" s="14">
        <f>IFERROR(VLOOKUP(VENTAS[[#This Row],[Código del producto Vendido]],STOCK[],16,FALSE)*VENTAS[[#This Row],[Cantidad]]+VLOOKUP(VENTAS[[#This Row],[Código del producto Vendido]],STOCK[],19,FALSE)*VENTAS[[#This Row],[Cantidad]],VENTAS[[#This Row],[Total]])</f>
        <v>23.79</v>
      </c>
      <c r="L842" s="14">
        <f>VENTAS[[#This Row],[Total]]-VENTAS[[#This Row],[Comisión 10%]]-VENTAS[[#This Row],[Costo SIN Comision]]</f>
        <v>5.01</v>
      </c>
      <c r="M842" s="14"/>
    </row>
    <row r="843" ht="20" hidden="1" customHeight="1" spans="1:13">
      <c r="A843" s="10">
        <v>45385</v>
      </c>
      <c r="B843" s="11"/>
      <c r="C843" s="11"/>
      <c r="D843" s="11" t="s">
        <v>4241</v>
      </c>
      <c r="E843" s="11" t="s">
        <v>1573</v>
      </c>
      <c r="F843" s="11" t="str">
        <f>IFERROR(VLOOKUP(VENTAS[[#This Row],[Código del producto Vendido]],STOCK[],5,FALSE),"-")</f>
        <v>Sandalias de tiras</v>
      </c>
      <c r="G843" s="11">
        <v>2</v>
      </c>
      <c r="H843" s="14">
        <v>25</v>
      </c>
      <c r="I843" s="14">
        <f>VENTAS[[#This Row],[Cantidad]]*VENTAS[[#This Row],[Precio Venta]]</f>
        <v>50</v>
      </c>
      <c r="J843" s="14">
        <f>IF(VENTAS[[#This Row],[Nombre del Gestor]]&gt;1,VENTAS[[#This Row],[Total]]*10%,0)</f>
        <v>5</v>
      </c>
      <c r="K843" s="14">
        <f>IFERROR(VLOOKUP(VENTAS[[#This Row],[Código del producto Vendido]],STOCK[],16,FALSE)*VENTAS[[#This Row],[Cantidad]]+VLOOKUP(VENTAS[[#This Row],[Código del producto Vendido]],STOCK[],19,FALSE)*VENTAS[[#This Row],[Cantidad]],VENTAS[[#This Row],[Total]])</f>
        <v>28</v>
      </c>
      <c r="L843" s="14">
        <f>VENTAS[[#This Row],[Total]]-VENTAS[[#This Row],[Comisión 10%]]-VENTAS[[#This Row],[Costo SIN Comision]]</f>
        <v>17</v>
      </c>
      <c r="M843" s="14"/>
    </row>
    <row r="844" ht="20" hidden="1" customHeight="1" spans="1:13">
      <c r="A844" s="10">
        <v>45393</v>
      </c>
      <c r="B844" s="11"/>
      <c r="C844" s="11"/>
      <c r="D844" s="11"/>
      <c r="E844" s="11" t="s">
        <v>2042</v>
      </c>
      <c r="F844" s="11" t="str">
        <f>IFERROR(VLOOKUP(VENTAS[[#This Row],[Código del producto Vendido]],STOCK[],5,FALSE),"-")</f>
        <v>Blusa estampada geométrica</v>
      </c>
      <c r="G844" s="11">
        <v>1</v>
      </c>
      <c r="H844" s="14">
        <v>3</v>
      </c>
      <c r="I844" s="14">
        <f>VENTAS[[#This Row],[Cantidad]]*VENTAS[[#This Row],[Precio Venta]]</f>
        <v>3</v>
      </c>
      <c r="J844" s="14">
        <f>IF(VENTAS[[#This Row],[Nombre del Gestor]]&gt;1,VENTAS[[#This Row],[Total]]*10%,0)</f>
        <v>0</v>
      </c>
      <c r="K844" s="14">
        <f>IFERROR(VLOOKUP(VENTAS[[#This Row],[Código del producto Vendido]],STOCK[],16,FALSE)*VENTAS[[#This Row],[Cantidad]]+VLOOKUP(VENTAS[[#This Row],[Código del producto Vendido]],STOCK[],19,FALSE)*VENTAS[[#This Row],[Cantidad]],VENTAS[[#This Row],[Total]])</f>
        <v>0</v>
      </c>
      <c r="L844" s="14">
        <f>VENTAS[[#This Row],[Total]]-VENTAS[[#This Row],[Comisión 10%]]-VENTAS[[#This Row],[Costo SIN Comision]]</f>
        <v>3</v>
      </c>
      <c r="M844" s="14" t="s">
        <v>4243</v>
      </c>
    </row>
    <row r="845" ht="20" hidden="1" customHeight="1" spans="1:13">
      <c r="A845" s="10">
        <v>45391</v>
      </c>
      <c r="B845" s="11"/>
      <c r="C845" s="11" t="s">
        <v>4176</v>
      </c>
      <c r="D845" s="11"/>
      <c r="E845" s="11" t="s">
        <v>1871</v>
      </c>
      <c r="F845" s="11" t="str">
        <f>IFERROR(VLOOKUP(VENTAS[[#This Row],[Código del producto Vendido]],STOCK[],5,FALSE),"-")</f>
        <v>Blazer entallado</v>
      </c>
      <c r="G845" s="11">
        <v>1</v>
      </c>
      <c r="H845" s="14">
        <v>40</v>
      </c>
      <c r="I845" s="14">
        <f>VENTAS[[#This Row],[Cantidad]]*VENTAS[[#This Row],[Precio Venta]]</f>
        <v>40</v>
      </c>
      <c r="J845" s="14">
        <f>IF(VENTAS[[#This Row],[Nombre del Gestor]]&gt;1,VENTAS[[#This Row],[Total]]*10%,0)</f>
        <v>0</v>
      </c>
      <c r="K845" s="14">
        <f>IFERROR(VLOOKUP(VENTAS[[#This Row],[Código del producto Vendido]],STOCK[],16,FALSE)*VENTAS[[#This Row],[Cantidad]]+VLOOKUP(VENTAS[[#This Row],[Código del producto Vendido]],STOCK[],19,FALSE)*VENTAS[[#This Row],[Cantidad]],VENTAS[[#This Row],[Total]])</f>
        <v>24.29</v>
      </c>
      <c r="L845" s="14">
        <f>VENTAS[[#This Row],[Total]]-VENTAS[[#This Row],[Comisión 10%]]-VENTAS[[#This Row],[Costo SIN Comision]]</f>
        <v>15.71</v>
      </c>
      <c r="M845" s="14"/>
    </row>
    <row r="846" ht="20" hidden="1" customHeight="1" spans="1:13">
      <c r="A846" s="10">
        <v>45391</v>
      </c>
      <c r="B846" s="11"/>
      <c r="C846" s="11" t="s">
        <v>4176</v>
      </c>
      <c r="D846" s="11"/>
      <c r="E846" s="11" t="s">
        <v>1603</v>
      </c>
      <c r="F846" s="11" t="str">
        <f>IFERROR(VLOOKUP(VENTAS[[#This Row],[Código del producto Vendido]],STOCK[],5,FALSE),"-")</f>
        <v>Sandalias minimalistas de tacón</v>
      </c>
      <c r="G846" s="11">
        <v>1</v>
      </c>
      <c r="H846" s="14">
        <v>45</v>
      </c>
      <c r="I846" s="14">
        <f>VENTAS[[#This Row],[Cantidad]]*VENTAS[[#This Row],[Precio Venta]]</f>
        <v>45</v>
      </c>
      <c r="J846" s="14">
        <f>IF(VENTAS[[#This Row],[Nombre del Gestor]]&gt;1,VENTAS[[#This Row],[Total]]*10%,0)</f>
        <v>0</v>
      </c>
      <c r="K846" s="14">
        <f>IFERROR(VLOOKUP(VENTAS[[#This Row],[Código del producto Vendido]],STOCK[],16,FALSE)*VENTAS[[#This Row],[Cantidad]]+VLOOKUP(VENTAS[[#This Row],[Código del producto Vendido]],STOCK[],19,FALSE)*VENTAS[[#This Row],[Cantidad]],VENTAS[[#This Row],[Total]])</f>
        <v>17.36</v>
      </c>
      <c r="L846" s="14">
        <f>VENTAS[[#This Row],[Total]]-VENTAS[[#This Row],[Comisión 10%]]-VENTAS[[#This Row],[Costo SIN Comision]]</f>
        <v>27.64</v>
      </c>
      <c r="M846" s="14"/>
    </row>
    <row r="847" ht="20" hidden="1" customHeight="1" spans="1:13">
      <c r="A847" s="10">
        <v>45394</v>
      </c>
      <c r="B847" s="11"/>
      <c r="C847" s="11"/>
      <c r="D847" s="11"/>
      <c r="E847" s="11" t="s">
        <v>1900</v>
      </c>
      <c r="F847" s="11" t="str">
        <f>IFERROR(VLOOKUP(VENTAS[[#This Row],[Código del producto Vendido]],STOCK[],5,FALSE),"-")</f>
        <v>Bolso mochila Rojo</v>
      </c>
      <c r="G847" s="11">
        <v>1</v>
      </c>
      <c r="H847" s="14">
        <v>25</v>
      </c>
      <c r="I847" s="14">
        <f>VENTAS[[#This Row],[Cantidad]]*VENTAS[[#This Row],[Precio Venta]]</f>
        <v>25</v>
      </c>
      <c r="J847" s="14">
        <f>IF(VENTAS[[#This Row],[Nombre del Gestor]]&gt;1,VENTAS[[#This Row],[Total]]*10%,0)</f>
        <v>0</v>
      </c>
      <c r="K847" s="14">
        <f>IFERROR(VLOOKUP(VENTAS[[#This Row],[Código del producto Vendido]],STOCK[],16,FALSE)*VENTAS[[#This Row],[Cantidad]]+VLOOKUP(VENTAS[[#This Row],[Código del producto Vendido]],STOCK[],19,FALSE)*VENTAS[[#This Row],[Cantidad]],VENTAS[[#This Row],[Total]])</f>
        <v>11.77</v>
      </c>
      <c r="L847" s="14">
        <f>VENTAS[[#This Row],[Total]]-VENTAS[[#This Row],[Comisión 10%]]-VENTAS[[#This Row],[Costo SIN Comision]]</f>
        <v>13.23</v>
      </c>
      <c r="M847" s="14"/>
    </row>
    <row r="848" ht="20" hidden="1" customHeight="1" spans="1:13">
      <c r="A848" s="10">
        <v>45394</v>
      </c>
      <c r="B848" s="11"/>
      <c r="C848" s="11" t="s">
        <v>4248</v>
      </c>
      <c r="D848" s="11"/>
      <c r="E848" s="11" t="s">
        <v>1898</v>
      </c>
      <c r="F848" s="11" t="str">
        <f>IFERROR(VLOOKUP(VENTAS[[#This Row],[Código del producto Vendido]],STOCK[],5,FALSE),"-")</f>
        <v>Bolso mochila estampado</v>
      </c>
      <c r="G848" s="11">
        <v>1</v>
      </c>
      <c r="H848" s="14">
        <v>25</v>
      </c>
      <c r="I848" s="14">
        <f>VENTAS[[#This Row],[Cantidad]]*VENTAS[[#This Row],[Precio Venta]]</f>
        <v>25</v>
      </c>
      <c r="J848" s="14">
        <f>IF(VENTAS[[#This Row],[Nombre del Gestor]]&gt;1,VENTAS[[#This Row],[Total]]*10%,0)</f>
        <v>0</v>
      </c>
      <c r="K848" s="14">
        <f>IFERROR(VLOOKUP(VENTAS[[#This Row],[Código del producto Vendido]],STOCK[],16,FALSE)*VENTAS[[#This Row],[Cantidad]]+VLOOKUP(VENTAS[[#This Row],[Código del producto Vendido]],STOCK[],19,FALSE)*VENTAS[[#This Row],[Cantidad]],VENTAS[[#This Row],[Total]])</f>
        <v>12.62</v>
      </c>
      <c r="L848" s="14">
        <f>VENTAS[[#This Row],[Total]]-VENTAS[[#This Row],[Comisión 10%]]-VENTAS[[#This Row],[Costo SIN Comision]]</f>
        <v>12.38</v>
      </c>
      <c r="M848" s="14"/>
    </row>
    <row r="849" ht="20" hidden="1" customHeight="1" spans="1:13">
      <c r="A849" s="10">
        <v>45394</v>
      </c>
      <c r="B849" s="11"/>
      <c r="C849" s="11" t="s">
        <v>4229</v>
      </c>
      <c r="D849" s="11"/>
      <c r="E849" s="11" t="s">
        <v>1902</v>
      </c>
      <c r="F849" s="11" t="str">
        <f>IFERROR(VLOOKUP(VENTAS[[#This Row],[Código del producto Vendido]],STOCK[],5,FALSE),"-")</f>
        <v>Blusa estampada de Lunares</v>
      </c>
      <c r="G849" s="11">
        <v>1</v>
      </c>
      <c r="H849" s="14">
        <v>14</v>
      </c>
      <c r="I849" s="14">
        <f>VENTAS[[#This Row],[Cantidad]]*VENTAS[[#This Row],[Precio Venta]]</f>
        <v>14</v>
      </c>
      <c r="J849" s="14">
        <f>IF(VENTAS[[#This Row],[Nombre del Gestor]]&gt;1,VENTAS[[#This Row],[Total]]*10%,0)</f>
        <v>0</v>
      </c>
      <c r="K849" s="14">
        <f>IFERROR(VLOOKUP(VENTAS[[#This Row],[Código del producto Vendido]],STOCK[],16,FALSE)*VENTAS[[#This Row],[Cantidad]]+VLOOKUP(VENTAS[[#This Row],[Código del producto Vendido]],STOCK[],19,FALSE)*VENTAS[[#This Row],[Cantidad]],VENTAS[[#This Row],[Total]])</f>
        <v>9.2</v>
      </c>
      <c r="L849" s="14">
        <f>VENTAS[[#This Row],[Total]]-VENTAS[[#This Row],[Comisión 10%]]-VENTAS[[#This Row],[Costo SIN Comision]]</f>
        <v>4.8</v>
      </c>
      <c r="M849" s="14"/>
    </row>
    <row r="850" ht="20" hidden="1" customHeight="1" spans="1:13">
      <c r="A850" s="10">
        <v>45394</v>
      </c>
      <c r="B850" s="11"/>
      <c r="C850" s="11"/>
      <c r="D850" s="11" t="s">
        <v>4241</v>
      </c>
      <c r="E850" s="11" t="s">
        <v>1860</v>
      </c>
      <c r="F850" s="11" t="str">
        <f>IFERROR(VLOOKUP(VENTAS[[#This Row],[Código del producto Vendido]],STOCK[],5,FALSE),"-")</f>
        <v>Bolso Baguette Rojo</v>
      </c>
      <c r="G850" s="11">
        <v>1</v>
      </c>
      <c r="H850" s="14">
        <v>25</v>
      </c>
      <c r="I850" s="14">
        <f>VENTAS[[#This Row],[Cantidad]]*VENTAS[[#This Row],[Precio Venta]]</f>
        <v>25</v>
      </c>
      <c r="J850" s="14">
        <f>IF(VENTAS[[#This Row],[Nombre del Gestor]]&gt;1,VENTAS[[#This Row],[Total]]*10%,0)</f>
        <v>2.5</v>
      </c>
      <c r="K850" s="14">
        <f>IFERROR(VLOOKUP(VENTAS[[#This Row],[Código del producto Vendido]],STOCK[],16,FALSE)*VENTAS[[#This Row],[Cantidad]]+VLOOKUP(VENTAS[[#This Row],[Código del producto Vendido]],STOCK[],19,FALSE)*VENTAS[[#This Row],[Cantidad]],VENTAS[[#This Row],[Total]])</f>
        <v>15.79</v>
      </c>
      <c r="L850" s="14">
        <f>VENTAS[[#This Row],[Total]]-VENTAS[[#This Row],[Comisión 10%]]-VENTAS[[#This Row],[Costo SIN Comision]]</f>
        <v>6.71</v>
      </c>
      <c r="M850" s="14"/>
    </row>
    <row r="851" ht="20" hidden="1" customHeight="1" spans="1:13">
      <c r="A851" s="10">
        <v>45394</v>
      </c>
      <c r="B851" s="11"/>
      <c r="C851" s="11"/>
      <c r="D851" s="11" t="s">
        <v>4241</v>
      </c>
      <c r="E851" s="11" t="s">
        <v>1856</v>
      </c>
      <c r="F851" s="11" t="str">
        <f>IFERROR(VLOOKUP(VENTAS[[#This Row],[Código del producto Vendido]],STOCK[],5,FALSE),"-")</f>
        <v>Crossbody Bag Blanco Lacado</v>
      </c>
      <c r="G851" s="11">
        <v>1</v>
      </c>
      <c r="H851" s="14">
        <v>20</v>
      </c>
      <c r="I851" s="14">
        <f>VENTAS[[#This Row],[Cantidad]]*VENTAS[[#This Row],[Precio Venta]]</f>
        <v>20</v>
      </c>
      <c r="J851" s="14">
        <f>IF(VENTAS[[#This Row],[Nombre del Gestor]]&gt;1,VENTAS[[#This Row],[Total]]*10%,0)</f>
        <v>2</v>
      </c>
      <c r="K851" s="14">
        <f>IFERROR(VLOOKUP(VENTAS[[#This Row],[Código del producto Vendido]],STOCK[],16,FALSE)*VENTAS[[#This Row],[Cantidad]]+VLOOKUP(VENTAS[[#This Row],[Código del producto Vendido]],STOCK[],19,FALSE)*VENTAS[[#This Row],[Cantidad]],VENTAS[[#This Row],[Total]])</f>
        <v>10.79</v>
      </c>
      <c r="L851" s="14">
        <f>VENTAS[[#This Row],[Total]]-VENTAS[[#This Row],[Comisión 10%]]-VENTAS[[#This Row],[Costo SIN Comision]]</f>
        <v>7.21</v>
      </c>
      <c r="M851" s="14"/>
    </row>
    <row r="852" ht="20" hidden="1" customHeight="1" spans="1:13">
      <c r="A852" s="10">
        <v>45394</v>
      </c>
      <c r="B852" s="11"/>
      <c r="C852" s="11"/>
      <c r="D852" s="11"/>
      <c r="E852" s="11" t="s">
        <v>1802</v>
      </c>
      <c r="F852" s="11" t="str">
        <f>IFERROR(VLOOKUP(VENTAS[[#This Row],[Código del producto Vendido]],STOCK[],5,FALSE),"-")</f>
        <v>Camisa blanca estampado de ave</v>
      </c>
      <c r="G852" s="11">
        <v>1</v>
      </c>
      <c r="H852" s="14">
        <v>25</v>
      </c>
      <c r="I852" s="14">
        <f>VENTAS[[#This Row],[Cantidad]]*VENTAS[[#This Row],[Precio Venta]]</f>
        <v>25</v>
      </c>
      <c r="J852" s="14">
        <f>IF(VENTAS[[#This Row],[Nombre del Gestor]]&gt;1,VENTAS[[#This Row],[Total]]*10%,0)</f>
        <v>0</v>
      </c>
      <c r="K852" s="14">
        <f>IFERROR(VLOOKUP(VENTAS[[#This Row],[Código del producto Vendido]],STOCK[],16,FALSE)*VENTAS[[#This Row],[Cantidad]]+VLOOKUP(VENTAS[[#This Row],[Código del producto Vendido]],STOCK[],19,FALSE)*VENTAS[[#This Row],[Cantidad]],VENTAS[[#This Row],[Total]])</f>
        <v>12.9411764705882</v>
      </c>
      <c r="L852" s="14">
        <f>VENTAS[[#This Row],[Total]]-VENTAS[[#This Row],[Comisión 10%]]-VENTAS[[#This Row],[Costo SIN Comision]]</f>
        <v>12.0588235294118</v>
      </c>
      <c r="M852" s="14"/>
    </row>
    <row r="853" ht="20" hidden="1" customHeight="1" spans="1:13">
      <c r="A853" s="10" t="s">
        <v>4225</v>
      </c>
      <c r="B853" s="11"/>
      <c r="C853" s="11"/>
      <c r="D853" s="11"/>
      <c r="E853" s="11" t="s">
        <v>1505</v>
      </c>
      <c r="F853" s="11" t="str">
        <f>IFERROR(VLOOKUP(VENTAS[[#This Row],[Código del producto Vendido]],STOCK[],5,FALSE),"-")</f>
        <v>Pullover Dazy cuello redondo Blanco</v>
      </c>
      <c r="G853" s="11">
        <v>1</v>
      </c>
      <c r="H853" s="14">
        <v>13</v>
      </c>
      <c r="I853" s="14">
        <f>VENTAS[[#This Row],[Cantidad]]*VENTAS[[#This Row],[Precio Venta]]</f>
        <v>13</v>
      </c>
      <c r="J853" s="14">
        <f>IF(VENTAS[[#This Row],[Nombre del Gestor]]&gt;1,VENTAS[[#This Row],[Total]]*10%,0)</f>
        <v>0</v>
      </c>
      <c r="K853" s="14">
        <f>IFERROR(VLOOKUP(VENTAS[[#This Row],[Código del producto Vendido]],STOCK[],16,FALSE)*VENTAS[[#This Row],[Cantidad]]+VLOOKUP(VENTAS[[#This Row],[Código del producto Vendido]],STOCK[],19,FALSE)*VENTAS[[#This Row],[Cantidad]],VENTAS[[#This Row],[Total]])</f>
        <v>7.5</v>
      </c>
      <c r="L853" s="14">
        <f>VENTAS[[#This Row],[Total]]-VENTAS[[#This Row],[Comisión 10%]]-VENTAS[[#This Row],[Costo SIN Comision]]</f>
        <v>5.5</v>
      </c>
      <c r="M853" s="14"/>
    </row>
    <row r="854" ht="20" hidden="1" customHeight="1" spans="1:13">
      <c r="A854" s="10" t="s">
        <v>4225</v>
      </c>
      <c r="B854" s="11"/>
      <c r="C854" s="11"/>
      <c r="D854" s="11"/>
      <c r="E854" s="11" t="s">
        <v>270</v>
      </c>
      <c r="F854" s="11" t="str">
        <f>IFERROR(VLOOKUP(VENTAS[[#This Row],[Código del producto Vendido]],STOCK[],5,FALSE),"-")</f>
        <v>Vestido playera oversize</v>
      </c>
      <c r="G854" s="11">
        <v>1</v>
      </c>
      <c r="H854" s="14">
        <v>22</v>
      </c>
      <c r="I854" s="14">
        <f>VENTAS[[#This Row],[Cantidad]]*VENTAS[[#This Row],[Precio Venta]]</f>
        <v>22</v>
      </c>
      <c r="J854" s="14">
        <f>IF(VENTAS[[#This Row],[Nombre del Gestor]]&gt;1,VENTAS[[#This Row],[Total]]*10%,0)</f>
        <v>0</v>
      </c>
      <c r="K854" s="14">
        <f>IFERROR(VLOOKUP(VENTAS[[#This Row],[Código del producto Vendido]],STOCK[],16,FALSE)*VENTAS[[#This Row],[Cantidad]]+VLOOKUP(VENTAS[[#This Row],[Código del producto Vendido]],STOCK[],19,FALSE)*VENTAS[[#This Row],[Cantidad]],VENTAS[[#This Row],[Total]])</f>
        <v>13.3888888888889</v>
      </c>
      <c r="L854" s="14">
        <f>VENTAS[[#This Row],[Total]]-VENTAS[[#This Row],[Comisión 10%]]-VENTAS[[#This Row],[Costo SIN Comision]]</f>
        <v>8.6111111111111</v>
      </c>
      <c r="M854" s="14"/>
    </row>
    <row r="855" ht="20" hidden="1" customHeight="1" spans="1:13">
      <c r="A855" s="10" t="s">
        <v>4225</v>
      </c>
      <c r="B855" s="11"/>
      <c r="C855" s="11"/>
      <c r="D855" s="11"/>
      <c r="E855" s="11" t="s">
        <v>251</v>
      </c>
      <c r="F855" s="11" t="str">
        <f>IFERROR(VLOOKUP(VENTAS[[#This Row],[Código del producto Vendido]],STOCK[],5,FALSE),"-")</f>
        <v>Vestido flor y botones</v>
      </c>
      <c r="G855" s="11">
        <v>1</v>
      </c>
      <c r="H855" s="14">
        <v>25</v>
      </c>
      <c r="I855" s="14">
        <f>VENTAS[[#This Row],[Cantidad]]*VENTAS[[#This Row],[Precio Venta]]</f>
        <v>25</v>
      </c>
      <c r="J855" s="14">
        <f>IF(VENTAS[[#This Row],[Nombre del Gestor]]&gt;1,VENTAS[[#This Row],[Total]]*10%,0)</f>
        <v>0</v>
      </c>
      <c r="K855" s="14">
        <f>IFERROR(VLOOKUP(VENTAS[[#This Row],[Código del producto Vendido]],STOCK[],16,FALSE)*VENTAS[[#This Row],[Cantidad]]+VLOOKUP(VENTAS[[#This Row],[Código del producto Vendido]],STOCK[],19,FALSE)*VENTAS[[#This Row],[Cantidad]],VENTAS[[#This Row],[Total]])</f>
        <v>16.76</v>
      </c>
      <c r="L855" s="14">
        <f>VENTAS[[#This Row],[Total]]-VENTAS[[#This Row],[Comisión 10%]]-VENTAS[[#This Row],[Costo SIN Comision]]</f>
        <v>8.24</v>
      </c>
      <c r="M855" s="14"/>
    </row>
    <row r="856" ht="20" hidden="1" customHeight="1" spans="1:13">
      <c r="A856" s="10">
        <v>45401</v>
      </c>
      <c r="B856" s="11"/>
      <c r="C856" s="11"/>
      <c r="D856" s="11" t="s">
        <v>4241</v>
      </c>
      <c r="E856" s="11" t="s">
        <v>1891</v>
      </c>
      <c r="F856" s="11" t="str">
        <f>IFERROR(VLOOKUP(VENTAS[[#This Row],[Código del producto Vendido]],STOCK[],5,FALSE),"-")</f>
        <v>Bolso estampado de Lona</v>
      </c>
      <c r="G856" s="11">
        <v>3</v>
      </c>
      <c r="H856" s="14">
        <v>12</v>
      </c>
      <c r="I856" s="14">
        <f>VENTAS[[#This Row],[Cantidad]]*VENTAS[[#This Row],[Precio Venta]]</f>
        <v>36</v>
      </c>
      <c r="J856" s="14">
        <f>IF(VENTAS[[#This Row],[Nombre del Gestor]]&gt;1,VENTAS[[#This Row],[Total]]*10%,0)</f>
        <v>3.6</v>
      </c>
      <c r="K856" s="14">
        <f>IFERROR(VLOOKUP(VENTAS[[#This Row],[Código del producto Vendido]],STOCK[],16,FALSE)*VENTAS[[#This Row],[Cantidad]]+VLOOKUP(VENTAS[[#This Row],[Código del producto Vendido]],STOCK[],19,FALSE)*VENTAS[[#This Row],[Cantidad]],VENTAS[[#This Row],[Total]])</f>
        <v>19.5</v>
      </c>
      <c r="L856" s="14">
        <f>VENTAS[[#This Row],[Total]]-VENTAS[[#This Row],[Comisión 10%]]-VENTAS[[#This Row],[Costo SIN Comision]]</f>
        <v>12.9</v>
      </c>
      <c r="M856" s="14"/>
    </row>
    <row r="857" ht="20" hidden="1" customHeight="1" spans="1:13">
      <c r="A857" s="10">
        <v>45401</v>
      </c>
      <c r="B857" s="11"/>
      <c r="C857" s="11"/>
      <c r="D857" s="11"/>
      <c r="E857" s="11" t="s">
        <v>1432</v>
      </c>
      <c r="F857" s="11" t="str">
        <f>IFERROR(VLOOKUP(VENTAS[[#This Row],[Código del producto Vendido]],STOCK[],5,FALSE),"-")</f>
        <v>Sandalias blancas cruzadas</v>
      </c>
      <c r="G857" s="11">
        <v>1</v>
      </c>
      <c r="H857" s="14">
        <v>15</v>
      </c>
      <c r="I857" s="14">
        <f>VENTAS[[#This Row],[Cantidad]]*VENTAS[[#This Row],[Precio Venta]]</f>
        <v>15</v>
      </c>
      <c r="J857" s="14">
        <f>IF(VENTAS[[#This Row],[Nombre del Gestor]]&gt;1,VENTAS[[#This Row],[Total]]*10%,0)</f>
        <v>0</v>
      </c>
      <c r="K857" s="14">
        <f>IFERROR(VLOOKUP(VENTAS[[#This Row],[Código del producto Vendido]],STOCK[],16,FALSE)*VENTAS[[#This Row],[Cantidad]]+VLOOKUP(VENTAS[[#This Row],[Código del producto Vendido]],STOCK[],19,FALSE)*VENTAS[[#This Row],[Cantidad]],VENTAS[[#This Row],[Total]])</f>
        <v>11.49</v>
      </c>
      <c r="L857" s="14">
        <f>VENTAS[[#This Row],[Total]]-VENTAS[[#This Row],[Comisión 10%]]-VENTAS[[#This Row],[Costo SIN Comision]]</f>
        <v>3.51</v>
      </c>
      <c r="M857" s="14"/>
    </row>
    <row r="858" ht="20" hidden="1" customHeight="1" spans="1:13">
      <c r="A858" s="10">
        <v>45401</v>
      </c>
      <c r="B858" s="11"/>
      <c r="C858" s="11"/>
      <c r="D858" s="11"/>
      <c r="E858" s="11" t="s">
        <v>1733</v>
      </c>
      <c r="F858" s="11" t="str">
        <f>IFERROR(VLOOKUP(VENTAS[[#This Row],[Código del producto Vendido]],STOCK[],5,FALSE),"-")</f>
        <v>Chaleco de traje Crema</v>
      </c>
      <c r="G858" s="11">
        <v>1</v>
      </c>
      <c r="H858" s="14">
        <v>25</v>
      </c>
      <c r="I858" s="14">
        <f>VENTAS[[#This Row],[Cantidad]]*VENTAS[[#This Row],[Precio Venta]]</f>
        <v>25</v>
      </c>
      <c r="J858" s="14">
        <f>IF(VENTAS[[#This Row],[Nombre del Gestor]]&gt;1,VENTAS[[#This Row],[Total]]*10%,0)</f>
        <v>0</v>
      </c>
      <c r="K858" s="14">
        <f>IFERROR(VLOOKUP(VENTAS[[#This Row],[Código del producto Vendido]],STOCK[],16,FALSE)*VENTAS[[#This Row],[Cantidad]]+VLOOKUP(VENTAS[[#This Row],[Código del producto Vendido]],STOCK[],19,FALSE)*VENTAS[[#This Row],[Cantidad]],VENTAS[[#This Row],[Total]])</f>
        <v>17.9411764705882</v>
      </c>
      <c r="L858" s="14">
        <f>VENTAS[[#This Row],[Total]]-VENTAS[[#This Row],[Comisión 10%]]-VENTAS[[#This Row],[Costo SIN Comision]]</f>
        <v>7.0588235294118</v>
      </c>
      <c r="M858" s="14"/>
    </row>
    <row r="859" ht="20" hidden="1" customHeight="1" spans="1:13">
      <c r="A859" s="10">
        <v>45401</v>
      </c>
      <c r="B859" s="11"/>
      <c r="C859" s="11"/>
      <c r="D859" s="11"/>
      <c r="E859" s="11" t="s">
        <v>1860</v>
      </c>
      <c r="F859" s="11" t="str">
        <f>IFERROR(VLOOKUP(VENTAS[[#This Row],[Código del producto Vendido]],STOCK[],5,FALSE),"-")</f>
        <v>Bolso Baguette Rojo</v>
      </c>
      <c r="G859" s="11">
        <v>1</v>
      </c>
      <c r="H859" s="14">
        <v>25</v>
      </c>
      <c r="I859" s="14">
        <f>VENTAS[[#This Row],[Cantidad]]*VENTAS[[#This Row],[Precio Venta]]</f>
        <v>25</v>
      </c>
      <c r="J859" s="14">
        <f>IF(VENTAS[[#This Row],[Nombre del Gestor]]&gt;1,VENTAS[[#This Row],[Total]]*10%,0)</f>
        <v>0</v>
      </c>
      <c r="K859" s="14">
        <f>IFERROR(VLOOKUP(VENTAS[[#This Row],[Código del producto Vendido]],STOCK[],16,FALSE)*VENTAS[[#This Row],[Cantidad]]+VLOOKUP(VENTAS[[#This Row],[Código del producto Vendido]],STOCK[],19,FALSE)*VENTAS[[#This Row],[Cantidad]],VENTAS[[#This Row],[Total]])</f>
        <v>15.79</v>
      </c>
      <c r="L859" s="14">
        <f>VENTAS[[#This Row],[Total]]-VENTAS[[#This Row],[Comisión 10%]]-VENTAS[[#This Row],[Costo SIN Comision]]</f>
        <v>9.21</v>
      </c>
      <c r="M859" s="14"/>
    </row>
    <row r="860" ht="20" hidden="1" customHeight="1" spans="1:13">
      <c r="A860" s="10">
        <v>45404</v>
      </c>
      <c r="B860" s="11"/>
      <c r="C860" s="11"/>
      <c r="D860" s="11" t="s">
        <v>4241</v>
      </c>
      <c r="E860" s="11" t="s">
        <v>1462</v>
      </c>
      <c r="F860" s="11" t="str">
        <f>IFERROR(VLOOKUP(VENTAS[[#This Row],[Código del producto Vendido]],STOCK[],5,FALSE),"-")</f>
        <v>Pantalón alto de bajo elegante</v>
      </c>
      <c r="G860" s="11">
        <v>1</v>
      </c>
      <c r="H860" s="14">
        <v>32</v>
      </c>
      <c r="I860" s="14">
        <f>VENTAS[[#This Row],[Cantidad]]*VENTAS[[#This Row],[Precio Venta]]</f>
        <v>32</v>
      </c>
      <c r="J860" s="14">
        <f>IF(VENTAS[[#This Row],[Nombre del Gestor]]&gt;1,VENTAS[[#This Row],[Total]]*10%,0)</f>
        <v>3.2</v>
      </c>
      <c r="K860" s="14">
        <f>IFERROR(VLOOKUP(VENTAS[[#This Row],[Código del producto Vendido]],STOCK[],16,FALSE)*VENTAS[[#This Row],[Cantidad]]+VLOOKUP(VENTAS[[#This Row],[Código del producto Vendido]],STOCK[],19,FALSE)*VENTAS[[#This Row],[Cantidad]],VENTAS[[#This Row],[Total]])</f>
        <v>16.19</v>
      </c>
      <c r="L860" s="14">
        <f>VENTAS[[#This Row],[Total]]-VENTAS[[#This Row],[Comisión 10%]]-VENTAS[[#This Row],[Costo SIN Comision]]</f>
        <v>12.61</v>
      </c>
      <c r="M860" s="14"/>
    </row>
    <row r="861" ht="20" hidden="1" customHeight="1" spans="1:13">
      <c r="A861" s="10">
        <v>45410</v>
      </c>
      <c r="B861" s="11"/>
      <c r="C861" s="11" t="s">
        <v>4249</v>
      </c>
      <c r="D861" s="11"/>
      <c r="E861" s="11" t="s">
        <v>775</v>
      </c>
      <c r="F861" s="11" t="str">
        <f>IFERROR(VLOOKUP(VENTAS[[#This Row],[Código del producto Vendido]],STOCK[],5,FALSE),"-")</f>
        <v>Sandalias prácticas</v>
      </c>
      <c r="G861" s="11">
        <v>1</v>
      </c>
      <c r="H861" s="14">
        <v>30</v>
      </c>
      <c r="I861" s="14">
        <f>VENTAS[[#This Row],[Cantidad]]*VENTAS[[#This Row],[Precio Venta]]</f>
        <v>30</v>
      </c>
      <c r="J861" s="14">
        <f>IF(VENTAS[[#This Row],[Nombre del Gestor]]&gt;1,VENTAS[[#This Row],[Total]]*10%,0)</f>
        <v>0</v>
      </c>
      <c r="K861" s="14">
        <f>IFERROR(VLOOKUP(VENTAS[[#This Row],[Código del producto Vendido]],STOCK[],16,FALSE)*VENTAS[[#This Row],[Cantidad]]+VLOOKUP(VENTAS[[#This Row],[Código del producto Vendido]],STOCK[],19,FALSE)*VENTAS[[#This Row],[Cantidad]],VENTAS[[#This Row],[Total]])</f>
        <v>23.2777777777778</v>
      </c>
      <c r="L861" s="14">
        <f>VENTAS[[#This Row],[Total]]-VENTAS[[#This Row],[Comisión 10%]]-VENTAS[[#This Row],[Costo SIN Comision]]</f>
        <v>6.7222222222222</v>
      </c>
      <c r="M861" s="14"/>
    </row>
    <row r="862" ht="20" hidden="1" customHeight="1" spans="1:13">
      <c r="A862" s="10">
        <v>45402</v>
      </c>
      <c r="B862" s="11"/>
      <c r="C862" s="11"/>
      <c r="D862" s="11"/>
      <c r="E862" s="11" t="s">
        <v>1597</v>
      </c>
      <c r="F862" s="11" t="str">
        <f>IFERROR(VLOOKUP(VENTAS[[#This Row],[Código del producto Vendido]],STOCK[],5,FALSE),"-")</f>
        <v>Sandalias flip de plataforma</v>
      </c>
      <c r="G862" s="11">
        <v>1</v>
      </c>
      <c r="H862" s="14">
        <v>15</v>
      </c>
      <c r="I862" s="14">
        <f>VENTAS[[#This Row],[Cantidad]]*VENTAS[[#This Row],[Precio Venta]]</f>
        <v>15</v>
      </c>
      <c r="J862" s="14">
        <f>IF(VENTAS[[#This Row],[Nombre del Gestor]]&gt;1,VENTAS[[#This Row],[Total]]*10%,0)</f>
        <v>0</v>
      </c>
      <c r="K862" s="14">
        <f>IFERROR(VLOOKUP(VENTAS[[#This Row],[Código del producto Vendido]],STOCK[],16,FALSE)*VENTAS[[#This Row],[Cantidad]]+VLOOKUP(VENTAS[[#This Row],[Código del producto Vendido]],STOCK[],19,FALSE)*VENTAS[[#This Row],[Cantidad]],VENTAS[[#This Row],[Total]])</f>
        <v>9.49</v>
      </c>
      <c r="L862" s="14">
        <f>VENTAS[[#This Row],[Total]]-VENTAS[[#This Row],[Comisión 10%]]-VENTAS[[#This Row],[Costo SIN Comision]]</f>
        <v>5.51</v>
      </c>
      <c r="M862" s="14"/>
    </row>
    <row r="863" ht="20" hidden="1" customHeight="1" spans="1:13">
      <c r="A863" s="10">
        <v>45404</v>
      </c>
      <c r="B863" s="11"/>
      <c r="C863" s="11"/>
      <c r="D863" s="11" t="s">
        <v>4241</v>
      </c>
      <c r="E863" s="11" t="s">
        <v>1058</v>
      </c>
      <c r="F863" s="11" t="str">
        <f>IFERROR(VLOOKUP(VENTAS[[#This Row],[Código del producto Vendido]],STOCK[],5,FALSE),"-")</f>
        <v>Falda plisada con cadena</v>
      </c>
      <c r="G863" s="11">
        <v>1</v>
      </c>
      <c r="H863" s="14">
        <v>20</v>
      </c>
      <c r="I863" s="14">
        <f>VENTAS[[#This Row],[Cantidad]]*VENTAS[[#This Row],[Precio Venta]]</f>
        <v>20</v>
      </c>
      <c r="J863" s="14">
        <f>IF(VENTAS[[#This Row],[Nombre del Gestor]]&gt;1,VENTAS[[#This Row],[Total]]*10%,0)</f>
        <v>2</v>
      </c>
      <c r="K863" s="14">
        <f>IFERROR(VLOOKUP(VENTAS[[#This Row],[Código del producto Vendido]],STOCK[],16,FALSE)*VENTAS[[#This Row],[Cantidad]]+VLOOKUP(VENTAS[[#This Row],[Código del producto Vendido]],STOCK[],19,FALSE)*VENTAS[[#This Row],[Cantidad]],VENTAS[[#This Row],[Total]])</f>
        <v>14.8636363636364</v>
      </c>
      <c r="L863" s="14">
        <f>VENTAS[[#This Row],[Total]]-VENTAS[[#This Row],[Comisión 10%]]-VENTAS[[#This Row],[Costo SIN Comision]]</f>
        <v>3.1363636363636</v>
      </c>
      <c r="M863" s="14"/>
    </row>
    <row r="864" ht="20" hidden="1" customHeight="1" spans="1:13">
      <c r="A864" s="10">
        <v>45409</v>
      </c>
      <c r="B864" s="11"/>
      <c r="C864" s="11"/>
      <c r="D864" s="11" t="s">
        <v>4241</v>
      </c>
      <c r="E864" s="11" t="s">
        <v>752</v>
      </c>
      <c r="F864" s="11" t="str">
        <f>IFERROR(VLOOKUP(VENTAS[[#This Row],[Código del producto Vendido]],STOCK[],5,FALSE),"-")</f>
        <v>Sandalias trenzadas</v>
      </c>
      <c r="G864" s="11">
        <v>1</v>
      </c>
      <c r="H864" s="14">
        <v>35</v>
      </c>
      <c r="I864" s="14">
        <f>VENTAS[[#This Row],[Cantidad]]*VENTAS[[#This Row],[Precio Venta]]</f>
        <v>35</v>
      </c>
      <c r="J864" s="14">
        <f>IF(VENTAS[[#This Row],[Nombre del Gestor]]&gt;1,VENTAS[[#This Row],[Total]]*10%,0)</f>
        <v>3.5</v>
      </c>
      <c r="K864" s="14">
        <f>IFERROR(VLOOKUP(VENTAS[[#This Row],[Código del producto Vendido]],STOCK[],16,FALSE)*VENTAS[[#This Row],[Cantidad]]+VLOOKUP(VENTAS[[#This Row],[Código del producto Vendido]],STOCK[],19,FALSE)*VENTAS[[#This Row],[Cantidad]],VENTAS[[#This Row],[Total]])</f>
        <v>27</v>
      </c>
      <c r="L864" s="14">
        <f>VENTAS[[#This Row],[Total]]-VENTAS[[#This Row],[Comisión 10%]]-VENTAS[[#This Row],[Costo SIN Comision]]</f>
        <v>4.5</v>
      </c>
      <c r="M864" s="14"/>
    </row>
    <row r="865" ht="20" hidden="1" customHeight="1" spans="1:13">
      <c r="A865" s="10">
        <v>45405</v>
      </c>
      <c r="B865" s="11"/>
      <c r="C865" s="11"/>
      <c r="D865" s="11" t="s">
        <v>4241</v>
      </c>
      <c r="E865" s="11" t="s">
        <v>1637</v>
      </c>
      <c r="F865" s="11" t="str">
        <f>IFERROR(VLOOKUP(VENTAS[[#This Row],[Código del producto Vendido]],STOCK[],5,FALSE),"-")</f>
        <v>Vestido Privé </v>
      </c>
      <c r="G865" s="11">
        <v>1</v>
      </c>
      <c r="H865" s="14">
        <v>25</v>
      </c>
      <c r="I865" s="14">
        <f>VENTAS[[#This Row],[Cantidad]]*VENTAS[[#This Row],[Precio Venta]]</f>
        <v>25</v>
      </c>
      <c r="J865" s="14">
        <f>IF(VENTAS[[#This Row],[Nombre del Gestor]]&gt;1,VENTAS[[#This Row],[Total]]*10%,0)</f>
        <v>2.5</v>
      </c>
      <c r="K865" s="14">
        <f>IFERROR(VLOOKUP(VENTAS[[#This Row],[Código del producto Vendido]],STOCK[],16,FALSE)*VENTAS[[#This Row],[Cantidad]]+VLOOKUP(VENTAS[[#This Row],[Código del producto Vendido]],STOCK[],19,FALSE)*VENTAS[[#This Row],[Cantidad]],VENTAS[[#This Row],[Total]])</f>
        <v>11.1</v>
      </c>
      <c r="L865" s="14">
        <f>VENTAS[[#This Row],[Total]]-VENTAS[[#This Row],[Comisión 10%]]-VENTAS[[#This Row],[Costo SIN Comision]]</f>
        <v>11.4</v>
      </c>
      <c r="M865" s="14"/>
    </row>
    <row r="866" ht="20" hidden="1" customHeight="1" spans="1:13">
      <c r="A866" s="10">
        <v>45406</v>
      </c>
      <c r="B866" s="11"/>
      <c r="C866" s="11"/>
      <c r="D866" s="11" t="s">
        <v>4241</v>
      </c>
      <c r="E866" s="11" t="s">
        <v>254</v>
      </c>
      <c r="F866" s="11" t="str">
        <f>IFERROR(VLOOKUP(VENTAS[[#This Row],[Código del producto Vendido]],STOCK[],5,FALSE),"-")</f>
        <v>Blusa espalda cruzada blanca</v>
      </c>
      <c r="G866" s="11">
        <v>1</v>
      </c>
      <c r="H866" s="14">
        <v>12</v>
      </c>
      <c r="I866" s="14">
        <f>VENTAS[[#This Row],[Cantidad]]*VENTAS[[#This Row],[Precio Venta]]</f>
        <v>12</v>
      </c>
      <c r="J866" s="14">
        <f>IF(VENTAS[[#This Row],[Nombre del Gestor]]&gt;1,VENTAS[[#This Row],[Total]]*10%,0)</f>
        <v>1.2</v>
      </c>
      <c r="K866" s="14">
        <f>IFERROR(VLOOKUP(VENTAS[[#This Row],[Código del producto Vendido]],STOCK[],16,FALSE)*VENTAS[[#This Row],[Cantidad]]+VLOOKUP(VENTAS[[#This Row],[Código del producto Vendido]],STOCK[],19,FALSE)*VENTAS[[#This Row],[Cantidad]],VENTAS[[#This Row],[Total]])</f>
        <v>8.34222222222222</v>
      </c>
      <c r="L866" s="14">
        <f>VENTAS[[#This Row],[Total]]-VENTAS[[#This Row],[Comisión 10%]]-VENTAS[[#This Row],[Costo SIN Comision]]</f>
        <v>2.45777777777778</v>
      </c>
      <c r="M866" s="14"/>
    </row>
    <row r="867" ht="20" hidden="1" customHeight="1" spans="1:13">
      <c r="A867" s="10">
        <v>45408</v>
      </c>
      <c r="B867" s="11"/>
      <c r="C867" s="11"/>
      <c r="D867" s="11" t="s">
        <v>4241</v>
      </c>
      <c r="E867" s="11" t="s">
        <v>1779</v>
      </c>
      <c r="F867" s="11" t="str">
        <f>IFERROR(VLOOKUP(VENTAS[[#This Row],[Código del producto Vendido]],STOCK[],5,FALSE),"-")</f>
        <v>Conjunto de bikini moca</v>
      </c>
      <c r="G867" s="11">
        <v>1</v>
      </c>
      <c r="H867" s="14">
        <v>20</v>
      </c>
      <c r="I867" s="14">
        <f>VENTAS[[#This Row],[Cantidad]]*VENTAS[[#This Row],[Precio Venta]]</f>
        <v>20</v>
      </c>
      <c r="J867" s="14">
        <f>IF(VENTAS[[#This Row],[Nombre del Gestor]]&gt;1,VENTAS[[#This Row],[Total]]*10%,0)</f>
        <v>2</v>
      </c>
      <c r="K867" s="14">
        <f>IFERROR(VLOOKUP(VENTAS[[#This Row],[Código del producto Vendido]],STOCK[],16,FALSE)*VENTAS[[#This Row],[Cantidad]]+VLOOKUP(VENTAS[[#This Row],[Código del producto Vendido]],STOCK[],19,FALSE)*VENTAS[[#This Row],[Cantidad]],VENTAS[[#This Row],[Total]])</f>
        <v>12.3529411764706</v>
      </c>
      <c r="L867" s="14">
        <f>VENTAS[[#This Row],[Total]]-VENTAS[[#This Row],[Comisión 10%]]-VENTAS[[#This Row],[Costo SIN Comision]]</f>
        <v>5.64705882352941</v>
      </c>
      <c r="M867" s="14"/>
    </row>
    <row r="868" ht="20" hidden="1" customHeight="1" spans="1:13">
      <c r="A868" s="10">
        <v>45409</v>
      </c>
      <c r="B868" s="11"/>
      <c r="C868" s="11"/>
      <c r="D868" s="11" t="s">
        <v>4241</v>
      </c>
      <c r="E868" s="11" t="s">
        <v>1575</v>
      </c>
      <c r="F868" s="11" t="str">
        <f>IFERROR(VLOOKUP(VENTAS[[#This Row],[Código del producto Vendido]],STOCK[],5,FALSE),"-")</f>
        <v>Sandalias de nudos</v>
      </c>
      <c r="G868" s="11">
        <v>1</v>
      </c>
      <c r="H868" s="14">
        <v>18</v>
      </c>
      <c r="I868" s="14">
        <f>VENTAS[[#This Row],[Cantidad]]*VENTAS[[#This Row],[Precio Venta]]</f>
        <v>18</v>
      </c>
      <c r="J868" s="14">
        <f>IF(VENTAS[[#This Row],[Nombre del Gestor]]&gt;1,VENTAS[[#This Row],[Total]]*10%,0)</f>
        <v>1.8</v>
      </c>
      <c r="K868" s="14">
        <f>IFERROR(VLOOKUP(VENTAS[[#This Row],[Código del producto Vendido]],STOCK[],16,FALSE)*VENTAS[[#This Row],[Cantidad]]+VLOOKUP(VENTAS[[#This Row],[Código del producto Vendido]],STOCK[],19,FALSE)*VENTAS[[#This Row],[Cantidad]],VENTAS[[#This Row],[Total]])</f>
        <v>11</v>
      </c>
      <c r="L868" s="14">
        <f>VENTAS[[#This Row],[Total]]-VENTAS[[#This Row],[Comisión 10%]]-VENTAS[[#This Row],[Costo SIN Comision]]</f>
        <v>5.2</v>
      </c>
      <c r="M868" s="14"/>
    </row>
    <row r="869" ht="20" hidden="1" customHeight="1" spans="1:13">
      <c r="A869" s="10">
        <v>45410</v>
      </c>
      <c r="B869" s="11"/>
      <c r="C869" s="11"/>
      <c r="D869" s="11" t="s">
        <v>4241</v>
      </c>
      <c r="E869" s="11" t="s">
        <v>1762</v>
      </c>
      <c r="F869" s="11" t="str">
        <f>IFERROR(VLOOKUP(VENTAS[[#This Row],[Código del producto Vendido]],STOCK[],5,FALSE),"-")</f>
        <v>Zapatillas blanco casual</v>
      </c>
      <c r="G869" s="11">
        <v>1</v>
      </c>
      <c r="H869" s="14">
        <v>30</v>
      </c>
      <c r="I869" s="14">
        <f>VENTAS[[#This Row],[Cantidad]]*VENTAS[[#This Row],[Precio Venta]]</f>
        <v>30</v>
      </c>
      <c r="J869" s="14">
        <f>IF(VENTAS[[#This Row],[Nombre del Gestor]]&gt;1,VENTAS[[#This Row],[Total]]*10%,0)</f>
        <v>3</v>
      </c>
      <c r="K869" s="14">
        <f>IFERROR(VLOOKUP(VENTAS[[#This Row],[Código del producto Vendido]],STOCK[],16,FALSE)*VENTAS[[#This Row],[Cantidad]]+VLOOKUP(VENTAS[[#This Row],[Código del producto Vendido]],STOCK[],19,FALSE)*VENTAS[[#This Row],[Cantidad]],VENTAS[[#This Row],[Total]])</f>
        <v>25.4705882352941</v>
      </c>
      <c r="L869" s="14">
        <f>VENTAS[[#This Row],[Total]]-VENTAS[[#This Row],[Comisión 10%]]-VENTAS[[#This Row],[Costo SIN Comision]]</f>
        <v>1.5294117647059</v>
      </c>
      <c r="M869" s="14"/>
    </row>
    <row r="870" ht="20" hidden="1" customHeight="1" spans="1:13">
      <c r="A870" s="10">
        <v>45410</v>
      </c>
      <c r="B870" s="11"/>
      <c r="C870" s="11"/>
      <c r="D870" s="11" t="s">
        <v>4241</v>
      </c>
      <c r="E870" s="11" t="s">
        <v>1423</v>
      </c>
      <c r="F870" s="11" t="str">
        <f>IFERROR(VLOOKUP(VENTAS[[#This Row],[Código del producto Vendido]],STOCK[],5,FALSE),"-")</f>
        <v>Pantalón de traje</v>
      </c>
      <c r="G870" s="11">
        <v>1</v>
      </c>
      <c r="H870" s="14">
        <v>30</v>
      </c>
      <c r="I870" s="14">
        <f>VENTAS[[#This Row],[Cantidad]]*VENTAS[[#This Row],[Precio Venta]]</f>
        <v>30</v>
      </c>
      <c r="J870" s="14">
        <f>IF(VENTAS[[#This Row],[Nombre del Gestor]]&gt;1,VENTAS[[#This Row],[Total]]*10%,0)</f>
        <v>3</v>
      </c>
      <c r="K870" s="14">
        <f>IFERROR(VLOOKUP(VENTAS[[#This Row],[Código del producto Vendido]],STOCK[],16,FALSE)*VENTAS[[#This Row],[Cantidad]]+VLOOKUP(VENTAS[[#This Row],[Código del producto Vendido]],STOCK[],19,FALSE)*VENTAS[[#This Row],[Cantidad]],VENTAS[[#This Row],[Total]])</f>
        <v>21</v>
      </c>
      <c r="L870" s="14">
        <f>VENTAS[[#This Row],[Total]]-VENTAS[[#This Row],[Comisión 10%]]-VENTAS[[#This Row],[Costo SIN Comision]]</f>
        <v>6</v>
      </c>
      <c r="M870" s="14"/>
    </row>
    <row r="871" ht="20" hidden="1" customHeight="1" spans="1:13">
      <c r="A871" s="10">
        <v>45410</v>
      </c>
      <c r="B871" s="11"/>
      <c r="C871" s="11"/>
      <c r="D871" s="11" t="s">
        <v>4241</v>
      </c>
      <c r="E871" s="11" t="s">
        <v>961</v>
      </c>
      <c r="F871" s="11" t="str">
        <f>IFERROR(VLOOKUP(VENTAS[[#This Row],[Código del producto Vendido]],STOCK[],5,FALSE),"-")</f>
        <v>Pantalón business básico</v>
      </c>
      <c r="G871" s="11">
        <v>1</v>
      </c>
      <c r="H871" s="14">
        <v>28</v>
      </c>
      <c r="I871" s="14">
        <f>VENTAS[[#This Row],[Cantidad]]*VENTAS[[#This Row],[Precio Venta]]</f>
        <v>28</v>
      </c>
      <c r="J871" s="14">
        <f>IF(VENTAS[[#This Row],[Nombre del Gestor]]&gt;1,VENTAS[[#This Row],[Total]]*10%,0)</f>
        <v>2.8</v>
      </c>
      <c r="K871" s="14">
        <f>IFERROR(VLOOKUP(VENTAS[[#This Row],[Código del producto Vendido]],STOCK[],16,FALSE)*VENTAS[[#This Row],[Cantidad]]+VLOOKUP(VENTAS[[#This Row],[Código del producto Vendido]],STOCK[],19,FALSE)*VENTAS[[#This Row],[Cantidad]],VENTAS[[#This Row],[Total]])</f>
        <v>21.3722727272727</v>
      </c>
      <c r="L871" s="14">
        <f>VENTAS[[#This Row],[Total]]-VENTAS[[#This Row],[Comisión 10%]]-VENTAS[[#This Row],[Costo SIN Comision]]</f>
        <v>3.8277272727273</v>
      </c>
      <c r="M871" s="14"/>
    </row>
    <row r="872" ht="20" hidden="1" customHeight="1" spans="1:13">
      <c r="A872" s="10">
        <v>45411</v>
      </c>
      <c r="B872" s="11"/>
      <c r="C872" s="11" t="s">
        <v>4250</v>
      </c>
      <c r="D872" s="11"/>
      <c r="E872" s="11"/>
      <c r="F872" s="11" t="str">
        <f>IFERROR(VLOOKUP(VENTAS[[#This Row],[Código del producto Vendido]],STOCK[],5,FALSE),"-")</f>
        <v>-</v>
      </c>
      <c r="G872" s="11">
        <v>1</v>
      </c>
      <c r="H872" s="14">
        <v>0</v>
      </c>
      <c r="I872" s="14">
        <f>VENTAS[[#This Row],[Cantidad]]*VENTAS[[#This Row],[Precio Venta]]</f>
        <v>0</v>
      </c>
      <c r="J872" s="14">
        <f>IF(VENTAS[[#This Row],[Nombre del Gestor]]&gt;1,VENTAS[[#This Row],[Total]]*10%,0)</f>
        <v>0</v>
      </c>
      <c r="K872" s="14">
        <f>IFERROR(VLOOKUP(VENTAS[[#This Row],[Código del producto Vendido]],STOCK[],16,FALSE)*VENTAS[[#This Row],[Cantidad]]+VLOOKUP(VENTAS[[#This Row],[Código del producto Vendido]],STOCK[],19,FALSE)*VENTAS[[#This Row],[Cantidad]],VENTAS[[#This Row],[Total]])</f>
        <v>0</v>
      </c>
      <c r="L872" s="14">
        <f>VENTAS[[#This Row],[Total]]-VENTAS[[#This Row],[Comisión 10%]]-VENTAS[[#This Row],[Costo SIN Comision]]</f>
        <v>0</v>
      </c>
      <c r="M872" s="14"/>
    </row>
    <row r="873" ht="20" hidden="1" customHeight="1" spans="1:13">
      <c r="A873" s="10">
        <v>45411</v>
      </c>
      <c r="B873" s="11"/>
      <c r="C873" s="11"/>
      <c r="D873" s="11" t="s">
        <v>4241</v>
      </c>
      <c r="E873" s="11" t="s">
        <v>1679</v>
      </c>
      <c r="F873" s="11" t="str">
        <f>IFERROR(VLOOKUP(VENTAS[[#This Row],[Código del producto Vendido]],STOCK[],5,FALSE),"-")</f>
        <v>Botas negras de zíper</v>
      </c>
      <c r="G873" s="11">
        <v>1</v>
      </c>
      <c r="H873" s="14">
        <v>40</v>
      </c>
      <c r="I873" s="14">
        <f>VENTAS[[#This Row],[Cantidad]]*VENTAS[[#This Row],[Precio Venta]]</f>
        <v>40</v>
      </c>
      <c r="J873" s="14">
        <f>IF(VENTAS[[#This Row],[Nombre del Gestor]]&gt;1,VENTAS[[#This Row],[Total]]*10%,0)</f>
        <v>4</v>
      </c>
      <c r="K873" s="14">
        <f>IFERROR(VLOOKUP(VENTAS[[#This Row],[Código del producto Vendido]],STOCK[],16,FALSE)*VENTAS[[#This Row],[Cantidad]]+VLOOKUP(VENTAS[[#This Row],[Código del producto Vendido]],STOCK[],19,FALSE)*VENTAS[[#This Row],[Cantidad]],VENTAS[[#This Row],[Total]])</f>
        <v>22.42</v>
      </c>
      <c r="L873" s="14">
        <f>VENTAS[[#This Row],[Total]]-VENTAS[[#This Row],[Comisión 10%]]-VENTAS[[#This Row],[Costo SIN Comision]]</f>
        <v>13.58</v>
      </c>
      <c r="M873" s="14"/>
    </row>
    <row r="874" ht="20" hidden="1" customHeight="1" spans="1:13">
      <c r="A874" s="10">
        <v>45411</v>
      </c>
      <c r="B874" s="11"/>
      <c r="C874" s="11"/>
      <c r="D874" s="11" t="s">
        <v>4241</v>
      </c>
      <c r="E874" s="11" t="s">
        <v>1368</v>
      </c>
      <c r="F874" s="11" t="str">
        <f>IFERROR(VLOOKUP(VENTAS[[#This Row],[Código del producto Vendido]],STOCK[],5,FALSE),"-")</f>
        <v>Falda plisada de cuadros</v>
      </c>
      <c r="G874" s="11">
        <v>1</v>
      </c>
      <c r="H874" s="14">
        <v>20</v>
      </c>
      <c r="I874" s="14">
        <f>VENTAS[[#This Row],[Cantidad]]*VENTAS[[#This Row],[Precio Venta]]</f>
        <v>20</v>
      </c>
      <c r="J874" s="14">
        <f>IF(VENTAS[[#This Row],[Nombre del Gestor]]&gt;1,VENTAS[[#This Row],[Total]]*10%,0)</f>
        <v>2</v>
      </c>
      <c r="K874" s="14">
        <f>IFERROR(VLOOKUP(VENTAS[[#This Row],[Código del producto Vendido]],STOCK[],16,FALSE)*VENTAS[[#This Row],[Cantidad]]+VLOOKUP(VENTAS[[#This Row],[Código del producto Vendido]],STOCK[],19,FALSE)*VENTAS[[#This Row],[Cantidad]],VENTAS[[#This Row],[Total]])</f>
        <v>12.74</v>
      </c>
      <c r="L874" s="14">
        <f>VENTAS[[#This Row],[Total]]-VENTAS[[#This Row],[Comisión 10%]]-VENTAS[[#This Row],[Costo SIN Comision]]</f>
        <v>5.26</v>
      </c>
      <c r="M874" s="14"/>
    </row>
    <row r="875" ht="20" hidden="1" customHeight="1" spans="1:13">
      <c r="A875" s="10">
        <v>45411</v>
      </c>
      <c r="B875" s="11"/>
      <c r="C875" s="11"/>
      <c r="D875" s="11" t="s">
        <v>4241</v>
      </c>
      <c r="E875" s="11" t="s">
        <v>1365</v>
      </c>
      <c r="F875" s="11" t="str">
        <f>IFERROR(VLOOKUP(VENTAS[[#This Row],[Código del producto Vendido]],STOCK[],5,FALSE),"-")</f>
        <v>Vestido de flecos</v>
      </c>
      <c r="G875" s="11">
        <v>1</v>
      </c>
      <c r="H875" s="14">
        <v>25</v>
      </c>
      <c r="I875" s="14">
        <f>VENTAS[[#This Row],[Cantidad]]*VENTAS[[#This Row],[Precio Venta]]</f>
        <v>25</v>
      </c>
      <c r="J875" s="14">
        <f>IF(VENTAS[[#This Row],[Nombre del Gestor]]&gt;1,VENTAS[[#This Row],[Total]]*10%,0)</f>
        <v>2.5</v>
      </c>
      <c r="K875" s="14">
        <f>IFERROR(VLOOKUP(VENTAS[[#This Row],[Código del producto Vendido]],STOCK[],16,FALSE)*VENTAS[[#This Row],[Cantidad]]+VLOOKUP(VENTAS[[#This Row],[Código del producto Vendido]],STOCK[],19,FALSE)*VENTAS[[#This Row],[Cantidad]],VENTAS[[#This Row],[Total]])</f>
        <v>18.83</v>
      </c>
      <c r="L875" s="14">
        <f>VENTAS[[#This Row],[Total]]-VENTAS[[#This Row],[Comisión 10%]]-VENTAS[[#This Row],[Costo SIN Comision]]</f>
        <v>3.67</v>
      </c>
      <c r="M875" s="14"/>
    </row>
    <row r="876" ht="20" hidden="1" customHeight="1" spans="1:13">
      <c r="A876" s="10">
        <v>45411</v>
      </c>
      <c r="B876" s="11"/>
      <c r="C876" s="11" t="s">
        <v>4251</v>
      </c>
      <c r="D876" s="11"/>
      <c r="E876" s="11" t="s">
        <v>435</v>
      </c>
      <c r="F876" s="11" t="str">
        <f>IFERROR(VLOOKUP(VENTAS[[#This Row],[Código del producto Vendido]],STOCK[],5,FALSE),"-")</f>
        <v>Camisa amplia multicolor </v>
      </c>
      <c r="G876" s="11">
        <v>1</v>
      </c>
      <c r="H876" s="14">
        <v>25</v>
      </c>
      <c r="I876" s="14">
        <f>VENTAS[[#This Row],[Cantidad]]*VENTAS[[#This Row],[Precio Venta]]</f>
        <v>25</v>
      </c>
      <c r="J876" s="14">
        <f>IF(VENTAS[[#This Row],[Nombre del Gestor]]&gt;1,VENTAS[[#This Row],[Total]]*10%,0)</f>
        <v>0</v>
      </c>
      <c r="K876" s="14">
        <f>IFERROR(VLOOKUP(VENTAS[[#This Row],[Código del producto Vendido]],STOCK[],16,FALSE)*VENTAS[[#This Row],[Cantidad]]+VLOOKUP(VENTAS[[#This Row],[Código del producto Vendido]],STOCK[],19,FALSE)*VENTAS[[#This Row],[Cantidad]],VENTAS[[#This Row],[Total]])</f>
        <v>16.2566666666667</v>
      </c>
      <c r="L876" s="14">
        <f>VENTAS[[#This Row],[Total]]-VENTAS[[#This Row],[Comisión 10%]]-VENTAS[[#This Row],[Costo SIN Comision]]</f>
        <v>8.7433333333333</v>
      </c>
      <c r="M876" s="14"/>
    </row>
    <row r="877" ht="20" hidden="1" customHeight="1" spans="1:13">
      <c r="A877" s="10">
        <v>45411</v>
      </c>
      <c r="B877" s="11"/>
      <c r="C877" s="11" t="s">
        <v>4251</v>
      </c>
      <c r="D877" s="11"/>
      <c r="E877" s="11" t="s">
        <v>1573</v>
      </c>
      <c r="F877" s="11" t="str">
        <f>IFERROR(VLOOKUP(VENTAS[[#This Row],[Código del producto Vendido]],STOCK[],5,FALSE),"-")</f>
        <v>Sandalias de tiras</v>
      </c>
      <c r="G877" s="11">
        <v>1</v>
      </c>
      <c r="H877" s="14">
        <v>20</v>
      </c>
      <c r="I877" s="14">
        <f>VENTAS[[#This Row],[Cantidad]]*VENTAS[[#This Row],[Precio Venta]]</f>
        <v>20</v>
      </c>
      <c r="J877" s="14">
        <f>IF(VENTAS[[#This Row],[Nombre del Gestor]]&gt;1,VENTAS[[#This Row],[Total]]*10%,0)</f>
        <v>0</v>
      </c>
      <c r="K877" s="14">
        <f>IFERROR(VLOOKUP(VENTAS[[#This Row],[Código del producto Vendido]],STOCK[],16,FALSE)*VENTAS[[#This Row],[Cantidad]]+VLOOKUP(VENTAS[[#This Row],[Código del producto Vendido]],STOCK[],19,FALSE)*VENTAS[[#This Row],[Cantidad]],VENTAS[[#This Row],[Total]])</f>
        <v>14</v>
      </c>
      <c r="L877" s="14">
        <f>VENTAS[[#This Row],[Total]]-VENTAS[[#This Row],[Comisión 10%]]-VENTAS[[#This Row],[Costo SIN Comision]]</f>
        <v>6</v>
      </c>
      <c r="M877" s="14"/>
    </row>
    <row r="878" ht="20" hidden="1" customHeight="1" spans="1:13">
      <c r="A878" s="10">
        <v>45413</v>
      </c>
      <c r="B878" s="11"/>
      <c r="C878" s="11"/>
      <c r="D878" s="11" t="s">
        <v>4241</v>
      </c>
      <c r="E878" s="11" t="s">
        <v>1761</v>
      </c>
      <c r="F878" s="11" t="str">
        <f>IFERROR(VLOOKUP(VENTAS[[#This Row],[Código del producto Vendido]],STOCK[],5,FALSE),"-")</f>
        <v>Zapatillas blanco casual</v>
      </c>
      <c r="G878" s="11">
        <v>1</v>
      </c>
      <c r="H878" s="14">
        <v>30</v>
      </c>
      <c r="I878" s="14">
        <f>VENTAS[[#This Row],[Cantidad]]*VENTAS[[#This Row],[Precio Venta]]</f>
        <v>30</v>
      </c>
      <c r="J878" s="14">
        <f>IF(VENTAS[[#This Row],[Nombre del Gestor]]&gt;1,VENTAS[[#This Row],[Total]]*10%,0)</f>
        <v>3</v>
      </c>
      <c r="K878" s="14">
        <f>IFERROR(VLOOKUP(VENTAS[[#This Row],[Código del producto Vendido]],STOCK[],16,FALSE)*VENTAS[[#This Row],[Cantidad]]+VLOOKUP(VENTAS[[#This Row],[Código del producto Vendido]],STOCK[],19,FALSE)*VENTAS[[#This Row],[Cantidad]],VENTAS[[#This Row],[Total]])</f>
        <v>25.4705882352941</v>
      </c>
      <c r="L878" s="14">
        <f>VENTAS[[#This Row],[Total]]-VENTAS[[#This Row],[Comisión 10%]]-VENTAS[[#This Row],[Costo SIN Comision]]</f>
        <v>1.5294117647059</v>
      </c>
      <c r="M878" s="14"/>
    </row>
    <row r="879" ht="20" hidden="1" customHeight="1" spans="1:13">
      <c r="A879" s="10">
        <v>45414</v>
      </c>
      <c r="B879" s="11"/>
      <c r="C879" s="11" t="s">
        <v>4252</v>
      </c>
      <c r="D879" s="11"/>
      <c r="E879" s="11" t="s">
        <v>1943</v>
      </c>
      <c r="F879" s="11" t="str">
        <f>IFERROR(VLOOKUP(VENTAS[[#This Row],[Código del producto Vendido]],STOCK[],5,FALSE),"-")</f>
        <v>Zapatillas blanco casual</v>
      </c>
      <c r="G879" s="11">
        <v>1</v>
      </c>
      <c r="H879" s="14">
        <v>30</v>
      </c>
      <c r="I879" s="14">
        <f>VENTAS[[#This Row],[Cantidad]]*VENTAS[[#This Row],[Precio Venta]]</f>
        <v>30</v>
      </c>
      <c r="J879" s="14">
        <f>IF(VENTAS[[#This Row],[Nombre del Gestor]]&gt;1,VENTAS[[#This Row],[Total]]*10%,0)</f>
        <v>0</v>
      </c>
      <c r="K879" s="14">
        <f>IFERROR(VLOOKUP(VENTAS[[#This Row],[Código del producto Vendido]],STOCK[],16,FALSE)*VENTAS[[#This Row],[Cantidad]]+VLOOKUP(VENTAS[[#This Row],[Código del producto Vendido]],STOCK[],19,FALSE)*VENTAS[[#This Row],[Cantidad]],VENTAS[[#This Row],[Total]])</f>
        <v>17.97</v>
      </c>
      <c r="L879" s="14">
        <f>VENTAS[[#This Row],[Total]]-VENTAS[[#This Row],[Comisión 10%]]-VENTAS[[#This Row],[Costo SIN Comision]]</f>
        <v>12.03</v>
      </c>
      <c r="M879" s="14"/>
    </row>
    <row r="880" ht="20" hidden="1" customHeight="1" spans="1:13">
      <c r="A880" s="10">
        <v>45414</v>
      </c>
      <c r="B880" s="11"/>
      <c r="C880" s="11"/>
      <c r="D880" s="11" t="s">
        <v>4241</v>
      </c>
      <c r="E880" s="11" t="s">
        <v>1677</v>
      </c>
      <c r="F880" s="11" t="str">
        <f>IFERROR(VLOOKUP(VENTAS[[#This Row],[Código del producto Vendido]],STOCK[],5,FALSE),"-")</f>
        <v>Botas negras de zíper</v>
      </c>
      <c r="G880" s="11">
        <v>1</v>
      </c>
      <c r="H880" s="14">
        <v>40</v>
      </c>
      <c r="I880" s="14">
        <f>VENTAS[[#This Row],[Cantidad]]*VENTAS[[#This Row],[Precio Venta]]</f>
        <v>40</v>
      </c>
      <c r="J880" s="14">
        <f>IF(VENTAS[[#This Row],[Nombre del Gestor]]&gt;1,VENTAS[[#This Row],[Total]]*10%,0)</f>
        <v>4</v>
      </c>
      <c r="K880" s="14">
        <f>IFERROR(VLOOKUP(VENTAS[[#This Row],[Código del producto Vendido]],STOCK[],16,FALSE)*VENTAS[[#This Row],[Cantidad]]+VLOOKUP(VENTAS[[#This Row],[Código del producto Vendido]],STOCK[],19,FALSE)*VENTAS[[#This Row],[Cantidad]],VENTAS[[#This Row],[Total]])</f>
        <v>22.42</v>
      </c>
      <c r="L880" s="14">
        <f>VENTAS[[#This Row],[Total]]-VENTAS[[#This Row],[Comisión 10%]]-VENTAS[[#This Row],[Costo SIN Comision]]</f>
        <v>13.58</v>
      </c>
      <c r="M880" s="14"/>
    </row>
    <row r="881" ht="20" hidden="1" customHeight="1" spans="1:13">
      <c r="A881" s="10">
        <v>45415</v>
      </c>
      <c r="B881" s="11"/>
      <c r="C881" s="11" t="s">
        <v>4253</v>
      </c>
      <c r="D881" s="11"/>
      <c r="E881" s="11" t="s">
        <v>1943</v>
      </c>
      <c r="F881" s="11" t="str">
        <f>IFERROR(VLOOKUP(VENTAS[[#This Row],[Código del producto Vendido]],STOCK[],5,FALSE),"-")</f>
        <v>Zapatillas blanco casual</v>
      </c>
      <c r="G881" s="11">
        <v>1</v>
      </c>
      <c r="H881" s="14">
        <v>0</v>
      </c>
      <c r="I881" s="14">
        <f>VENTAS[[#This Row],[Cantidad]]*VENTAS[[#This Row],[Precio Venta]]</f>
        <v>0</v>
      </c>
      <c r="J881" s="14">
        <f>IF(VENTAS[[#This Row],[Nombre del Gestor]]&gt;1,VENTAS[[#This Row],[Total]]*10%,0)</f>
        <v>0</v>
      </c>
      <c r="K881" s="14">
        <f>IFERROR(VLOOKUP(VENTAS[[#This Row],[Código del producto Vendido]],STOCK[],16,FALSE)*VENTAS[[#This Row],[Cantidad]]+VLOOKUP(VENTAS[[#This Row],[Código del producto Vendido]],STOCK[],19,FALSE)*VENTAS[[#This Row],[Cantidad]],VENTAS[[#This Row],[Total]])</f>
        <v>17.97</v>
      </c>
      <c r="L881" s="14">
        <f>VENTAS[[#This Row],[Total]]-VENTAS[[#This Row],[Comisión 10%]]-VENTAS[[#This Row],[Costo SIN Comision]]</f>
        <v>-17.97</v>
      </c>
      <c r="M881" s="14"/>
    </row>
    <row r="882" ht="20" hidden="1" customHeight="1" spans="1:13">
      <c r="A882" s="10">
        <v>45416</v>
      </c>
      <c r="B882" s="11"/>
      <c r="C882" s="11"/>
      <c r="D882" s="11" t="s">
        <v>4241</v>
      </c>
      <c r="E882" s="11" t="s">
        <v>246</v>
      </c>
      <c r="F882" s="11" t="str">
        <f>IFERROR(VLOOKUP(VENTAS[[#This Row],[Código del producto Vendido]],STOCK[],5,FALSE),"-")</f>
        <v>Top de mangas anchas y lentejuelas amarillo</v>
      </c>
      <c r="G882" s="11">
        <v>1</v>
      </c>
      <c r="H882" s="14">
        <v>13</v>
      </c>
      <c r="I882" s="14">
        <f>VENTAS[[#This Row],[Cantidad]]*VENTAS[[#This Row],[Precio Venta]]</f>
        <v>13</v>
      </c>
      <c r="J882" s="14">
        <f>IF(VENTAS[[#This Row],[Nombre del Gestor]]&gt;1,VENTAS[[#This Row],[Total]]*10%,0)</f>
        <v>1.3</v>
      </c>
      <c r="K882" s="14">
        <f>IFERROR(VLOOKUP(VENTAS[[#This Row],[Código del producto Vendido]],STOCK[],16,FALSE)*VENTAS[[#This Row],[Cantidad]]+VLOOKUP(VENTAS[[#This Row],[Código del producto Vendido]],STOCK[],19,FALSE)*VENTAS[[#This Row],[Cantidad]],VENTAS[[#This Row],[Total]])</f>
        <v>8.04222222222222</v>
      </c>
      <c r="L882" s="14">
        <f>VENTAS[[#This Row],[Total]]-VENTAS[[#This Row],[Comisión 10%]]-VENTAS[[#This Row],[Costo SIN Comision]]</f>
        <v>3.65777777777778</v>
      </c>
      <c r="M882" s="14"/>
    </row>
    <row r="883" ht="20" hidden="1" customHeight="1" spans="1:13">
      <c r="A883" s="10">
        <v>45416</v>
      </c>
      <c r="B883" s="11"/>
      <c r="C883" s="11"/>
      <c r="D883" s="11"/>
      <c r="E883" s="11" t="s">
        <v>1735</v>
      </c>
      <c r="F883" s="11" t="str">
        <f>IFERROR(VLOOKUP(VENTAS[[#This Row],[Código del producto Vendido]],STOCK[],5,FALSE),"-")</f>
        <v>Chaleco de traje Negro</v>
      </c>
      <c r="G883" s="11">
        <v>2</v>
      </c>
      <c r="H883" s="14">
        <v>25</v>
      </c>
      <c r="I883" s="14">
        <f>VENTAS[[#This Row],[Cantidad]]*VENTAS[[#This Row],[Precio Venta]]</f>
        <v>50</v>
      </c>
      <c r="J883" s="14">
        <f>IF(VENTAS[[#This Row],[Nombre del Gestor]]&gt;1,VENTAS[[#This Row],[Total]]*10%,0)</f>
        <v>0</v>
      </c>
      <c r="K883" s="14">
        <f>IFERROR(VLOOKUP(VENTAS[[#This Row],[Código del producto Vendido]],STOCK[],16,FALSE)*VENTAS[[#This Row],[Cantidad]]+VLOOKUP(VENTAS[[#This Row],[Código del producto Vendido]],STOCK[],19,FALSE)*VENTAS[[#This Row],[Cantidad]],VENTAS[[#This Row],[Total]])</f>
        <v>35.8823529411764</v>
      </c>
      <c r="L883" s="14">
        <f>VENTAS[[#This Row],[Total]]-VENTAS[[#This Row],[Comisión 10%]]-VENTAS[[#This Row],[Costo SIN Comision]]</f>
        <v>14.1176470588236</v>
      </c>
      <c r="M883" s="14"/>
    </row>
    <row r="884" ht="20" hidden="1" customHeight="1" spans="1:13">
      <c r="A884" s="10">
        <v>45416</v>
      </c>
      <c r="B884" s="11"/>
      <c r="C884" s="11"/>
      <c r="D884" s="11" t="s">
        <v>4241</v>
      </c>
      <c r="E884" s="11" t="s">
        <v>1922</v>
      </c>
      <c r="F884" s="11" t="str">
        <f>IFERROR(VLOOKUP(VENTAS[[#This Row],[Código del producto Vendido]],STOCK[],5,FALSE),"-")</f>
        <v>Vestido Fresco Verano</v>
      </c>
      <c r="G884" s="11">
        <v>1</v>
      </c>
      <c r="H884" s="14">
        <v>30</v>
      </c>
      <c r="I884" s="14">
        <f>VENTAS[[#This Row],[Cantidad]]*VENTAS[[#This Row],[Precio Venta]]</f>
        <v>30</v>
      </c>
      <c r="J884" s="14">
        <f>IF(VENTAS[[#This Row],[Nombre del Gestor]]&gt;1,VENTAS[[#This Row],[Total]]*10%,0)</f>
        <v>3</v>
      </c>
      <c r="K884" s="14">
        <f>IFERROR(VLOOKUP(VENTAS[[#This Row],[Código del producto Vendido]],STOCK[],16,FALSE)*VENTAS[[#This Row],[Cantidad]]+VLOOKUP(VENTAS[[#This Row],[Código del producto Vendido]],STOCK[],19,FALSE)*VENTAS[[#This Row],[Cantidad]],VENTAS[[#This Row],[Total]])</f>
        <v>11.61</v>
      </c>
      <c r="L884" s="14">
        <f>VENTAS[[#This Row],[Total]]-VENTAS[[#This Row],[Comisión 10%]]-VENTAS[[#This Row],[Costo SIN Comision]]</f>
        <v>15.39</v>
      </c>
      <c r="M884" s="14"/>
    </row>
    <row r="885" ht="20" hidden="1" customHeight="1" spans="1:13">
      <c r="A885" s="10">
        <v>45418</v>
      </c>
      <c r="B885" s="11"/>
      <c r="C885" s="11"/>
      <c r="D885" s="11" t="s">
        <v>4241</v>
      </c>
      <c r="E885" s="11" t="s">
        <v>1902</v>
      </c>
      <c r="F885" s="11" t="str">
        <f>IFERROR(VLOOKUP(VENTAS[[#This Row],[Código del producto Vendido]],STOCK[],5,FALSE),"-")</f>
        <v>Blusa estampada de Lunares</v>
      </c>
      <c r="G885" s="11">
        <v>1</v>
      </c>
      <c r="H885" s="14">
        <v>14</v>
      </c>
      <c r="I885" s="14">
        <f>VENTAS[[#This Row],[Cantidad]]*VENTAS[[#This Row],[Precio Venta]]</f>
        <v>14</v>
      </c>
      <c r="J885" s="14">
        <f>IF(VENTAS[[#This Row],[Nombre del Gestor]]&gt;1,VENTAS[[#This Row],[Total]]*10%,0)</f>
        <v>1.4</v>
      </c>
      <c r="K885" s="14">
        <f>IFERROR(VLOOKUP(VENTAS[[#This Row],[Código del producto Vendido]],STOCK[],16,FALSE)*VENTAS[[#This Row],[Cantidad]]+VLOOKUP(VENTAS[[#This Row],[Código del producto Vendido]],STOCK[],19,FALSE)*VENTAS[[#This Row],[Cantidad]],VENTAS[[#This Row],[Total]])</f>
        <v>9.2</v>
      </c>
      <c r="L885" s="14">
        <f>VENTAS[[#This Row],[Total]]-VENTAS[[#This Row],[Comisión 10%]]-VENTAS[[#This Row],[Costo SIN Comision]]</f>
        <v>3.4</v>
      </c>
      <c r="M885" s="14"/>
    </row>
    <row r="886" ht="20" hidden="1" customHeight="1" spans="1:13">
      <c r="A886" s="10">
        <v>45418</v>
      </c>
      <c r="B886" s="11"/>
      <c r="C886" s="11"/>
      <c r="D886" s="11" t="s">
        <v>4241</v>
      </c>
      <c r="E886" s="11" t="s">
        <v>4254</v>
      </c>
      <c r="F886" s="11" t="str">
        <f>IFERROR(VLOOKUP(VENTAS[[#This Row],[Código del producto Vendido]],STOCK[],5,FALSE),"-")</f>
        <v>Botas negras de zíper</v>
      </c>
      <c r="G886" s="11">
        <v>1</v>
      </c>
      <c r="H886" s="14">
        <v>45</v>
      </c>
      <c r="I886" s="14">
        <f>VENTAS[[#This Row],[Cantidad]]*VENTAS[[#This Row],[Precio Venta]]</f>
        <v>45</v>
      </c>
      <c r="J886" s="14">
        <f>IF(VENTAS[[#This Row],[Nombre del Gestor]]&gt;1,VENTAS[[#This Row],[Total]]*10%,0)</f>
        <v>4.5</v>
      </c>
      <c r="K886" s="14">
        <f>IFERROR(VLOOKUP(VENTAS[[#This Row],[Código del producto Vendido]],STOCK[],16,FALSE)*VENTAS[[#This Row],[Cantidad]]+VLOOKUP(VENTAS[[#This Row],[Código del producto Vendido]],STOCK[],19,FALSE)*VENTAS[[#This Row],[Cantidad]],VENTAS[[#This Row],[Total]])</f>
        <v>22.42</v>
      </c>
      <c r="L886" s="14">
        <f>VENTAS[[#This Row],[Total]]-VENTAS[[#This Row],[Comisión 10%]]-VENTAS[[#This Row],[Costo SIN Comision]]</f>
        <v>18.08</v>
      </c>
      <c r="M886" s="14"/>
    </row>
    <row r="887" ht="20" hidden="1" customHeight="1" spans="1:13">
      <c r="A887" s="10">
        <v>45418</v>
      </c>
      <c r="B887" s="11"/>
      <c r="C887" s="11"/>
      <c r="D887" s="11" t="s">
        <v>4241</v>
      </c>
      <c r="E887" s="11" t="s">
        <v>4255</v>
      </c>
      <c r="F887" s="11" t="str">
        <f>IFERROR(VLOOKUP(VENTAS[[#This Row],[Código del producto Vendido]],STOCK[],5,FALSE),"-")</f>
        <v>Pantalón acampanado Blanco</v>
      </c>
      <c r="G887" s="11">
        <v>1</v>
      </c>
      <c r="H887" s="14">
        <v>30</v>
      </c>
      <c r="I887" s="14">
        <f>VENTAS[[#This Row],[Cantidad]]*VENTAS[[#This Row],[Precio Venta]]</f>
        <v>30</v>
      </c>
      <c r="J887" s="14">
        <f>IF(VENTAS[[#This Row],[Nombre del Gestor]]&gt;1,VENTAS[[#This Row],[Total]]*10%,0)</f>
        <v>3</v>
      </c>
      <c r="K887" s="14">
        <f>IFERROR(VLOOKUP(VENTAS[[#This Row],[Código del producto Vendido]],STOCK[],16,FALSE)*VENTAS[[#This Row],[Cantidad]]+VLOOKUP(VENTAS[[#This Row],[Código del producto Vendido]],STOCK[],19,FALSE)*VENTAS[[#This Row],[Cantidad]],VENTAS[[#This Row],[Total]])</f>
        <v>16.5</v>
      </c>
      <c r="L887" s="14">
        <f>VENTAS[[#This Row],[Total]]-VENTAS[[#This Row],[Comisión 10%]]-VENTAS[[#This Row],[Costo SIN Comision]]</f>
        <v>10.5</v>
      </c>
      <c r="M887" s="14"/>
    </row>
    <row r="888" ht="20" hidden="1" customHeight="1" spans="1:13">
      <c r="A888" s="10">
        <v>45419</v>
      </c>
      <c r="B888" s="11"/>
      <c r="C888" s="11"/>
      <c r="D888" s="11" t="s">
        <v>4241</v>
      </c>
      <c r="E888" s="11" t="s">
        <v>4256</v>
      </c>
      <c r="F888" s="11" t="str">
        <f>IFERROR(VLOOKUP(VENTAS[[#This Row],[Código del producto Vendido]],STOCK[],5,FALSE),"-")</f>
        <v>Bikini niñita Arcoíris</v>
      </c>
      <c r="G888" s="11">
        <v>1</v>
      </c>
      <c r="H888" s="14">
        <v>18</v>
      </c>
      <c r="I888" s="14">
        <f>VENTAS[[#This Row],[Cantidad]]*VENTAS[[#This Row],[Precio Venta]]</f>
        <v>18</v>
      </c>
      <c r="J888" s="14">
        <f>IF(VENTAS[[#This Row],[Nombre del Gestor]]&gt;1,VENTAS[[#This Row],[Total]]*10%,0)</f>
        <v>1.8</v>
      </c>
      <c r="K888" s="14">
        <f>IFERROR(VLOOKUP(VENTAS[[#This Row],[Código del producto Vendido]],STOCK[],16,FALSE)*VENTAS[[#This Row],[Cantidad]]+VLOOKUP(VENTAS[[#This Row],[Código del producto Vendido]],STOCK[],19,FALSE)*VENTAS[[#This Row],[Cantidad]],VENTAS[[#This Row],[Total]])</f>
        <v>11.5466666666667</v>
      </c>
      <c r="L888" s="14">
        <f>VENTAS[[#This Row],[Total]]-VENTAS[[#This Row],[Comisión 10%]]-VENTAS[[#This Row],[Costo SIN Comision]]</f>
        <v>4.65333333333333</v>
      </c>
      <c r="M888" s="14"/>
    </row>
    <row r="889" ht="20" hidden="1" customHeight="1" spans="1:13">
      <c r="A889" s="10">
        <v>45419</v>
      </c>
      <c r="B889" s="11"/>
      <c r="C889" s="11"/>
      <c r="D889" s="11" t="s">
        <v>4241</v>
      </c>
      <c r="E889" s="11" t="s">
        <v>4257</v>
      </c>
      <c r="F889" s="11" t="str">
        <f>IFERROR(VLOOKUP(VENTAS[[#This Row],[Código del producto Vendido]],STOCK[],5,FALSE),"-")</f>
        <v>Traje de baño niñitas Pastel con diadema</v>
      </c>
      <c r="G889" s="11">
        <v>1</v>
      </c>
      <c r="H889" s="14">
        <v>18</v>
      </c>
      <c r="I889" s="14">
        <f>VENTAS[[#This Row],[Cantidad]]*VENTAS[[#This Row],[Precio Venta]]</f>
        <v>18</v>
      </c>
      <c r="J889" s="14">
        <f>IF(VENTAS[[#This Row],[Nombre del Gestor]]&gt;1,VENTAS[[#This Row],[Total]]*10%,0)</f>
        <v>1.8</v>
      </c>
      <c r="K889" s="14">
        <f>IFERROR(VLOOKUP(VENTAS[[#This Row],[Código del producto Vendido]],STOCK[],16,FALSE)*VENTAS[[#This Row],[Cantidad]]+VLOOKUP(VENTAS[[#This Row],[Código del producto Vendido]],STOCK[],19,FALSE)*VENTAS[[#This Row],[Cantidad]],VENTAS[[#This Row],[Total]])</f>
        <v>11.8866666666667</v>
      </c>
      <c r="L889" s="14">
        <f>VENTAS[[#This Row],[Total]]-VENTAS[[#This Row],[Comisión 10%]]-VENTAS[[#This Row],[Costo SIN Comision]]</f>
        <v>4.31333333333333</v>
      </c>
      <c r="M889" s="14"/>
    </row>
    <row r="890" ht="20" hidden="1" customHeight="1" spans="1:13">
      <c r="A890" s="10">
        <v>45417</v>
      </c>
      <c r="B890" s="11"/>
      <c r="C890" s="11"/>
      <c r="D890" s="11" t="s">
        <v>4241</v>
      </c>
      <c r="E890" s="11" t="s">
        <v>4258</v>
      </c>
      <c r="F890" s="11" t="str">
        <f>IFERROR(VLOOKUP(VENTAS[[#This Row],[Código del producto Vendido]],STOCK[],5,FALSE),"-")</f>
        <v>Bikini niñitas unicornio con Diadema</v>
      </c>
      <c r="G890" s="11">
        <v>1</v>
      </c>
      <c r="H890" s="14">
        <v>18</v>
      </c>
      <c r="I890" s="14">
        <f>VENTAS[[#This Row],[Cantidad]]*VENTAS[[#This Row],[Precio Venta]]</f>
        <v>18</v>
      </c>
      <c r="J890" s="14">
        <f>IF(VENTAS[[#This Row],[Nombre del Gestor]]&gt;1,VENTAS[[#This Row],[Total]]*10%,0)</f>
        <v>1.8</v>
      </c>
      <c r="K890" s="14">
        <f>IFERROR(VLOOKUP(VENTAS[[#This Row],[Código del producto Vendido]],STOCK[],16,FALSE)*VENTAS[[#This Row],[Cantidad]]+VLOOKUP(VENTAS[[#This Row],[Código del producto Vendido]],STOCK[],19,FALSE)*VENTAS[[#This Row],[Cantidad]],VENTAS[[#This Row],[Total]])</f>
        <v>9.76611111111111</v>
      </c>
      <c r="L890" s="14">
        <f>VENTAS[[#This Row],[Total]]-VENTAS[[#This Row],[Comisión 10%]]-VENTAS[[#This Row],[Costo SIN Comision]]</f>
        <v>6.43388888888889</v>
      </c>
      <c r="M890" s="14"/>
    </row>
    <row r="891" ht="20" hidden="1" customHeight="1" spans="1:13">
      <c r="A891" s="10">
        <v>45416</v>
      </c>
      <c r="B891" s="11"/>
      <c r="C891" s="11"/>
      <c r="D891" s="11" t="s">
        <v>4241</v>
      </c>
      <c r="E891" s="11" t="s">
        <v>1368</v>
      </c>
      <c r="F891" s="11" t="str">
        <f>IFERROR(VLOOKUP(VENTAS[[#This Row],[Código del producto Vendido]],STOCK[],5,FALSE),"-")</f>
        <v>Falda plisada de cuadros</v>
      </c>
      <c r="G891" s="11">
        <v>1</v>
      </c>
      <c r="H891" s="14">
        <v>20</v>
      </c>
      <c r="I891" s="14">
        <f>VENTAS[[#This Row],[Cantidad]]*VENTAS[[#This Row],[Precio Venta]]</f>
        <v>20</v>
      </c>
      <c r="J891" s="14">
        <f>IF(VENTAS[[#This Row],[Nombre del Gestor]]&gt;1,VENTAS[[#This Row],[Total]]*10%,0)</f>
        <v>2</v>
      </c>
      <c r="K891" s="14">
        <f>IFERROR(VLOOKUP(VENTAS[[#This Row],[Código del producto Vendido]],STOCK[],16,FALSE)*VENTAS[[#This Row],[Cantidad]]+VLOOKUP(VENTAS[[#This Row],[Código del producto Vendido]],STOCK[],19,FALSE)*VENTAS[[#This Row],[Cantidad]],VENTAS[[#This Row],[Total]])</f>
        <v>12.74</v>
      </c>
      <c r="L891" s="14">
        <f>VENTAS[[#This Row],[Total]]-VENTAS[[#This Row],[Comisión 10%]]-VENTAS[[#This Row],[Costo SIN Comision]]</f>
        <v>5.26</v>
      </c>
      <c r="M891" s="14"/>
    </row>
    <row r="892" ht="20" hidden="1" customHeight="1" spans="1:13">
      <c r="A892" s="10">
        <v>45416</v>
      </c>
      <c r="B892" s="11"/>
      <c r="C892" s="11"/>
      <c r="D892" s="11" t="s">
        <v>4241</v>
      </c>
      <c r="E892" s="11" t="s">
        <v>246</v>
      </c>
      <c r="F892" s="11" t="str">
        <f>IFERROR(VLOOKUP(VENTAS[[#This Row],[Código del producto Vendido]],STOCK[],5,FALSE),"-")</f>
        <v>Top de mangas anchas y lentejuelas amarillo</v>
      </c>
      <c r="G892" s="11">
        <v>0</v>
      </c>
      <c r="H892" s="14">
        <v>13</v>
      </c>
      <c r="I892" s="14">
        <f>VENTAS[[#This Row],[Cantidad]]*VENTAS[[#This Row],[Precio Venta]]</f>
        <v>0</v>
      </c>
      <c r="J892" s="14">
        <f>IF(VENTAS[[#This Row],[Nombre del Gestor]]&gt;1,VENTAS[[#This Row],[Total]]*10%,0)</f>
        <v>0</v>
      </c>
      <c r="K892" s="14">
        <f>IFERROR(VLOOKUP(VENTAS[[#This Row],[Código del producto Vendido]],STOCK[],16,FALSE)*VENTAS[[#This Row],[Cantidad]]+VLOOKUP(VENTAS[[#This Row],[Código del producto Vendido]],STOCK[],19,FALSE)*VENTAS[[#This Row],[Cantidad]],VENTAS[[#This Row],[Total]])</f>
        <v>0</v>
      </c>
      <c r="L892" s="14">
        <f>VENTAS[[#This Row],[Total]]-VENTAS[[#This Row],[Comisión 10%]]-VENTAS[[#This Row],[Costo SIN Comision]]</f>
        <v>0</v>
      </c>
      <c r="M892" s="14"/>
    </row>
    <row r="893" ht="20" hidden="1" customHeight="1" spans="1:13">
      <c r="A893" s="10">
        <v>45416</v>
      </c>
      <c r="B893" s="11"/>
      <c r="C893" s="11"/>
      <c r="D893" s="11" t="s">
        <v>4241</v>
      </c>
      <c r="E893" s="11" t="s">
        <v>274</v>
      </c>
      <c r="F893" s="11" t="str">
        <f>IFERROR(VLOOKUP(VENTAS[[#This Row],[Código del producto Vendido]],STOCK[],5,FALSE),"-")</f>
        <v>Vestido playera oversize</v>
      </c>
      <c r="G893" s="11">
        <v>1</v>
      </c>
      <c r="H893" s="14">
        <v>20</v>
      </c>
      <c r="I893" s="14">
        <f>VENTAS[[#This Row],[Cantidad]]*VENTAS[[#This Row],[Precio Venta]]</f>
        <v>20</v>
      </c>
      <c r="J893" s="14">
        <f>IF(VENTAS[[#This Row],[Nombre del Gestor]]&gt;1,VENTAS[[#This Row],[Total]]*10%,0)</f>
        <v>2</v>
      </c>
      <c r="K893" s="14">
        <f>IFERROR(VLOOKUP(VENTAS[[#This Row],[Código del producto Vendido]],STOCK[],16,FALSE)*VENTAS[[#This Row],[Cantidad]]+VLOOKUP(VENTAS[[#This Row],[Código del producto Vendido]],STOCK[],19,FALSE)*VENTAS[[#This Row],[Cantidad]],VENTAS[[#This Row],[Total]])</f>
        <v>13.7888888888889</v>
      </c>
      <c r="L893" s="14">
        <f>VENTAS[[#This Row],[Total]]-VENTAS[[#This Row],[Comisión 10%]]-VENTAS[[#This Row],[Costo SIN Comision]]</f>
        <v>4.2111111111111</v>
      </c>
      <c r="M893" s="14"/>
    </row>
    <row r="894" ht="20" hidden="1" customHeight="1" spans="1:13">
      <c r="A894" s="10">
        <v>45419</v>
      </c>
      <c r="B894" s="11"/>
      <c r="C894" s="11"/>
      <c r="D894" s="11"/>
      <c r="E894" s="11" t="s">
        <v>4259</v>
      </c>
      <c r="F894" s="11" t="str">
        <f>IFERROR(VLOOKUP(VENTAS[[#This Row],[Código del producto Vendido]],STOCK[],5,FALSE),"-")</f>
        <v>Sandalias negras acolchadas</v>
      </c>
      <c r="G894" s="11">
        <v>1</v>
      </c>
      <c r="H894" s="14">
        <v>27</v>
      </c>
      <c r="I894" s="14">
        <f>VENTAS[[#This Row],[Cantidad]]*VENTAS[[#This Row],[Precio Venta]]</f>
        <v>27</v>
      </c>
      <c r="J894" s="14">
        <f>IF(VENTAS[[#This Row],[Nombre del Gestor]]&gt;1,VENTAS[[#This Row],[Total]]*10%,0)</f>
        <v>0</v>
      </c>
      <c r="K894" s="14">
        <f>IFERROR(VLOOKUP(VENTAS[[#This Row],[Código del producto Vendido]],STOCK[],16,FALSE)*VENTAS[[#This Row],[Cantidad]]+VLOOKUP(VENTAS[[#This Row],[Código del producto Vendido]],STOCK[],19,FALSE)*VENTAS[[#This Row],[Cantidad]],VENTAS[[#This Row],[Total]])</f>
        <v>12.49</v>
      </c>
      <c r="L894" s="14">
        <f>VENTAS[[#This Row],[Total]]-VENTAS[[#This Row],[Comisión 10%]]-VENTAS[[#This Row],[Costo SIN Comision]]</f>
        <v>14.51</v>
      </c>
      <c r="M894" s="14"/>
    </row>
    <row r="895" ht="20" hidden="1" customHeight="1" spans="1:13">
      <c r="A895" s="10">
        <v>45418</v>
      </c>
      <c r="B895" s="11"/>
      <c r="C895" s="11"/>
      <c r="D895" s="11" t="s">
        <v>4241</v>
      </c>
      <c r="E895" s="11" t="s">
        <v>1481</v>
      </c>
      <c r="F895" s="11" t="str">
        <f>IFERROR(VLOOKUP(VENTAS[[#This Row],[Código del producto Vendido]],STOCK[],5,FALSE),"-")</f>
        <v>Botas negras de zíper</v>
      </c>
      <c r="G895" s="11">
        <v>1</v>
      </c>
      <c r="H895" s="14">
        <v>45</v>
      </c>
      <c r="I895" s="14">
        <f>VENTAS[[#This Row],[Cantidad]]*VENTAS[[#This Row],[Precio Venta]]</f>
        <v>45</v>
      </c>
      <c r="J895" s="14">
        <f>IF(VENTAS[[#This Row],[Nombre del Gestor]]&gt;1,VENTAS[[#This Row],[Total]]*10%,0)</f>
        <v>4.5</v>
      </c>
      <c r="K895" s="14">
        <f>IFERROR(VLOOKUP(VENTAS[[#This Row],[Código del producto Vendido]],STOCK[],16,FALSE)*VENTAS[[#This Row],[Cantidad]]+VLOOKUP(VENTAS[[#This Row],[Código del producto Vendido]],STOCK[],19,FALSE)*VENTAS[[#This Row],[Cantidad]],VENTAS[[#This Row],[Total]])</f>
        <v>30</v>
      </c>
      <c r="L895" s="14">
        <f>VENTAS[[#This Row],[Total]]-VENTAS[[#This Row],[Comisión 10%]]-VENTAS[[#This Row],[Costo SIN Comision]]</f>
        <v>10.5</v>
      </c>
      <c r="M895" s="14"/>
    </row>
    <row r="896" ht="20" hidden="1" customHeight="1" spans="1:13">
      <c r="A896" s="10">
        <v>45418</v>
      </c>
      <c r="B896" s="11"/>
      <c r="C896" s="11"/>
      <c r="D896" s="11" t="s">
        <v>4241</v>
      </c>
      <c r="E896" s="11" t="s">
        <v>31</v>
      </c>
      <c r="F896" s="11" t="str">
        <f>IFERROR(VLOOKUP(VENTAS[[#This Row],[Código del producto Vendido]],STOCK[],5,FALSE),"-")</f>
        <v>Pareo falda </v>
      </c>
      <c r="G896" s="11">
        <v>1</v>
      </c>
      <c r="H896" s="14">
        <v>8</v>
      </c>
      <c r="I896" s="14">
        <f>VENTAS[[#This Row],[Cantidad]]*VENTAS[[#This Row],[Precio Venta]]</f>
        <v>8</v>
      </c>
      <c r="J896" s="14">
        <f>IF(VENTAS[[#This Row],[Nombre del Gestor]]&gt;1,VENTAS[[#This Row],[Total]]*10%,0)</f>
        <v>0.8</v>
      </c>
      <c r="K896" s="14">
        <f>IFERROR(VLOOKUP(VENTAS[[#This Row],[Código del producto Vendido]],STOCK[],16,FALSE)*VENTAS[[#This Row],[Cantidad]]+VLOOKUP(VENTAS[[#This Row],[Código del producto Vendido]],STOCK[],19,FALSE)*VENTAS[[#This Row],[Cantidad]],VENTAS[[#This Row],[Total]])</f>
        <v>4.33722222222222</v>
      </c>
      <c r="L896" s="14">
        <f>VENTAS[[#This Row],[Total]]-VENTAS[[#This Row],[Comisión 10%]]-VENTAS[[#This Row],[Costo SIN Comision]]</f>
        <v>2.86277777777778</v>
      </c>
      <c r="M896" s="14"/>
    </row>
    <row r="897" ht="20" hidden="1" customHeight="1" spans="1:13">
      <c r="A897" s="10">
        <v>45435</v>
      </c>
      <c r="B897" s="11"/>
      <c r="C897" s="11"/>
      <c r="D897" s="11" t="s">
        <v>4228</v>
      </c>
      <c r="E897" s="11" t="s">
        <v>81</v>
      </c>
      <c r="F897" s="11" t="str">
        <f>IFERROR(VLOOKUP(VENTAS[[#This Row],[Código del producto Vendido]],STOCK[],5,FALSE),"-")</f>
        <v>Pareo pantalón de malla</v>
      </c>
      <c r="G897" s="11">
        <v>1</v>
      </c>
      <c r="H897" s="14">
        <v>15</v>
      </c>
      <c r="I897" s="14">
        <f>VENTAS[[#This Row],[Cantidad]]*VENTAS[[#This Row],[Precio Venta]]</f>
        <v>15</v>
      </c>
      <c r="J897" s="14">
        <f>IF(VENTAS[[#This Row],[Nombre del Gestor]]&gt;1,VENTAS[[#This Row],[Total]]*10%,0)</f>
        <v>1.5</v>
      </c>
      <c r="K897" s="14">
        <f>IFERROR(VLOOKUP(VENTAS[[#This Row],[Código del producto Vendido]],STOCK[],16,FALSE)*VENTAS[[#This Row],[Cantidad]]+VLOOKUP(VENTAS[[#This Row],[Código del producto Vendido]],STOCK[],19,FALSE)*VENTAS[[#This Row],[Cantidad]],VENTAS[[#This Row],[Total]])</f>
        <v>9.95555555555556</v>
      </c>
      <c r="L897" s="14">
        <f>VENTAS[[#This Row],[Total]]-VENTAS[[#This Row],[Comisión 10%]]-VENTAS[[#This Row],[Costo SIN Comision]]</f>
        <v>3.54444444444444</v>
      </c>
      <c r="M897" s="14"/>
    </row>
    <row r="898" ht="20" hidden="1" customHeight="1" spans="1:13">
      <c r="A898" s="10">
        <v>45418</v>
      </c>
      <c r="B898" s="11"/>
      <c r="C898" s="11"/>
      <c r="D898" s="11" t="s">
        <v>4241</v>
      </c>
      <c r="E898" s="11" t="s">
        <v>86</v>
      </c>
      <c r="F898" s="11" t="str">
        <f>IFERROR(VLOOKUP(VENTAS[[#This Row],[Código del producto Vendido]],STOCK[],5,FALSE),"-")</f>
        <v>Bikini elegante con herrajes color humo</v>
      </c>
      <c r="G898" s="11">
        <v>1</v>
      </c>
      <c r="H898" s="14">
        <v>18</v>
      </c>
      <c r="I898" s="14">
        <f>VENTAS[[#This Row],[Cantidad]]*VENTAS[[#This Row],[Precio Venta]]</f>
        <v>18</v>
      </c>
      <c r="J898" s="14">
        <f>IF(VENTAS[[#This Row],[Nombre del Gestor]]&gt;1,VENTAS[[#This Row],[Total]]*10%,0)</f>
        <v>1.8</v>
      </c>
      <c r="K898" s="14">
        <f>IFERROR(VLOOKUP(VENTAS[[#This Row],[Código del producto Vendido]],STOCK[],16,FALSE)*VENTAS[[#This Row],[Cantidad]]+VLOOKUP(VENTAS[[#This Row],[Código del producto Vendido]],STOCK[],19,FALSE)*VENTAS[[#This Row],[Cantidad]],VENTAS[[#This Row],[Total]])</f>
        <v>12.6972222222222</v>
      </c>
      <c r="L898" s="14">
        <f>VENTAS[[#This Row],[Total]]-VENTAS[[#This Row],[Comisión 10%]]-VENTAS[[#This Row],[Costo SIN Comision]]</f>
        <v>3.50277777777778</v>
      </c>
      <c r="M898" s="14"/>
    </row>
    <row r="899" ht="20" hidden="1" customHeight="1" spans="1:13">
      <c r="A899" s="10">
        <v>45416</v>
      </c>
      <c r="B899" s="11"/>
      <c r="C899" s="11"/>
      <c r="D899" s="11" t="s">
        <v>4241</v>
      </c>
      <c r="E899" s="11" t="s">
        <v>510</v>
      </c>
      <c r="F899" s="11" t="str">
        <f>IFERROR(VLOOKUP(VENTAS[[#This Row],[Código del producto Vendido]],STOCK[],5,FALSE),"-")</f>
        <v>Set 3 piezas bikini</v>
      </c>
      <c r="G899" s="11">
        <v>1</v>
      </c>
      <c r="H899" s="14">
        <v>25</v>
      </c>
      <c r="I899" s="14">
        <f>VENTAS[[#This Row],[Cantidad]]*VENTAS[[#This Row],[Precio Venta]]</f>
        <v>25</v>
      </c>
      <c r="J899" s="14">
        <f>IF(VENTAS[[#This Row],[Nombre del Gestor]]&gt;1,VENTAS[[#This Row],[Total]]*10%,0)</f>
        <v>2.5</v>
      </c>
      <c r="K899" s="14">
        <f>IFERROR(VLOOKUP(VENTAS[[#This Row],[Código del producto Vendido]],STOCK[],16,FALSE)*VENTAS[[#This Row],[Cantidad]]+VLOOKUP(VENTAS[[#This Row],[Código del producto Vendido]],STOCK[],19,FALSE)*VENTAS[[#This Row],[Cantidad]],VENTAS[[#This Row],[Total]])</f>
        <v>16.0444444444444</v>
      </c>
      <c r="L899" s="14">
        <f>VENTAS[[#This Row],[Total]]-VENTAS[[#This Row],[Comisión 10%]]-VENTAS[[#This Row],[Costo SIN Comision]]</f>
        <v>6.4555555555556</v>
      </c>
      <c r="M899" s="14"/>
    </row>
    <row r="900" ht="20" hidden="1" customHeight="1" spans="1:13">
      <c r="A900" s="10">
        <v>45416</v>
      </c>
      <c r="B900" s="11"/>
      <c r="C900" s="11"/>
      <c r="D900" s="11" t="s">
        <v>4241</v>
      </c>
      <c r="E900" s="11" t="s">
        <v>752</v>
      </c>
      <c r="F900" s="11" t="str">
        <f>IFERROR(VLOOKUP(VENTAS[[#This Row],[Código del producto Vendido]],STOCK[],5,FALSE),"-")</f>
        <v>Sandalias trenzadas</v>
      </c>
      <c r="G900" s="11">
        <v>1</v>
      </c>
      <c r="H900" s="14">
        <v>35</v>
      </c>
      <c r="I900" s="14">
        <f>VENTAS[[#This Row],[Cantidad]]*VENTAS[[#This Row],[Precio Venta]]</f>
        <v>35</v>
      </c>
      <c r="J900" s="14">
        <f>IF(VENTAS[[#This Row],[Nombre del Gestor]]&gt;1,VENTAS[[#This Row],[Total]]*10%,0)</f>
        <v>3.5</v>
      </c>
      <c r="K900" s="14">
        <f>IFERROR(VLOOKUP(VENTAS[[#This Row],[Código del producto Vendido]],STOCK[],16,FALSE)*VENTAS[[#This Row],[Cantidad]]+VLOOKUP(VENTAS[[#This Row],[Código del producto Vendido]],STOCK[],19,FALSE)*VENTAS[[#This Row],[Cantidad]],VENTAS[[#This Row],[Total]])</f>
        <v>27</v>
      </c>
      <c r="L900" s="14">
        <f>VENTAS[[#This Row],[Total]]-VENTAS[[#This Row],[Comisión 10%]]-VENTAS[[#This Row],[Costo SIN Comision]]</f>
        <v>4.5</v>
      </c>
      <c r="M900" s="14"/>
    </row>
    <row r="901" ht="20" hidden="1" customHeight="1" spans="1:13">
      <c r="A901" s="10">
        <v>45416</v>
      </c>
      <c r="B901" s="11"/>
      <c r="C901" s="11" t="s">
        <v>4260</v>
      </c>
      <c r="D901" s="11"/>
      <c r="E901" s="11" t="s">
        <v>769</v>
      </c>
      <c r="F901" s="11" t="str">
        <f>IFERROR(VLOOKUP(VENTAS[[#This Row],[Código del producto Vendido]],STOCK[],5,FALSE),"-")</f>
        <v>Alpargatas a cuadros</v>
      </c>
      <c r="G901" s="11">
        <v>1</v>
      </c>
      <c r="H901" s="14">
        <v>0</v>
      </c>
      <c r="I901" s="14">
        <f>VENTAS[[#This Row],[Cantidad]]*VENTAS[[#This Row],[Precio Venta]]</f>
        <v>0</v>
      </c>
      <c r="J901" s="14">
        <f>IF(VENTAS[[#This Row],[Nombre del Gestor]]&gt;1,VENTAS[[#This Row],[Total]]*10%,0)</f>
        <v>0</v>
      </c>
      <c r="K901" s="14">
        <f>IFERROR(VLOOKUP(VENTAS[[#This Row],[Código del producto Vendido]],STOCK[],16,FALSE)*VENTAS[[#This Row],[Cantidad]]+VLOOKUP(VENTAS[[#This Row],[Código del producto Vendido]],STOCK[],19,FALSE)*VENTAS[[#This Row],[Cantidad]],VENTAS[[#This Row],[Total]])</f>
        <v>11.8888888888889</v>
      </c>
      <c r="L901" s="14">
        <f>VENTAS[[#This Row],[Total]]-VENTAS[[#This Row],[Comisión 10%]]-VENTAS[[#This Row],[Costo SIN Comision]]</f>
        <v>-11.8888888888889</v>
      </c>
      <c r="M901" s="14"/>
    </row>
    <row r="902" ht="20" hidden="1" customHeight="1" spans="1:13">
      <c r="A902" s="10">
        <v>45416</v>
      </c>
      <c r="B902" s="11"/>
      <c r="C902" s="11"/>
      <c r="D902" s="11" t="s">
        <v>4241</v>
      </c>
      <c r="E902" s="11" t="s">
        <v>964</v>
      </c>
      <c r="F902" s="11" t="str">
        <f>IFERROR(VLOOKUP(VENTAS[[#This Row],[Código del producto Vendido]],STOCK[],5,FALSE),"-")</f>
        <v>Pantalón business básico</v>
      </c>
      <c r="G902" s="11">
        <v>1</v>
      </c>
      <c r="H902" s="14">
        <v>30</v>
      </c>
      <c r="I902" s="14">
        <f>VENTAS[[#This Row],[Cantidad]]*VENTAS[[#This Row],[Precio Venta]]</f>
        <v>30</v>
      </c>
      <c r="J902" s="14">
        <f>IF(VENTAS[[#This Row],[Nombre del Gestor]]&gt;1,VENTAS[[#This Row],[Total]]*10%,0)</f>
        <v>3</v>
      </c>
      <c r="K902" s="14">
        <f>IFERROR(VLOOKUP(VENTAS[[#This Row],[Código del producto Vendido]],STOCK[],16,FALSE)*VENTAS[[#This Row],[Cantidad]]+VLOOKUP(VENTAS[[#This Row],[Código del producto Vendido]],STOCK[],19,FALSE)*VENTAS[[#This Row],[Cantidad]],VENTAS[[#This Row],[Total]])</f>
        <v>21.3722727272727</v>
      </c>
      <c r="L902" s="14">
        <f>VENTAS[[#This Row],[Total]]-VENTAS[[#This Row],[Comisión 10%]]-VENTAS[[#This Row],[Costo SIN Comision]]</f>
        <v>5.6277272727273</v>
      </c>
      <c r="M902" s="14"/>
    </row>
    <row r="903" ht="20" hidden="1" customHeight="1" spans="1:13">
      <c r="A903" s="10">
        <v>45435</v>
      </c>
      <c r="B903" s="11"/>
      <c r="C903" s="11"/>
      <c r="D903" s="11"/>
      <c r="E903" s="11" t="s">
        <v>968</v>
      </c>
      <c r="F903" s="11" t="str">
        <f>IFERROR(VLOOKUP(VENTAS[[#This Row],[Código del producto Vendido]],STOCK[],5,FALSE),"-")</f>
        <v> Top Básico Business</v>
      </c>
      <c r="G903" s="11">
        <v>1</v>
      </c>
      <c r="H903" s="14">
        <v>10</v>
      </c>
      <c r="I903" s="14">
        <f>VENTAS[[#This Row],[Cantidad]]*VENTAS[[#This Row],[Precio Venta]]</f>
        <v>10</v>
      </c>
      <c r="J903" s="14">
        <f>IF(VENTAS[[#This Row],[Nombre del Gestor]]&gt;1,VENTAS[[#This Row],[Total]]*10%,0)</f>
        <v>0</v>
      </c>
      <c r="K903" s="14">
        <f>IFERROR(VLOOKUP(VENTAS[[#This Row],[Código del producto Vendido]],STOCK[],16,FALSE)*VENTAS[[#This Row],[Cantidad]]+VLOOKUP(VENTAS[[#This Row],[Código del producto Vendido]],STOCK[],19,FALSE)*VENTAS[[#This Row],[Cantidad]],VENTAS[[#This Row],[Total]])</f>
        <v>6.78409090909091</v>
      </c>
      <c r="L903" s="14">
        <f>VENTAS[[#This Row],[Total]]-VENTAS[[#This Row],[Comisión 10%]]-VENTAS[[#This Row],[Costo SIN Comision]]</f>
        <v>3.21590909090909</v>
      </c>
      <c r="M903" s="14"/>
    </row>
    <row r="904" ht="20" hidden="1" customHeight="1" spans="1:13">
      <c r="A904" s="10">
        <v>45416</v>
      </c>
      <c r="B904" s="11"/>
      <c r="C904" s="11"/>
      <c r="D904" s="11"/>
      <c r="E904" s="11" t="s">
        <v>1206</v>
      </c>
      <c r="F904" s="11" t="str">
        <f>IFERROR(VLOOKUP(VENTAS[[#This Row],[Código del producto Vendido]],STOCK[],5,FALSE),"-")</f>
        <v>Pantaloneta de zíper</v>
      </c>
      <c r="G904" s="11">
        <v>1</v>
      </c>
      <c r="H904" s="14">
        <v>20</v>
      </c>
      <c r="I904" s="14">
        <f>VENTAS[[#This Row],[Cantidad]]*VENTAS[[#This Row],[Precio Venta]]</f>
        <v>20</v>
      </c>
      <c r="J904" s="14">
        <f>IF(VENTAS[[#This Row],[Nombre del Gestor]]&gt;1,VENTAS[[#This Row],[Total]]*10%,0)</f>
        <v>0</v>
      </c>
      <c r="K904" s="14">
        <f>IFERROR(VLOOKUP(VENTAS[[#This Row],[Código del producto Vendido]],STOCK[],16,FALSE)*VENTAS[[#This Row],[Cantidad]]+VLOOKUP(VENTAS[[#This Row],[Código del producto Vendido]],STOCK[],19,FALSE)*VENTAS[[#This Row],[Cantidad]],VENTAS[[#This Row],[Total]])</f>
        <v>13.36</v>
      </c>
      <c r="L904" s="14">
        <f>VENTAS[[#This Row],[Total]]-VENTAS[[#This Row],[Comisión 10%]]-VENTAS[[#This Row],[Costo SIN Comision]]</f>
        <v>6.64</v>
      </c>
      <c r="M904" s="14"/>
    </row>
    <row r="905" ht="20" hidden="1" customHeight="1" spans="1:13">
      <c r="A905" s="10">
        <v>45435</v>
      </c>
      <c r="B905" s="11"/>
      <c r="C905" s="11"/>
      <c r="D905" s="11" t="s">
        <v>4241</v>
      </c>
      <c r="E905" s="11" t="s">
        <v>1438</v>
      </c>
      <c r="F905" s="11" t="str">
        <f>IFERROR(VLOOKUP(VENTAS[[#This Row],[Código del producto Vendido]],STOCK[],5,FALSE),"-")</f>
        <v>Sandalias de velcro</v>
      </c>
      <c r="G905" s="11">
        <v>1</v>
      </c>
      <c r="H905" s="14">
        <v>30</v>
      </c>
      <c r="I905" s="14">
        <f>VENTAS[[#This Row],[Cantidad]]*VENTAS[[#This Row],[Precio Venta]]</f>
        <v>30</v>
      </c>
      <c r="J905" s="14">
        <f>IF(VENTAS[[#This Row],[Nombre del Gestor]]&gt;1,VENTAS[[#This Row],[Total]]*10%,0)</f>
        <v>3</v>
      </c>
      <c r="K905" s="14">
        <f>IFERROR(VLOOKUP(VENTAS[[#This Row],[Código del producto Vendido]],STOCK[],16,FALSE)*VENTAS[[#This Row],[Cantidad]]+VLOOKUP(VENTAS[[#This Row],[Código del producto Vendido]],STOCK[],19,FALSE)*VENTAS[[#This Row],[Cantidad]],VENTAS[[#This Row],[Total]])</f>
        <v>17</v>
      </c>
      <c r="L905" s="14">
        <f>VENTAS[[#This Row],[Total]]-VENTAS[[#This Row],[Comisión 10%]]-VENTAS[[#This Row],[Costo SIN Comision]]</f>
        <v>10</v>
      </c>
      <c r="M905" s="14"/>
    </row>
    <row r="906" ht="20" hidden="1" customHeight="1" spans="1:13">
      <c r="A906" s="10">
        <v>45434</v>
      </c>
      <c r="B906" s="11"/>
      <c r="C906" s="11"/>
      <c r="D906" s="11" t="s">
        <v>4241</v>
      </c>
      <c r="E906" s="11" t="s">
        <v>1761</v>
      </c>
      <c r="F906" s="11" t="str">
        <f>IFERROR(VLOOKUP(VENTAS[[#This Row],[Código del producto Vendido]],STOCK[],5,FALSE),"-")</f>
        <v>Zapatillas blanco casual</v>
      </c>
      <c r="G906" s="11">
        <v>2</v>
      </c>
      <c r="H906" s="14">
        <v>30</v>
      </c>
      <c r="I906" s="14">
        <f>VENTAS[[#This Row],[Cantidad]]*VENTAS[[#This Row],[Precio Venta]]</f>
        <v>60</v>
      </c>
      <c r="J906" s="14">
        <f>IF(VENTAS[[#This Row],[Nombre del Gestor]]&gt;1,VENTAS[[#This Row],[Total]]*10%,0)</f>
        <v>6</v>
      </c>
      <c r="K906" s="14">
        <f>IFERROR(VLOOKUP(VENTAS[[#This Row],[Código del producto Vendido]],STOCK[],16,FALSE)*VENTAS[[#This Row],[Cantidad]]+VLOOKUP(VENTAS[[#This Row],[Código del producto Vendido]],STOCK[],19,FALSE)*VENTAS[[#This Row],[Cantidad]],VENTAS[[#This Row],[Total]])</f>
        <v>50.9411764705882</v>
      </c>
      <c r="L906" s="14">
        <f>VENTAS[[#This Row],[Total]]-VENTAS[[#This Row],[Comisión 10%]]-VENTAS[[#This Row],[Costo SIN Comision]]</f>
        <v>3.0588235294118</v>
      </c>
      <c r="M906" s="14"/>
    </row>
    <row r="907" ht="20" hidden="1" customHeight="1" spans="1:13">
      <c r="A907" s="10">
        <v>45422</v>
      </c>
      <c r="B907" s="11"/>
      <c r="C907" s="11"/>
      <c r="D907" s="11" t="s">
        <v>4241</v>
      </c>
      <c r="E907" s="11" t="s">
        <v>1818</v>
      </c>
      <c r="F907" s="11" t="str">
        <f>IFERROR(VLOOKUP(VENTAS[[#This Row],[Código del producto Vendido]],STOCK[],5,FALSE),"-")</f>
        <v>Vestido Midi Elegante</v>
      </c>
      <c r="G907" s="11">
        <v>1</v>
      </c>
      <c r="H907" s="14">
        <v>22</v>
      </c>
      <c r="I907" s="14">
        <f>VENTAS[[#This Row],[Cantidad]]*VENTAS[[#This Row],[Precio Venta]]</f>
        <v>22</v>
      </c>
      <c r="J907" s="14">
        <f>IF(VENTAS[[#This Row],[Nombre del Gestor]]&gt;1,VENTAS[[#This Row],[Total]]*10%,0)</f>
        <v>2.2</v>
      </c>
      <c r="K907" s="14">
        <f>IFERROR(VLOOKUP(VENTAS[[#This Row],[Código del producto Vendido]],STOCK[],16,FALSE)*VENTAS[[#This Row],[Cantidad]]+VLOOKUP(VENTAS[[#This Row],[Código del producto Vendido]],STOCK[],19,FALSE)*VENTAS[[#This Row],[Cantidad]],VENTAS[[#This Row],[Total]])</f>
        <v>10.79</v>
      </c>
      <c r="L907" s="14">
        <f>VENTAS[[#This Row],[Total]]-VENTAS[[#This Row],[Comisión 10%]]-VENTAS[[#This Row],[Costo SIN Comision]]</f>
        <v>9.01</v>
      </c>
      <c r="M907" s="14"/>
    </row>
    <row r="908" ht="20" hidden="1" customHeight="1" spans="1:13">
      <c r="A908" s="11"/>
      <c r="B908" s="11"/>
      <c r="C908" s="11" t="s">
        <v>4151</v>
      </c>
      <c r="D908" s="11"/>
      <c r="E908" s="11" t="s">
        <v>1818</v>
      </c>
      <c r="F908" s="11" t="str">
        <f>IFERROR(VLOOKUP(VENTAS[[#This Row],[Código del producto Vendido]],STOCK[],5,FALSE),"-")</f>
        <v>Vestido Midi Elegante</v>
      </c>
      <c r="G908" s="11">
        <v>1</v>
      </c>
      <c r="H908" s="14">
        <v>22</v>
      </c>
      <c r="I908" s="14">
        <f>VENTAS[[#This Row],[Cantidad]]*VENTAS[[#This Row],[Precio Venta]]</f>
        <v>22</v>
      </c>
      <c r="J908" s="14">
        <f>IF(VENTAS[[#This Row],[Nombre del Gestor]]&gt;1,VENTAS[[#This Row],[Total]]*10%,0)</f>
        <v>0</v>
      </c>
      <c r="K908" s="14">
        <f>IFERROR(VLOOKUP(VENTAS[[#This Row],[Código del producto Vendido]],STOCK[],16,FALSE)*VENTAS[[#This Row],[Cantidad]]+VLOOKUP(VENTAS[[#This Row],[Código del producto Vendido]],STOCK[],19,FALSE)*VENTAS[[#This Row],[Cantidad]],VENTAS[[#This Row],[Total]])</f>
        <v>10.79</v>
      </c>
      <c r="L908" s="14">
        <f>VENTAS[[#This Row],[Total]]-VENTAS[[#This Row],[Comisión 10%]]-VENTAS[[#This Row],[Costo SIN Comision]]</f>
        <v>11.21</v>
      </c>
      <c r="M908" s="14"/>
    </row>
    <row r="909" ht="20" hidden="1" customHeight="1" spans="1:13">
      <c r="A909" s="11"/>
      <c r="B909" s="11"/>
      <c r="C909" s="11" t="s">
        <v>4261</v>
      </c>
      <c r="D909" s="11"/>
      <c r="E909" s="11" t="s">
        <v>1823</v>
      </c>
      <c r="F909" s="11" t="str">
        <f>IFERROR(VLOOKUP(VENTAS[[#This Row],[Código del producto Vendido]],STOCK[],5,FALSE),"-")</f>
        <v>Vestido Midi Elegante</v>
      </c>
      <c r="G909" s="11">
        <v>1</v>
      </c>
      <c r="H909" s="14">
        <v>22</v>
      </c>
      <c r="I909" s="14">
        <f>VENTAS[[#This Row],[Cantidad]]*VENTAS[[#This Row],[Precio Venta]]</f>
        <v>22</v>
      </c>
      <c r="J909" s="14">
        <f>IF(VENTAS[[#This Row],[Nombre del Gestor]]&gt;1,VENTAS[[#This Row],[Total]]*10%,0)</f>
        <v>0</v>
      </c>
      <c r="K909" s="14">
        <f>IFERROR(VLOOKUP(VENTAS[[#This Row],[Código del producto Vendido]],STOCK[],16,FALSE)*VENTAS[[#This Row],[Cantidad]]+VLOOKUP(VENTAS[[#This Row],[Código del producto Vendido]],STOCK[],19,FALSE)*VENTAS[[#This Row],[Cantidad]],VENTAS[[#This Row],[Total]])</f>
        <v>10.79</v>
      </c>
      <c r="L909" s="14">
        <f>VENTAS[[#This Row],[Total]]-VENTAS[[#This Row],[Comisión 10%]]-VENTAS[[#This Row],[Costo SIN Comision]]</f>
        <v>11.21</v>
      </c>
      <c r="M909" s="14"/>
    </row>
    <row r="910" ht="20" hidden="1" customHeight="1" spans="1:13">
      <c r="A910" s="10">
        <v>45421</v>
      </c>
      <c r="B910" s="11"/>
      <c r="C910" s="11"/>
      <c r="D910" s="11" t="s">
        <v>4241</v>
      </c>
      <c r="E910" s="11" t="s">
        <v>1894</v>
      </c>
      <c r="F910" s="11" t="str">
        <f>IFERROR(VLOOKUP(VENTAS[[#This Row],[Código del producto Vendido]],STOCK[],5,FALSE),"-")</f>
        <v>Set de bolso minimalista negro</v>
      </c>
      <c r="G910" s="11">
        <v>1</v>
      </c>
      <c r="H910" s="14">
        <v>25</v>
      </c>
      <c r="I910" s="14">
        <f>VENTAS[[#This Row],[Cantidad]]*VENTAS[[#This Row],[Precio Venta]]</f>
        <v>25</v>
      </c>
      <c r="J910" s="14">
        <f>IF(VENTAS[[#This Row],[Nombre del Gestor]]&gt;1,VENTAS[[#This Row],[Total]]*10%,0)</f>
        <v>2.5</v>
      </c>
      <c r="K910" s="14">
        <f>IFERROR(VLOOKUP(VENTAS[[#This Row],[Código del producto Vendido]],STOCK[],16,FALSE)*VENTAS[[#This Row],[Cantidad]]+VLOOKUP(VENTAS[[#This Row],[Código del producto Vendido]],STOCK[],19,FALSE)*VENTAS[[#This Row],[Cantidad]],VENTAS[[#This Row],[Total]])</f>
        <v>12.75</v>
      </c>
      <c r="L910" s="14">
        <f>VENTAS[[#This Row],[Total]]-VENTAS[[#This Row],[Comisión 10%]]-VENTAS[[#This Row],[Costo SIN Comision]]</f>
        <v>9.75</v>
      </c>
      <c r="M910" s="14"/>
    </row>
    <row r="911" ht="20" hidden="1" customHeight="1" spans="1:13">
      <c r="A911" s="10">
        <v>45428</v>
      </c>
      <c r="B911" s="11"/>
      <c r="C911" s="11"/>
      <c r="D911" s="11" t="s">
        <v>4241</v>
      </c>
      <c r="E911" s="11" t="s">
        <v>1896</v>
      </c>
      <c r="F911" s="11" t="str">
        <f>IFERROR(VLOOKUP(VENTAS[[#This Row],[Código del producto Vendido]],STOCK[],5,FALSE),"-")</f>
        <v>Set de bolso minimalista amarillo</v>
      </c>
      <c r="G911" s="11">
        <v>1</v>
      </c>
      <c r="H911" s="14">
        <v>25</v>
      </c>
      <c r="I911" s="14">
        <f>VENTAS[[#This Row],[Cantidad]]*VENTAS[[#This Row],[Precio Venta]]</f>
        <v>25</v>
      </c>
      <c r="J911" s="14">
        <f>IF(VENTAS[[#This Row],[Nombre del Gestor]]&gt;1,VENTAS[[#This Row],[Total]]*10%,0)</f>
        <v>2.5</v>
      </c>
      <c r="K911" s="14">
        <f>IFERROR(VLOOKUP(VENTAS[[#This Row],[Código del producto Vendido]],STOCK[],16,FALSE)*VENTAS[[#This Row],[Cantidad]]+VLOOKUP(VENTAS[[#This Row],[Código del producto Vendido]],STOCK[],19,FALSE)*VENTAS[[#This Row],[Cantidad]],VENTAS[[#This Row],[Total]])</f>
        <v>12.75</v>
      </c>
      <c r="L911" s="14">
        <f>VENTAS[[#This Row],[Total]]-VENTAS[[#This Row],[Comisión 10%]]-VENTAS[[#This Row],[Costo SIN Comision]]</f>
        <v>9.75</v>
      </c>
      <c r="M911" s="14"/>
    </row>
    <row r="912" ht="20" hidden="1" customHeight="1" spans="1:13">
      <c r="A912" s="10">
        <v>45428</v>
      </c>
      <c r="B912" s="11"/>
      <c r="C912" s="11"/>
      <c r="D912" s="11" t="s">
        <v>4241</v>
      </c>
      <c r="E912" s="11" t="s">
        <v>1303</v>
      </c>
      <c r="F912" s="11" t="str">
        <f>IFERROR(VLOOKUP(VENTAS[[#This Row],[Código del producto Vendido]],STOCK[],5,FALSE),"-")</f>
        <v>Jean ajustado Claro</v>
      </c>
      <c r="G912" s="11">
        <v>1</v>
      </c>
      <c r="H912" s="14">
        <v>30</v>
      </c>
      <c r="I912" s="14">
        <f>VENTAS[[#This Row],[Cantidad]]*VENTAS[[#This Row],[Precio Venta]]</f>
        <v>30</v>
      </c>
      <c r="J912" s="14">
        <f>IF(VENTAS[[#This Row],[Nombre del Gestor]]&gt;1,VENTAS[[#This Row],[Total]]*10%,0)</f>
        <v>3</v>
      </c>
      <c r="K912" s="14">
        <f>IFERROR(VLOOKUP(VENTAS[[#This Row],[Código del producto Vendido]],STOCK[],16,FALSE)*VENTAS[[#This Row],[Cantidad]]+VLOOKUP(VENTAS[[#This Row],[Código del producto Vendido]],STOCK[],19,FALSE)*VENTAS[[#This Row],[Cantidad]],VENTAS[[#This Row],[Total]])</f>
        <v>23.79</v>
      </c>
      <c r="L912" s="14">
        <f>VENTAS[[#This Row],[Total]]-VENTAS[[#This Row],[Comisión 10%]]-VENTAS[[#This Row],[Costo SIN Comision]]</f>
        <v>3.21</v>
      </c>
      <c r="M912" s="14"/>
    </row>
    <row r="913" ht="20" hidden="1" customHeight="1" spans="1:13">
      <c r="A913" s="10">
        <v>45428</v>
      </c>
      <c r="B913" s="11"/>
      <c r="C913" s="11"/>
      <c r="D913" s="11" t="s">
        <v>4241</v>
      </c>
      <c r="E913" s="11" t="s">
        <v>1523</v>
      </c>
      <c r="F913" s="11" t="str">
        <f>IFERROR(VLOOKUP(VENTAS[[#This Row],[Código del producto Vendido]],STOCK[],5,FALSE),"-")</f>
        <v>Sandalias Albaricoque</v>
      </c>
      <c r="G913" s="11">
        <v>1</v>
      </c>
      <c r="H913" s="14">
        <v>35</v>
      </c>
      <c r="I913" s="14">
        <f>VENTAS[[#This Row],[Cantidad]]*VENTAS[[#This Row],[Precio Venta]]</f>
        <v>35</v>
      </c>
      <c r="J913" s="14">
        <f>IF(VENTAS[[#This Row],[Nombre del Gestor]]&gt;1,VENTAS[[#This Row],[Total]]*10%,0)</f>
        <v>3.5</v>
      </c>
      <c r="K913" s="14">
        <f>IFERROR(VLOOKUP(VENTAS[[#This Row],[Código del producto Vendido]],STOCK[],16,FALSE)*VENTAS[[#This Row],[Cantidad]]+VLOOKUP(VENTAS[[#This Row],[Código del producto Vendido]],STOCK[],19,FALSE)*VENTAS[[#This Row],[Cantidad]],VENTAS[[#This Row],[Total]])</f>
        <v>23</v>
      </c>
      <c r="L913" s="14">
        <f>VENTAS[[#This Row],[Total]]-VENTAS[[#This Row],[Comisión 10%]]-VENTAS[[#This Row],[Costo SIN Comision]]</f>
        <v>8.5</v>
      </c>
      <c r="M913" s="14"/>
    </row>
    <row r="914" ht="20" hidden="1" customHeight="1" spans="1:13">
      <c r="A914" s="10">
        <v>45430</v>
      </c>
      <c r="B914" s="11"/>
      <c r="C914" s="11"/>
      <c r="D914" s="11" t="s">
        <v>4241</v>
      </c>
      <c r="E914" s="11" t="s">
        <v>1756</v>
      </c>
      <c r="F914" s="11" t="str">
        <f>IFERROR(VLOOKUP(VENTAS[[#This Row],[Código del producto Vendido]],STOCK[],5,FALSE),"-")</f>
        <v>Zapatillas blanco casual</v>
      </c>
      <c r="G914" s="11">
        <v>1</v>
      </c>
      <c r="H914" s="14">
        <v>30</v>
      </c>
      <c r="I914" s="14">
        <f>VENTAS[[#This Row],[Cantidad]]*VENTAS[[#This Row],[Precio Venta]]</f>
        <v>30</v>
      </c>
      <c r="J914" s="14">
        <f>IF(VENTAS[[#This Row],[Nombre del Gestor]]&gt;1,VENTAS[[#This Row],[Total]]*10%,0)</f>
        <v>3</v>
      </c>
      <c r="K914" s="14">
        <f>IFERROR(VLOOKUP(VENTAS[[#This Row],[Código del producto Vendido]],STOCK[],16,FALSE)*VENTAS[[#This Row],[Cantidad]]+VLOOKUP(VENTAS[[#This Row],[Código del producto Vendido]],STOCK[],19,FALSE)*VENTAS[[#This Row],[Cantidad]],VENTAS[[#This Row],[Total]])</f>
        <v>24.4705882352941</v>
      </c>
      <c r="L914" s="14">
        <f>VENTAS[[#This Row],[Total]]-VENTAS[[#This Row],[Comisión 10%]]-VENTAS[[#This Row],[Costo SIN Comision]]</f>
        <v>2.5294117647059</v>
      </c>
      <c r="M914" s="14"/>
    </row>
    <row r="915" ht="20" hidden="1" customHeight="1" spans="1:13">
      <c r="A915" s="10">
        <v>45430</v>
      </c>
      <c r="B915" s="11"/>
      <c r="C915" s="11" t="s">
        <v>4262</v>
      </c>
      <c r="D915" s="11"/>
      <c r="E915" s="11" t="s">
        <v>1652</v>
      </c>
      <c r="F915" s="11" t="str">
        <f>IFERROR(VLOOKUP(VENTAS[[#This Row],[Código del producto Vendido]],STOCK[],5,FALSE),"-")</f>
        <v>Vestido Frenchy Rojo</v>
      </c>
      <c r="G915" s="11">
        <v>1</v>
      </c>
      <c r="H915" s="14">
        <v>0</v>
      </c>
      <c r="I915" s="14">
        <f>VENTAS[[#This Row],[Cantidad]]*VENTAS[[#This Row],[Precio Venta]]</f>
        <v>0</v>
      </c>
      <c r="J915" s="14">
        <f>IF(VENTAS[[#This Row],[Nombre del Gestor]]&gt;1,VENTAS[[#This Row],[Total]]*10%,0)</f>
        <v>0</v>
      </c>
      <c r="K915" s="14">
        <f>IFERROR(VLOOKUP(VENTAS[[#This Row],[Código del producto Vendido]],STOCK[],16,FALSE)*VENTAS[[#This Row],[Cantidad]]+VLOOKUP(VENTAS[[#This Row],[Código del producto Vendido]],STOCK[],19,FALSE)*VENTAS[[#This Row],[Cantidad]],VENTAS[[#This Row],[Total]])</f>
        <v>11.56</v>
      </c>
      <c r="L915" s="14">
        <f>VENTAS[[#This Row],[Total]]-VENTAS[[#This Row],[Comisión 10%]]-VENTAS[[#This Row],[Costo SIN Comision]]</f>
        <v>-11.56</v>
      </c>
      <c r="M915" s="14"/>
    </row>
    <row r="916" ht="20" hidden="1" customHeight="1" spans="1:13">
      <c r="A916" s="10">
        <v>45430</v>
      </c>
      <c r="B916" s="11"/>
      <c r="C916" s="11"/>
      <c r="D916" s="11" t="s">
        <v>4241</v>
      </c>
      <c r="E916" s="11" t="s">
        <v>1779</v>
      </c>
      <c r="F916" s="11" t="str">
        <f>IFERROR(VLOOKUP(VENTAS[[#This Row],[Código del producto Vendido]],STOCK[],5,FALSE),"-")</f>
        <v>Conjunto de bikini moca</v>
      </c>
      <c r="G916" s="11">
        <v>1</v>
      </c>
      <c r="H916" s="14">
        <v>20</v>
      </c>
      <c r="I916" s="14">
        <f>VENTAS[[#This Row],[Cantidad]]*VENTAS[[#This Row],[Precio Venta]]</f>
        <v>20</v>
      </c>
      <c r="J916" s="14">
        <f>IF(VENTAS[[#This Row],[Nombre del Gestor]]&gt;1,VENTAS[[#This Row],[Total]]*10%,0)</f>
        <v>2</v>
      </c>
      <c r="K916" s="14">
        <f>IFERROR(VLOOKUP(VENTAS[[#This Row],[Código del producto Vendido]],STOCK[],16,FALSE)*VENTAS[[#This Row],[Cantidad]]+VLOOKUP(VENTAS[[#This Row],[Código del producto Vendido]],STOCK[],19,FALSE)*VENTAS[[#This Row],[Cantidad]],VENTAS[[#This Row],[Total]])</f>
        <v>12.3529411764706</v>
      </c>
      <c r="L916" s="14">
        <f>VENTAS[[#This Row],[Total]]-VENTAS[[#This Row],[Comisión 10%]]-VENTAS[[#This Row],[Costo SIN Comision]]</f>
        <v>5.64705882352941</v>
      </c>
      <c r="M916" s="14"/>
    </row>
    <row r="917" ht="20" hidden="1" customHeight="1" spans="1:13">
      <c r="A917" s="10">
        <v>45424</v>
      </c>
      <c r="B917" s="11"/>
      <c r="C917" s="11"/>
      <c r="D917" s="11" t="s">
        <v>4241</v>
      </c>
      <c r="E917" s="11" t="s">
        <v>1626</v>
      </c>
      <c r="F917" s="11" t="str">
        <f>IFERROR(VLOOKUP(VENTAS[[#This Row],[Código del producto Vendido]],STOCK[],5,FALSE),"-")</f>
        <v>Vestido Tarsha</v>
      </c>
      <c r="G917" s="11">
        <v>1</v>
      </c>
      <c r="H917" s="14">
        <v>27</v>
      </c>
      <c r="I917" s="14">
        <f>VENTAS[[#This Row],[Cantidad]]*VENTAS[[#This Row],[Precio Venta]]</f>
        <v>27</v>
      </c>
      <c r="J917" s="14">
        <f>IF(VENTAS[[#This Row],[Nombre del Gestor]]&gt;1,VENTAS[[#This Row],[Total]]*10%,0)</f>
        <v>2.7</v>
      </c>
      <c r="K917" s="14">
        <f>IFERROR(VLOOKUP(VENTAS[[#This Row],[Código del producto Vendido]],STOCK[],16,FALSE)*VENTAS[[#This Row],[Cantidad]]+VLOOKUP(VENTAS[[#This Row],[Código del producto Vendido]],STOCK[],19,FALSE)*VENTAS[[#This Row],[Cantidad]],VENTAS[[#This Row],[Total]])</f>
        <v>13.97</v>
      </c>
      <c r="L917" s="14">
        <f>VENTAS[[#This Row],[Total]]-VENTAS[[#This Row],[Comisión 10%]]-VENTAS[[#This Row],[Costo SIN Comision]]</f>
        <v>10.33</v>
      </c>
      <c r="M917" s="14"/>
    </row>
    <row r="918" ht="20" hidden="1" customHeight="1" spans="1:13">
      <c r="A918" s="10">
        <v>45424</v>
      </c>
      <c r="B918" s="11"/>
      <c r="C918" s="11"/>
      <c r="D918" s="11" t="s">
        <v>4241</v>
      </c>
      <c r="E918" s="11" t="s">
        <v>1759</v>
      </c>
      <c r="F918" s="11" t="str">
        <f>IFERROR(VLOOKUP(VENTAS[[#This Row],[Código del producto Vendido]],STOCK[],5,FALSE),"-")</f>
        <v>Zapatillas blanco casual</v>
      </c>
      <c r="G918" s="11">
        <v>2</v>
      </c>
      <c r="H918" s="14">
        <v>30</v>
      </c>
      <c r="I918" s="14">
        <f>VENTAS[[#This Row],[Cantidad]]*VENTAS[[#This Row],[Precio Venta]]</f>
        <v>60</v>
      </c>
      <c r="J918" s="14">
        <f>IF(VENTAS[[#This Row],[Nombre del Gestor]]&gt;1,VENTAS[[#This Row],[Total]]*10%,0)</f>
        <v>6</v>
      </c>
      <c r="K918" s="14">
        <f>IFERROR(VLOOKUP(VENTAS[[#This Row],[Código del producto Vendido]],STOCK[],16,FALSE)*VENTAS[[#This Row],[Cantidad]]+VLOOKUP(VENTAS[[#This Row],[Código del producto Vendido]],STOCK[],19,FALSE)*VENTAS[[#This Row],[Cantidad]],VENTAS[[#This Row],[Total]])</f>
        <v>50.9411764705882</v>
      </c>
      <c r="L918" s="14">
        <f>VENTAS[[#This Row],[Total]]-VENTAS[[#This Row],[Comisión 10%]]-VENTAS[[#This Row],[Costo SIN Comision]]</f>
        <v>3.0588235294118</v>
      </c>
      <c r="M918" s="14"/>
    </row>
    <row r="919" ht="20" hidden="1" customHeight="1" spans="1:13">
      <c r="A919" s="10">
        <v>45424</v>
      </c>
      <c r="B919" s="11"/>
      <c r="C919" s="11"/>
      <c r="D919" s="11" t="s">
        <v>4241</v>
      </c>
      <c r="E919" s="11" t="s">
        <v>1584</v>
      </c>
      <c r="F919" s="11" t="str">
        <f>IFERROR(VLOOKUP(VENTAS[[#This Row],[Código del producto Vendido]],STOCK[],5,FALSE),"-")</f>
        <v>Sandalias de hebilla</v>
      </c>
      <c r="G919" s="11">
        <v>1</v>
      </c>
      <c r="H919" s="14">
        <v>18</v>
      </c>
      <c r="I919" s="14">
        <f>VENTAS[[#This Row],[Cantidad]]*VENTAS[[#This Row],[Precio Venta]]</f>
        <v>18</v>
      </c>
      <c r="J919" s="14">
        <f>IF(VENTAS[[#This Row],[Nombre del Gestor]]&gt;1,VENTAS[[#This Row],[Total]]*10%,0)</f>
        <v>1.8</v>
      </c>
      <c r="K919" s="14">
        <f>IFERROR(VLOOKUP(VENTAS[[#This Row],[Código del producto Vendido]],STOCK[],16,FALSE)*VENTAS[[#This Row],[Cantidad]]+VLOOKUP(VENTAS[[#This Row],[Código del producto Vendido]],STOCK[],19,FALSE)*VENTAS[[#This Row],[Cantidad]],VENTAS[[#This Row],[Total]])</f>
        <v>11</v>
      </c>
      <c r="L919" s="14">
        <f>VENTAS[[#This Row],[Total]]-VENTAS[[#This Row],[Comisión 10%]]-VENTAS[[#This Row],[Costo SIN Comision]]</f>
        <v>5.2</v>
      </c>
      <c r="M919" s="14"/>
    </row>
    <row r="920" ht="20" hidden="1" customHeight="1" spans="1:13">
      <c r="A920" s="10">
        <v>45431</v>
      </c>
      <c r="B920" s="11"/>
      <c r="C920" s="11"/>
      <c r="D920" s="11" t="s">
        <v>4241</v>
      </c>
      <c r="E920" s="11" t="s">
        <v>1595</v>
      </c>
      <c r="F920" s="11" t="str">
        <f>IFERROR(VLOOKUP(VENTAS[[#This Row],[Código del producto Vendido]],STOCK[],5,FALSE),"-")</f>
        <v>Sandalias flip de plataforma Negro</v>
      </c>
      <c r="G920" s="11">
        <v>1</v>
      </c>
      <c r="H920" s="14">
        <v>15</v>
      </c>
      <c r="I920" s="14">
        <f>VENTAS[[#This Row],[Cantidad]]*VENTAS[[#This Row],[Precio Venta]]</f>
        <v>15</v>
      </c>
      <c r="J920" s="14">
        <f>IF(VENTAS[[#This Row],[Nombre del Gestor]]&gt;1,VENTAS[[#This Row],[Total]]*10%,0)</f>
        <v>1.5</v>
      </c>
      <c r="K920" s="14">
        <f>IFERROR(VLOOKUP(VENTAS[[#This Row],[Código del producto Vendido]],STOCK[],16,FALSE)*VENTAS[[#This Row],[Cantidad]]+VLOOKUP(VENTAS[[#This Row],[Código del producto Vendido]],STOCK[],19,FALSE)*VENTAS[[#This Row],[Cantidad]],VENTAS[[#This Row],[Total]])</f>
        <v>9.49</v>
      </c>
      <c r="L920" s="14">
        <f>VENTAS[[#This Row],[Total]]-VENTAS[[#This Row],[Comisión 10%]]-VENTAS[[#This Row],[Costo SIN Comision]]</f>
        <v>4.01</v>
      </c>
      <c r="M920" s="14"/>
    </row>
    <row r="921" ht="20" hidden="1" customHeight="1" spans="1:13">
      <c r="A921" s="10">
        <v>45431</v>
      </c>
      <c r="B921" s="11"/>
      <c r="C921" s="11"/>
      <c r="D921" s="11" t="s">
        <v>4241</v>
      </c>
      <c r="E921" s="11" t="s">
        <v>1605</v>
      </c>
      <c r="F921" s="11" t="str">
        <f>IFERROR(VLOOKUP(VENTAS[[#This Row],[Código del producto Vendido]],STOCK[],5,FALSE),"-")</f>
        <v>Sandalias minimalistas de tacón</v>
      </c>
      <c r="G921" s="11">
        <v>1</v>
      </c>
      <c r="H921" s="14">
        <v>35</v>
      </c>
      <c r="I921" s="14">
        <f>VENTAS[[#This Row],[Cantidad]]*VENTAS[[#This Row],[Precio Venta]]</f>
        <v>35</v>
      </c>
      <c r="J921" s="14">
        <f>IF(VENTAS[[#This Row],[Nombre del Gestor]]&gt;1,VENTAS[[#This Row],[Total]]*10%,0)</f>
        <v>3.5</v>
      </c>
      <c r="K921" s="14">
        <f>IFERROR(VLOOKUP(VENTAS[[#This Row],[Código del producto Vendido]],STOCK[],16,FALSE)*VENTAS[[#This Row],[Cantidad]]+VLOOKUP(VENTAS[[#This Row],[Código del producto Vendido]],STOCK[],19,FALSE)*VENTAS[[#This Row],[Cantidad]],VENTAS[[#This Row],[Total]])</f>
        <v>17.36</v>
      </c>
      <c r="L921" s="14">
        <f>VENTAS[[#This Row],[Total]]-VENTAS[[#This Row],[Comisión 10%]]-VENTAS[[#This Row],[Costo SIN Comision]]</f>
        <v>14.14</v>
      </c>
      <c r="M921" s="14"/>
    </row>
    <row r="922" ht="20" hidden="1" customHeight="1" spans="1:13">
      <c r="A922" s="10">
        <v>45431</v>
      </c>
      <c r="B922" s="11"/>
      <c r="C922" s="11"/>
      <c r="D922" s="11" t="s">
        <v>4241</v>
      </c>
      <c r="E922" s="11" t="s">
        <v>1452</v>
      </c>
      <c r="F922" s="11" t="str">
        <f>IFERROR(VLOOKUP(VENTAS[[#This Row],[Código del producto Vendido]],STOCK[],5,FALSE),"-")</f>
        <v>Sandalias minimalistas de plataforma</v>
      </c>
      <c r="G922" s="11">
        <v>1</v>
      </c>
      <c r="H922" s="14">
        <v>35</v>
      </c>
      <c r="I922" s="14">
        <f>VENTAS[[#This Row],[Cantidad]]*VENTAS[[#This Row],[Precio Venta]]</f>
        <v>35</v>
      </c>
      <c r="J922" s="14">
        <f>IF(VENTAS[[#This Row],[Nombre del Gestor]]&gt;1,VENTAS[[#This Row],[Total]]*10%,0)</f>
        <v>3.5</v>
      </c>
      <c r="K922" s="14">
        <f>IFERROR(VLOOKUP(VENTAS[[#This Row],[Código del producto Vendido]],STOCK[],16,FALSE)*VENTAS[[#This Row],[Cantidad]]+VLOOKUP(VENTAS[[#This Row],[Código del producto Vendido]],STOCK[],19,FALSE)*VENTAS[[#This Row],[Cantidad]],VENTAS[[#This Row],[Total]])</f>
        <v>22.49</v>
      </c>
      <c r="L922" s="14">
        <f>VENTAS[[#This Row],[Total]]-VENTAS[[#This Row],[Comisión 10%]]-VENTAS[[#This Row],[Costo SIN Comision]]</f>
        <v>9.01</v>
      </c>
      <c r="M922" s="14"/>
    </row>
    <row r="923" ht="20" hidden="1" customHeight="1" spans="1:13">
      <c r="A923" s="10">
        <v>45428</v>
      </c>
      <c r="B923" s="11"/>
      <c r="C923" s="11"/>
      <c r="D923" s="11" t="s">
        <v>4241</v>
      </c>
      <c r="E923" s="11" t="s">
        <v>1293</v>
      </c>
      <c r="F923" s="11" t="str">
        <f>IFERROR(VLOOKUP(VENTAS[[#This Row],[Código del producto Vendido]],STOCK[],5,FALSE),"-")</f>
        <v>Jean skinny oscuro </v>
      </c>
      <c r="G923" s="11">
        <v>1</v>
      </c>
      <c r="H923" s="14">
        <v>30</v>
      </c>
      <c r="I923" s="14">
        <f>VENTAS[[#This Row],[Cantidad]]*VENTAS[[#This Row],[Precio Venta]]</f>
        <v>30</v>
      </c>
      <c r="J923" s="14">
        <f>IF(VENTAS[[#This Row],[Nombre del Gestor]]&gt;1,VENTAS[[#This Row],[Total]]*10%,0)</f>
        <v>3</v>
      </c>
      <c r="K923" s="14">
        <f>IFERROR(VLOOKUP(VENTAS[[#This Row],[Código del producto Vendido]],STOCK[],16,FALSE)*VENTAS[[#This Row],[Cantidad]]+VLOOKUP(VENTAS[[#This Row],[Código del producto Vendido]],STOCK[],19,FALSE)*VENTAS[[#This Row],[Cantidad]],VENTAS[[#This Row],[Total]])</f>
        <v>20.79</v>
      </c>
      <c r="L923" s="14">
        <f>VENTAS[[#This Row],[Total]]-VENTAS[[#This Row],[Comisión 10%]]-VENTAS[[#This Row],[Costo SIN Comision]]</f>
        <v>6.21</v>
      </c>
      <c r="M923" s="14"/>
    </row>
    <row r="924" ht="20" hidden="1" customHeight="1" spans="1:13">
      <c r="A924" s="10">
        <v>45428</v>
      </c>
      <c r="B924" s="11"/>
      <c r="C924" s="11"/>
      <c r="D924" s="11" t="s">
        <v>4241</v>
      </c>
      <c r="E924" s="11" t="s">
        <v>2086</v>
      </c>
      <c r="F924" s="11" t="str">
        <f>IFERROR(VLOOKUP(VENTAS[[#This Row],[Código del producto Vendido]],STOCK[],5,FALSE),"-")</f>
        <v>Botín de punta cuadrada y zíper</v>
      </c>
      <c r="G924" s="11">
        <v>1</v>
      </c>
      <c r="H924" s="14">
        <v>45</v>
      </c>
      <c r="I924" s="14">
        <f>VENTAS[[#This Row],[Cantidad]]*VENTAS[[#This Row],[Precio Venta]]</f>
        <v>45</v>
      </c>
      <c r="J924" s="14">
        <f>IF(VENTAS[[#This Row],[Nombre del Gestor]]&gt;1,VENTAS[[#This Row],[Total]]*10%,0)</f>
        <v>4.5</v>
      </c>
      <c r="K924" s="14">
        <f>IFERROR(VLOOKUP(VENTAS[[#This Row],[Código del producto Vendido]],STOCK[],16,FALSE)*VENTAS[[#This Row],[Cantidad]]+VLOOKUP(VENTAS[[#This Row],[Código del producto Vendido]],STOCK[],19,FALSE)*VENTAS[[#This Row],[Cantidad]],VENTAS[[#This Row],[Total]])</f>
        <v>22.42</v>
      </c>
      <c r="L924" s="14">
        <f>VENTAS[[#This Row],[Total]]-VENTAS[[#This Row],[Comisión 10%]]-VENTAS[[#This Row],[Costo SIN Comision]]</f>
        <v>18.08</v>
      </c>
      <c r="M924" s="14"/>
    </row>
    <row r="925" ht="20" hidden="1" customHeight="1" spans="1:13">
      <c r="A925" s="10">
        <v>45429</v>
      </c>
      <c r="B925" s="11"/>
      <c r="C925" s="11"/>
      <c r="D925" s="11" t="s">
        <v>4241</v>
      </c>
      <c r="E925" s="11" t="s">
        <v>2024</v>
      </c>
      <c r="F925" s="11" t="str">
        <f>IFERROR(VLOOKUP(VENTAS[[#This Row],[Código del producto Vendido]],STOCK[],5,FALSE),"-")</f>
        <v>Jogger afelpado de talle alto (Nuevo)</v>
      </c>
      <c r="G925" s="11">
        <v>1</v>
      </c>
      <c r="H925" s="14">
        <v>22</v>
      </c>
      <c r="I925" s="14">
        <f>VENTAS[[#This Row],[Cantidad]]*VENTAS[[#This Row],[Precio Venta]]</f>
        <v>22</v>
      </c>
      <c r="J925" s="14">
        <f>IF(VENTAS[[#This Row],[Nombre del Gestor]]&gt;1,VENTAS[[#This Row],[Total]]*10%,0)</f>
        <v>2.2</v>
      </c>
      <c r="K925" s="14">
        <f>IFERROR(VLOOKUP(VENTAS[[#This Row],[Código del producto Vendido]],STOCK[],16,FALSE)*VENTAS[[#This Row],[Cantidad]]+VLOOKUP(VENTAS[[#This Row],[Código del producto Vendido]],STOCK[],19,FALSE)*VENTAS[[#This Row],[Cantidad]],VENTAS[[#This Row],[Total]])</f>
        <v>0</v>
      </c>
      <c r="L925" s="14">
        <f>VENTAS[[#This Row],[Total]]-VENTAS[[#This Row],[Comisión 10%]]-VENTAS[[#This Row],[Costo SIN Comision]]</f>
        <v>19.8</v>
      </c>
      <c r="M925" s="14"/>
    </row>
    <row r="926" ht="20" hidden="1" customHeight="1" spans="1:13">
      <c r="A926" s="10">
        <v>45430</v>
      </c>
      <c r="B926" s="11"/>
      <c r="C926" s="11"/>
      <c r="D926" s="11" t="s">
        <v>4241</v>
      </c>
      <c r="E926" s="11" t="s">
        <v>1584</v>
      </c>
      <c r="F926" s="11" t="str">
        <f>IFERROR(VLOOKUP(VENTAS[[#This Row],[Código del producto Vendido]],STOCK[],5,FALSE),"-")</f>
        <v>Sandalias de hebilla</v>
      </c>
      <c r="G926" s="11">
        <v>1</v>
      </c>
      <c r="H926" s="14">
        <v>18</v>
      </c>
      <c r="I926" s="14">
        <f>VENTAS[[#This Row],[Cantidad]]*VENTAS[[#This Row],[Precio Venta]]</f>
        <v>18</v>
      </c>
      <c r="J926" s="14">
        <f>IF(VENTAS[[#This Row],[Nombre del Gestor]]&gt;1,VENTAS[[#This Row],[Total]]*10%,0)</f>
        <v>1.8</v>
      </c>
      <c r="K926" s="14">
        <f>IFERROR(VLOOKUP(VENTAS[[#This Row],[Código del producto Vendido]],STOCK[],16,FALSE)*VENTAS[[#This Row],[Cantidad]]+VLOOKUP(VENTAS[[#This Row],[Código del producto Vendido]],STOCK[],19,FALSE)*VENTAS[[#This Row],[Cantidad]],VENTAS[[#This Row],[Total]])</f>
        <v>11</v>
      </c>
      <c r="L926" s="14">
        <f>VENTAS[[#This Row],[Total]]-VENTAS[[#This Row],[Comisión 10%]]-VENTAS[[#This Row],[Costo SIN Comision]]</f>
        <v>5.2</v>
      </c>
      <c r="M926" s="14"/>
    </row>
    <row r="927" ht="20" hidden="1" customHeight="1" spans="1:13">
      <c r="A927" s="10">
        <v>45439</v>
      </c>
      <c r="B927" s="11"/>
      <c r="C927" s="11"/>
      <c r="D927" s="11" t="s">
        <v>4241</v>
      </c>
      <c r="E927" s="11" t="s">
        <v>1614</v>
      </c>
      <c r="F927" s="11" t="str">
        <f>IFERROR(VLOOKUP(VENTAS[[#This Row],[Código del producto Vendido]],STOCK[],5,FALSE),"-")</f>
        <v>Camisa Modely</v>
      </c>
      <c r="G927" s="11">
        <v>1</v>
      </c>
      <c r="H927" s="14">
        <v>22</v>
      </c>
      <c r="I927" s="14">
        <f>VENTAS[[#This Row],[Cantidad]]*VENTAS[[#This Row],[Precio Venta]]</f>
        <v>22</v>
      </c>
      <c r="J927" s="14">
        <f>IF(VENTAS[[#This Row],[Nombre del Gestor]]&gt;1,VENTAS[[#This Row],[Total]]*10%,0)</f>
        <v>2.2</v>
      </c>
      <c r="K927" s="14">
        <f>IFERROR(VLOOKUP(VENTAS[[#This Row],[Código del producto Vendido]],STOCK[],16,FALSE)*VENTAS[[#This Row],[Cantidad]]+VLOOKUP(VENTAS[[#This Row],[Código del producto Vendido]],STOCK[],19,FALSE)*VENTAS[[#This Row],[Cantidad]],VENTAS[[#This Row],[Total]])</f>
        <v>9.74</v>
      </c>
      <c r="L927" s="14">
        <f>VENTAS[[#This Row],[Total]]-VENTAS[[#This Row],[Comisión 10%]]-VENTAS[[#This Row],[Costo SIN Comision]]</f>
        <v>10.06</v>
      </c>
      <c r="M927" s="14"/>
    </row>
    <row r="928" ht="20" hidden="1" customHeight="1" spans="1:13">
      <c r="A928" s="10">
        <v>45439</v>
      </c>
      <c r="B928" s="11"/>
      <c r="C928" s="11"/>
      <c r="D928" s="11"/>
      <c r="E928" s="11" t="s">
        <v>1165</v>
      </c>
      <c r="F928" s="11" t="str">
        <f>IFERROR(VLOOKUP(VENTAS[[#This Row],[Código del producto Vendido]],STOCK[],5,FALSE),"-")</f>
        <v>Short de mezclilla con doblez (no elastiza)</v>
      </c>
      <c r="G928" s="11">
        <v>1</v>
      </c>
      <c r="H928" s="14">
        <v>20</v>
      </c>
      <c r="I928" s="14">
        <f>VENTAS[[#This Row],[Cantidad]]*VENTAS[[#This Row],[Precio Venta]]</f>
        <v>20</v>
      </c>
      <c r="J928" s="14">
        <f>IF(VENTAS[[#This Row],[Nombre del Gestor]]&gt;1,VENTAS[[#This Row],[Total]]*10%,0)</f>
        <v>0</v>
      </c>
      <c r="K928" s="14">
        <f>IFERROR(VLOOKUP(VENTAS[[#This Row],[Código del producto Vendido]],STOCK[],16,FALSE)*VENTAS[[#This Row],[Cantidad]]+VLOOKUP(VENTAS[[#This Row],[Código del producto Vendido]],STOCK[],19,FALSE)*VENTAS[[#This Row],[Cantidad]],VENTAS[[#This Row],[Total]])</f>
        <v>14.29</v>
      </c>
      <c r="L928" s="14">
        <f>VENTAS[[#This Row],[Total]]-VENTAS[[#This Row],[Comisión 10%]]-VENTAS[[#This Row],[Costo SIN Comision]]</f>
        <v>5.71</v>
      </c>
      <c r="M928" s="14"/>
    </row>
    <row r="929" ht="20" hidden="1" customHeight="1" spans="1:13">
      <c r="A929" s="10">
        <v>45440</v>
      </c>
      <c r="B929" s="11"/>
      <c r="C929" s="11"/>
      <c r="D929" s="11" t="s">
        <v>4241</v>
      </c>
      <c r="E929" s="11" t="s">
        <v>1884</v>
      </c>
      <c r="F929" s="11" t="str">
        <f>IFERROR(VLOOKUP(VENTAS[[#This Row],[Código del producto Vendido]],STOCK[],5,FALSE),"-")</f>
        <v>Bolso Vintage Negro</v>
      </c>
      <c r="G929" s="11">
        <v>1</v>
      </c>
      <c r="H929" s="14">
        <v>35</v>
      </c>
      <c r="I929" s="14">
        <f>VENTAS[[#This Row],[Cantidad]]*VENTAS[[#This Row],[Precio Venta]]</f>
        <v>35</v>
      </c>
      <c r="J929" s="14">
        <f>IF(VENTAS[[#This Row],[Nombre del Gestor]]&gt;1,VENTAS[[#This Row],[Total]]*10%,0)</f>
        <v>3.5</v>
      </c>
      <c r="K929" s="14">
        <f>IFERROR(VLOOKUP(VENTAS[[#This Row],[Código del producto Vendido]],STOCK[],16,FALSE)*VENTAS[[#This Row],[Cantidad]]+VLOOKUP(VENTAS[[#This Row],[Código del producto Vendido]],STOCK[],19,FALSE)*VENTAS[[#This Row],[Cantidad]],VENTAS[[#This Row],[Total]])</f>
        <v>22.98</v>
      </c>
      <c r="L929" s="14">
        <f>VENTAS[[#This Row],[Total]]-VENTAS[[#This Row],[Comisión 10%]]-VENTAS[[#This Row],[Costo SIN Comision]]</f>
        <v>8.52</v>
      </c>
      <c r="M929" s="14"/>
    </row>
    <row r="930" ht="20" hidden="1" customHeight="1" spans="1:13">
      <c r="A930" s="11"/>
      <c r="B930" s="11"/>
      <c r="C930" s="11" t="s">
        <v>4263</v>
      </c>
      <c r="D930" s="11"/>
      <c r="E930" s="11" t="s">
        <v>1150</v>
      </c>
      <c r="F930" s="11" t="str">
        <f>IFERROR(VLOOKUP(VENTAS[[#This Row],[Código del producto Vendido]],STOCK[],5,FALSE),"-")</f>
        <v>Sandalias de tacón grueso</v>
      </c>
      <c r="G930" s="11">
        <v>1</v>
      </c>
      <c r="H930" s="14">
        <v>0</v>
      </c>
      <c r="I930" s="14">
        <f>VENTAS[[#This Row],[Cantidad]]*VENTAS[[#This Row],[Precio Venta]]</f>
        <v>0</v>
      </c>
      <c r="J930" s="14">
        <f>IF(VENTAS[[#This Row],[Nombre del Gestor]]&gt;1,VENTAS[[#This Row],[Total]]*10%,0)</f>
        <v>0</v>
      </c>
      <c r="K930" s="14">
        <f>IFERROR(VLOOKUP(VENTAS[[#This Row],[Código del producto Vendido]],STOCK[],16,FALSE)*VENTAS[[#This Row],[Cantidad]]+VLOOKUP(VENTAS[[#This Row],[Código del producto Vendido]],STOCK[],19,FALSE)*VENTAS[[#This Row],[Cantidad]],VENTAS[[#This Row],[Total]])</f>
        <v>32.2794117647059</v>
      </c>
      <c r="L930" s="14">
        <f>VENTAS[[#This Row],[Total]]-VENTAS[[#This Row],[Comisión 10%]]-VENTAS[[#This Row],[Costo SIN Comision]]</f>
        <v>-32.2794117647059</v>
      </c>
      <c r="M930" s="14"/>
    </row>
    <row r="931" ht="20" hidden="1" customHeight="1" spans="1:13">
      <c r="A931" s="11"/>
      <c r="B931" s="11"/>
      <c r="C931" s="11"/>
      <c r="D931" s="11" t="s">
        <v>4228</v>
      </c>
      <c r="E931" s="11" t="s">
        <v>102</v>
      </c>
      <c r="F931" s="11" t="str">
        <f>IFERROR(VLOOKUP(VENTAS[[#This Row],[Código del producto Vendido]],STOCK[],5,FALSE),"-")</f>
        <v>Pareo pantalón de malla</v>
      </c>
      <c r="G931" s="11">
        <v>1</v>
      </c>
      <c r="H931" s="14">
        <v>15</v>
      </c>
      <c r="I931" s="14">
        <f>VENTAS[[#This Row],[Cantidad]]*VENTAS[[#This Row],[Precio Venta]]</f>
        <v>15</v>
      </c>
      <c r="J931" s="14">
        <f>IF(VENTAS[[#This Row],[Nombre del Gestor]]&gt;1,VENTAS[[#This Row],[Total]]*10%,0)</f>
        <v>1.5</v>
      </c>
      <c r="K931" s="14">
        <f>IFERROR(VLOOKUP(VENTAS[[#This Row],[Código del producto Vendido]],STOCK[],16,FALSE)*VENTAS[[#This Row],[Cantidad]]+VLOOKUP(VENTAS[[#This Row],[Código del producto Vendido]],STOCK[],19,FALSE)*VENTAS[[#This Row],[Cantidad]],VENTAS[[#This Row],[Total]])</f>
        <v>9.78555555555556</v>
      </c>
      <c r="L931" s="14">
        <f>VENTAS[[#This Row],[Total]]-VENTAS[[#This Row],[Comisión 10%]]-VENTAS[[#This Row],[Costo SIN Comision]]</f>
        <v>3.71444444444444</v>
      </c>
      <c r="M931" s="14"/>
    </row>
    <row r="932" ht="20" hidden="1" customHeight="1" spans="1:13">
      <c r="A932" s="10">
        <v>45440</v>
      </c>
      <c r="B932" s="11"/>
      <c r="C932" s="11"/>
      <c r="D932" s="11" t="s">
        <v>4241</v>
      </c>
      <c r="E932" s="11" t="s">
        <v>1299</v>
      </c>
      <c r="F932" s="11" t="str">
        <f>IFERROR(VLOOKUP(VENTAS[[#This Row],[Código del producto Vendido]],STOCK[],5,FALSE),"-")</f>
        <v>Sandalias rosadas Forever21</v>
      </c>
      <c r="G932" s="11">
        <v>1</v>
      </c>
      <c r="H932" s="14">
        <v>30</v>
      </c>
      <c r="I932" s="14">
        <f>VENTAS[[#This Row],[Cantidad]]*VENTAS[[#This Row],[Precio Venta]]</f>
        <v>30</v>
      </c>
      <c r="J932" s="14">
        <f>IF(VENTAS[[#This Row],[Nombre del Gestor]]&gt;1,VENTAS[[#This Row],[Total]]*10%,0)</f>
        <v>3</v>
      </c>
      <c r="K932" s="14">
        <f>IFERROR(VLOOKUP(VENTAS[[#This Row],[Código del producto Vendido]],STOCK[],16,FALSE)*VENTAS[[#This Row],[Cantidad]]+VLOOKUP(VENTAS[[#This Row],[Código del producto Vendido]],STOCK[],19,FALSE)*VENTAS[[#This Row],[Cantidad]],VENTAS[[#This Row],[Total]])</f>
        <v>19.49</v>
      </c>
      <c r="L932" s="14">
        <f>VENTAS[[#This Row],[Total]]-VENTAS[[#This Row],[Comisión 10%]]-VENTAS[[#This Row],[Costo SIN Comision]]</f>
        <v>7.51</v>
      </c>
      <c r="M932" s="14"/>
    </row>
    <row r="933" ht="20" hidden="1" customHeight="1" spans="1:13">
      <c r="A933" s="11"/>
      <c r="B933" s="11"/>
      <c r="C933" s="11"/>
      <c r="D933" s="11" t="s">
        <v>4241</v>
      </c>
      <c r="E933" s="11" t="s">
        <v>1103</v>
      </c>
      <c r="F933" s="11" t="str">
        <f>IFERROR(VLOOKUP(VENTAS[[#This Row],[Código del producto Vendido]],STOCK[],5,FALSE),"-")</f>
        <v>Sandalias crema</v>
      </c>
      <c r="G933" s="11">
        <v>1</v>
      </c>
      <c r="H933" s="14">
        <v>35</v>
      </c>
      <c r="I933" s="14">
        <f>VENTAS[[#This Row],[Cantidad]]*VENTAS[[#This Row],[Precio Venta]]</f>
        <v>35</v>
      </c>
      <c r="J933" s="14">
        <f>IF(VENTAS[[#This Row],[Nombre del Gestor]]&gt;1,VENTAS[[#This Row],[Total]]*10%,0)</f>
        <v>3.5</v>
      </c>
      <c r="K933" s="14">
        <f>IFERROR(VLOOKUP(VENTAS[[#This Row],[Código del producto Vendido]],STOCK[],16,FALSE)*VENTAS[[#This Row],[Cantidad]]+VLOOKUP(VENTAS[[#This Row],[Código del producto Vendido]],STOCK[],19,FALSE)*VENTAS[[#This Row],[Cantidad]],VENTAS[[#This Row],[Total]])</f>
        <v>26.8529411764706</v>
      </c>
      <c r="L933" s="14">
        <f>VENTAS[[#This Row],[Total]]-VENTAS[[#This Row],[Comisión 10%]]-VENTAS[[#This Row],[Costo SIN Comision]]</f>
        <v>4.6470588235294</v>
      </c>
      <c r="M933" s="14"/>
    </row>
    <row r="934" ht="20" hidden="1" customHeight="1" spans="1:13">
      <c r="A934" s="10">
        <v>45443</v>
      </c>
      <c r="B934" s="11"/>
      <c r="C934" s="11"/>
      <c r="D934" s="11"/>
      <c r="E934" s="11" t="s">
        <v>534</v>
      </c>
      <c r="F934" s="11" t="str">
        <f>IFERROR(VLOOKUP(VENTAS[[#This Row],[Código del producto Vendido]],STOCK[],5,FALSE),"-")</f>
        <v>Vestido corrugado de vuelos</v>
      </c>
      <c r="G934" s="11">
        <v>1</v>
      </c>
      <c r="H934" s="14">
        <v>18</v>
      </c>
      <c r="I934" s="14">
        <f>VENTAS[[#This Row],[Cantidad]]*VENTAS[[#This Row],[Precio Venta]]</f>
        <v>18</v>
      </c>
      <c r="J934" s="14">
        <f>IF(VENTAS[[#This Row],[Nombre del Gestor]]&gt;1,VENTAS[[#This Row],[Total]]*10%,0)</f>
        <v>0</v>
      </c>
      <c r="K934" s="14">
        <f>IFERROR(VLOOKUP(VENTAS[[#This Row],[Código del producto Vendido]],STOCK[],16,FALSE)*VENTAS[[#This Row],[Cantidad]]+VLOOKUP(VENTAS[[#This Row],[Código del producto Vendido]],STOCK[],19,FALSE)*VENTAS[[#This Row],[Cantidad]],VENTAS[[#This Row],[Total]])</f>
        <v>14.7111111111111</v>
      </c>
      <c r="L934" s="14">
        <f>VENTAS[[#This Row],[Total]]-VENTAS[[#This Row],[Comisión 10%]]-VENTAS[[#This Row],[Costo SIN Comision]]</f>
        <v>3.2888888888889</v>
      </c>
      <c r="M934" s="14"/>
    </row>
    <row r="935" ht="20" hidden="1" customHeight="1" spans="1:13">
      <c r="A935" s="10">
        <v>45443</v>
      </c>
      <c r="B935" s="11"/>
      <c r="C935" s="11"/>
      <c r="D935" s="11" t="s">
        <v>4129</v>
      </c>
      <c r="E935" s="11" t="s">
        <v>584</v>
      </c>
      <c r="F935" s="11" t="str">
        <f>IFERROR(VLOOKUP(VENTAS[[#This Row],[Código del producto Vendido]],STOCK[],5,FALSE),"-")</f>
        <v>Top cruzado blanco</v>
      </c>
      <c r="G935" s="11">
        <v>1</v>
      </c>
      <c r="H935" s="14">
        <v>8</v>
      </c>
      <c r="I935" s="14">
        <f>VENTAS[[#This Row],[Cantidad]]*VENTAS[[#This Row],[Precio Venta]]</f>
        <v>8</v>
      </c>
      <c r="J935" s="14">
        <f>IF(VENTAS[[#This Row],[Nombre del Gestor]]&gt;1,VENTAS[[#This Row],[Total]]*10%,0)</f>
        <v>0.8</v>
      </c>
      <c r="K935" s="14">
        <f>IFERROR(VLOOKUP(VENTAS[[#This Row],[Código del producto Vendido]],STOCK[],16,FALSE)*VENTAS[[#This Row],[Cantidad]]+VLOOKUP(VENTAS[[#This Row],[Código del producto Vendido]],STOCK[],19,FALSE)*VENTAS[[#This Row],[Cantidad]],VENTAS[[#This Row],[Total]])</f>
        <v>5.19333333333333</v>
      </c>
      <c r="L935" s="14">
        <f>VENTAS[[#This Row],[Total]]-VENTAS[[#This Row],[Comisión 10%]]-VENTAS[[#This Row],[Costo SIN Comision]]</f>
        <v>2.00666666666667</v>
      </c>
      <c r="M935" s="14"/>
    </row>
    <row r="936" ht="20" hidden="1" customHeight="1" spans="1:13">
      <c r="A936" s="10">
        <v>45443</v>
      </c>
      <c r="B936" s="11"/>
      <c r="C936" s="11"/>
      <c r="D936" s="11" t="s">
        <v>4129</v>
      </c>
      <c r="E936" s="11" t="s">
        <v>672</v>
      </c>
      <c r="F936" s="11" t="str">
        <f>IFERROR(VLOOKUP(VENTAS[[#This Row],[Código del producto Vendido]],STOCK[],5,FALSE),"-")</f>
        <v>Top Cruzado azul</v>
      </c>
      <c r="G936" s="11">
        <v>1</v>
      </c>
      <c r="H936" s="14">
        <v>8</v>
      </c>
      <c r="I936" s="14">
        <f>VENTAS[[#This Row],[Cantidad]]*VENTAS[[#This Row],[Precio Venta]]</f>
        <v>8</v>
      </c>
      <c r="J936" s="14">
        <f>IF(VENTAS[[#This Row],[Nombre del Gestor]]&gt;1,VENTAS[[#This Row],[Total]]*10%,0)</f>
        <v>0.8</v>
      </c>
      <c r="K936" s="14">
        <f>IFERROR(VLOOKUP(VENTAS[[#This Row],[Código del producto Vendido]],STOCK[],16,FALSE)*VENTAS[[#This Row],[Cantidad]]+VLOOKUP(VENTAS[[#This Row],[Código del producto Vendido]],STOCK[],19,FALSE)*VENTAS[[#This Row],[Cantidad]],VENTAS[[#This Row],[Total]])</f>
        <v>5.26833333333333</v>
      </c>
      <c r="L936" s="14">
        <f>VENTAS[[#This Row],[Total]]-VENTAS[[#This Row],[Comisión 10%]]-VENTAS[[#This Row],[Costo SIN Comision]]</f>
        <v>1.93166666666667</v>
      </c>
      <c r="M936" s="14"/>
    </row>
    <row r="937" ht="20" hidden="1" customHeight="1" spans="1:13">
      <c r="A937" s="10">
        <v>45443</v>
      </c>
      <c r="B937" s="11"/>
      <c r="C937" s="11"/>
      <c r="D937" s="11"/>
      <c r="E937" s="11" t="s">
        <v>1913</v>
      </c>
      <c r="F937" s="11" t="str">
        <f>IFERROR(VLOOKUP(VENTAS[[#This Row],[Código del producto Vendido]],STOCK[],5,FALSE),"-")</f>
        <v>Gafas de Sol Retro Carey</v>
      </c>
      <c r="G937" s="11">
        <v>1</v>
      </c>
      <c r="H937" s="14">
        <v>8</v>
      </c>
      <c r="I937" s="14">
        <f>VENTAS[[#This Row],[Cantidad]]*VENTAS[[#This Row],[Precio Venta]]</f>
        <v>8</v>
      </c>
      <c r="J937" s="14">
        <f>IF(VENTAS[[#This Row],[Nombre del Gestor]]&gt;1,VENTAS[[#This Row],[Total]]*10%,0)</f>
        <v>0</v>
      </c>
      <c r="K937" s="14">
        <f>IFERROR(VLOOKUP(VENTAS[[#This Row],[Código del producto Vendido]],STOCK[],16,FALSE)*VENTAS[[#This Row],[Cantidad]]+VLOOKUP(VENTAS[[#This Row],[Código del producto Vendido]],STOCK[],19,FALSE)*VENTAS[[#This Row],[Cantidad]],VENTAS[[#This Row],[Total]])</f>
        <v>4.45</v>
      </c>
      <c r="L937" s="14">
        <f>VENTAS[[#This Row],[Total]]-VENTAS[[#This Row],[Comisión 10%]]-VENTAS[[#This Row],[Costo SIN Comision]]</f>
        <v>3.55</v>
      </c>
      <c r="M937" s="14"/>
    </row>
    <row r="938" ht="20" hidden="1" customHeight="1" spans="1:13">
      <c r="A938" s="10">
        <v>45443</v>
      </c>
      <c r="B938" s="11"/>
      <c r="C938" s="11"/>
      <c r="D938" s="11" t="s">
        <v>4241</v>
      </c>
      <c r="E938" s="11" t="s">
        <v>4264</v>
      </c>
      <c r="F938" s="11" t="str">
        <f>IFERROR(VLOOKUP(VENTAS[[#This Row],[Código del producto Vendido]],STOCK[],5,FALSE),"-")</f>
        <v>Sandalias crema</v>
      </c>
      <c r="G938" s="11">
        <v>1</v>
      </c>
      <c r="H938" s="14">
        <v>35</v>
      </c>
      <c r="I938" s="14">
        <f>VENTAS[[#This Row],[Cantidad]]*VENTAS[[#This Row],[Precio Venta]]</f>
        <v>35</v>
      </c>
      <c r="J938" s="14">
        <f>IF(VENTAS[[#This Row],[Nombre del Gestor]]&gt;1,VENTAS[[#This Row],[Total]]*10%,0)</f>
        <v>3.5</v>
      </c>
      <c r="K938" s="14">
        <f>IFERROR(VLOOKUP(VENTAS[[#This Row],[Código del producto Vendido]],STOCK[],16,FALSE)*VENTAS[[#This Row],[Cantidad]]+VLOOKUP(VENTAS[[#This Row],[Código del producto Vendido]],STOCK[],19,FALSE)*VENTAS[[#This Row],[Cantidad]],VENTAS[[#This Row],[Total]])</f>
        <v>26.8529411764706</v>
      </c>
      <c r="L938" s="14">
        <f>VENTAS[[#This Row],[Total]]-VENTAS[[#This Row],[Comisión 10%]]-VENTAS[[#This Row],[Costo SIN Comision]]</f>
        <v>4.6470588235294</v>
      </c>
      <c r="M938" s="14"/>
    </row>
    <row r="939" ht="20" hidden="1" customHeight="1" spans="1:13">
      <c r="A939" s="10">
        <v>45439</v>
      </c>
      <c r="B939" s="11"/>
      <c r="C939" s="11"/>
      <c r="D939" s="11" t="s">
        <v>4241</v>
      </c>
      <c r="E939" s="11" t="s">
        <v>1905</v>
      </c>
      <c r="F939" s="11" t="str">
        <f>IFERROR(VLOOKUP(VENTAS[[#This Row],[Código del producto Vendido]],STOCK[],5,FALSE),"-")</f>
        <v>Blusa estampada de Lunares</v>
      </c>
      <c r="G939" s="11">
        <v>1</v>
      </c>
      <c r="H939" s="14">
        <v>14</v>
      </c>
      <c r="I939" s="14">
        <f>VENTAS[[#This Row],[Cantidad]]*VENTAS[[#This Row],[Precio Venta]]</f>
        <v>14</v>
      </c>
      <c r="J939" s="14">
        <f>IF(VENTAS[[#This Row],[Nombre del Gestor]]&gt;1,VENTAS[[#This Row],[Total]]*10%,0)</f>
        <v>1.4</v>
      </c>
      <c r="K939" s="14">
        <f>IFERROR(VLOOKUP(VENTAS[[#This Row],[Código del producto Vendido]],STOCK[],16,FALSE)*VENTAS[[#This Row],[Cantidad]]+VLOOKUP(VENTAS[[#This Row],[Código del producto Vendido]],STOCK[],19,FALSE)*VENTAS[[#This Row],[Cantidad]],VENTAS[[#This Row],[Total]])</f>
        <v>9.2</v>
      </c>
      <c r="L939" s="14">
        <f>VENTAS[[#This Row],[Total]]-VENTAS[[#This Row],[Comisión 10%]]-VENTAS[[#This Row],[Costo SIN Comision]]</f>
        <v>3.4</v>
      </c>
      <c r="M939" s="14"/>
    </row>
    <row r="940" ht="20" hidden="1" customHeight="1" spans="1:13">
      <c r="A940" s="10">
        <v>45439</v>
      </c>
      <c r="B940" s="11"/>
      <c r="C940" s="11"/>
      <c r="D940" s="11"/>
      <c r="E940" s="11" t="s">
        <v>1413</v>
      </c>
      <c r="F940" s="11" t="str">
        <f>IFERROR(VLOOKUP(VENTAS[[#This Row],[Código del producto Vendido]],STOCK[],5,FALSE),"-")</f>
        <v>Jean MOM con rotos</v>
      </c>
      <c r="G940" s="11">
        <v>1</v>
      </c>
      <c r="H940" s="14">
        <v>32</v>
      </c>
      <c r="I940" s="14">
        <f>VENTAS[[#This Row],[Cantidad]]*VENTAS[[#This Row],[Precio Venta]]</f>
        <v>32</v>
      </c>
      <c r="J940" s="14">
        <f>IF(VENTAS[[#This Row],[Nombre del Gestor]]&gt;1,VENTAS[[#This Row],[Total]]*10%,0)</f>
        <v>0</v>
      </c>
      <c r="K940" s="14">
        <f>IFERROR(VLOOKUP(VENTAS[[#This Row],[Código del producto Vendido]],STOCK[],16,FALSE)*VENTAS[[#This Row],[Cantidad]]+VLOOKUP(VENTAS[[#This Row],[Código del producto Vendido]],STOCK[],19,FALSE)*VENTAS[[#This Row],[Cantidad]],VENTAS[[#This Row],[Total]])</f>
        <v>20</v>
      </c>
      <c r="L940" s="14">
        <f>VENTAS[[#This Row],[Total]]-VENTAS[[#This Row],[Comisión 10%]]-VENTAS[[#This Row],[Costo SIN Comision]]</f>
        <v>12</v>
      </c>
      <c r="M940" s="14"/>
    </row>
    <row r="941" ht="20" hidden="1" customHeight="1" spans="1:13">
      <c r="A941" s="10">
        <v>45436</v>
      </c>
      <c r="B941" s="11"/>
      <c r="C941" s="11"/>
      <c r="D941" s="11"/>
      <c r="E941" s="11" t="s">
        <v>1894</v>
      </c>
      <c r="F941" s="11" t="str">
        <f>IFERROR(VLOOKUP(VENTAS[[#This Row],[Código del producto Vendido]],STOCK[],5,FALSE),"-")</f>
        <v>Set de bolso minimalista negro</v>
      </c>
      <c r="G941" s="11">
        <v>1</v>
      </c>
      <c r="H941" s="14">
        <v>25</v>
      </c>
      <c r="I941" s="14">
        <f>VENTAS[[#This Row],[Cantidad]]*VENTAS[[#This Row],[Precio Venta]]</f>
        <v>25</v>
      </c>
      <c r="J941" s="14">
        <f>IF(VENTAS[[#This Row],[Nombre del Gestor]]&gt;1,VENTAS[[#This Row],[Total]]*10%,0)</f>
        <v>0</v>
      </c>
      <c r="K941" s="14">
        <f>IFERROR(VLOOKUP(VENTAS[[#This Row],[Código del producto Vendido]],STOCK[],16,FALSE)*VENTAS[[#This Row],[Cantidad]]+VLOOKUP(VENTAS[[#This Row],[Código del producto Vendido]],STOCK[],19,FALSE)*VENTAS[[#This Row],[Cantidad]],VENTAS[[#This Row],[Total]])</f>
        <v>12.75</v>
      </c>
      <c r="L941" s="14">
        <f>VENTAS[[#This Row],[Total]]-VENTAS[[#This Row],[Comisión 10%]]-VENTAS[[#This Row],[Costo SIN Comision]]</f>
        <v>12.25</v>
      </c>
      <c r="M941" s="14"/>
    </row>
    <row r="942" ht="20" hidden="1" customHeight="1" spans="1:13">
      <c r="A942" s="10">
        <v>45436</v>
      </c>
      <c r="B942" s="11"/>
      <c r="C942" s="11"/>
      <c r="D942" s="11"/>
      <c r="E942" s="11" t="s">
        <v>879</v>
      </c>
      <c r="F942" s="11" t="str">
        <f>IFERROR(VLOOKUP(VENTAS[[#This Row],[Código del producto Vendido]],STOCK[],5,FALSE),"-")</f>
        <v>Brasier de encaje blanco</v>
      </c>
      <c r="G942" s="11">
        <v>1</v>
      </c>
      <c r="H942" s="14">
        <v>7</v>
      </c>
      <c r="I942" s="14">
        <f>VENTAS[[#This Row],[Cantidad]]*VENTAS[[#This Row],[Precio Venta]]</f>
        <v>7</v>
      </c>
      <c r="J942" s="14">
        <f>IF(VENTAS[[#This Row],[Nombre del Gestor]]&gt;1,VENTAS[[#This Row],[Total]]*10%,0)</f>
        <v>0</v>
      </c>
      <c r="K942" s="14">
        <f>IFERROR(VLOOKUP(VENTAS[[#This Row],[Código del producto Vendido]],STOCK[],16,FALSE)*VENTAS[[#This Row],[Cantidad]]+VLOOKUP(VENTAS[[#This Row],[Código del producto Vendido]],STOCK[],19,FALSE)*VENTAS[[#This Row],[Cantidad]],VENTAS[[#This Row],[Total]])</f>
        <v>3.71111111111111</v>
      </c>
      <c r="L942" s="14">
        <f>VENTAS[[#This Row],[Total]]-VENTAS[[#This Row],[Comisión 10%]]-VENTAS[[#This Row],[Costo SIN Comision]]</f>
        <v>3.28888888888889</v>
      </c>
      <c r="M942" s="14"/>
    </row>
    <row r="943" ht="20" hidden="1" customHeight="1" spans="1:13">
      <c r="A943" s="10">
        <v>45436</v>
      </c>
      <c r="B943" s="11"/>
      <c r="C943" s="11"/>
      <c r="D943" s="11" t="s">
        <v>4241</v>
      </c>
      <c r="E943" s="11" t="s">
        <v>1756</v>
      </c>
      <c r="F943" s="11" t="str">
        <f>IFERROR(VLOOKUP(VENTAS[[#This Row],[Código del producto Vendido]],STOCK[],5,FALSE),"-")</f>
        <v>Zapatillas blanco casual</v>
      </c>
      <c r="G943" s="11">
        <v>1</v>
      </c>
      <c r="H943" s="14">
        <v>30</v>
      </c>
      <c r="I943" s="14">
        <f>VENTAS[[#This Row],[Cantidad]]*VENTAS[[#This Row],[Precio Venta]]</f>
        <v>30</v>
      </c>
      <c r="J943" s="14">
        <f>IF(VENTAS[[#This Row],[Nombre del Gestor]]&gt;1,VENTAS[[#This Row],[Total]]*10%,0)</f>
        <v>3</v>
      </c>
      <c r="K943" s="14">
        <f>IFERROR(VLOOKUP(VENTAS[[#This Row],[Código del producto Vendido]],STOCK[],16,FALSE)*VENTAS[[#This Row],[Cantidad]]+VLOOKUP(VENTAS[[#This Row],[Código del producto Vendido]],STOCK[],19,FALSE)*VENTAS[[#This Row],[Cantidad]],VENTAS[[#This Row],[Total]])</f>
        <v>24.4705882352941</v>
      </c>
      <c r="L943" s="14">
        <f>VENTAS[[#This Row],[Total]]-VENTAS[[#This Row],[Comisión 10%]]-VENTAS[[#This Row],[Costo SIN Comision]]</f>
        <v>2.5294117647059</v>
      </c>
      <c r="M943" s="14"/>
    </row>
    <row r="944" ht="20" hidden="1" customHeight="1" spans="1:13">
      <c r="A944" s="10">
        <v>45445</v>
      </c>
      <c r="B944" s="11"/>
      <c r="C944" s="11"/>
      <c r="D944" s="11" t="s">
        <v>4241</v>
      </c>
      <c r="E944" s="11" t="s">
        <v>2241</v>
      </c>
      <c r="F944" s="11" t="str">
        <f>IFERROR(VLOOKUP(VENTAS[[#This Row],[Código del producto Vendido]],STOCK[],5,FALSE),"-")</f>
        <v>Bolso bohemio redondo de gran capacidad</v>
      </c>
      <c r="G944" s="11">
        <v>1</v>
      </c>
      <c r="H944" s="14">
        <v>25</v>
      </c>
      <c r="I944" s="14">
        <f>VENTAS[[#This Row],[Cantidad]]*VENTAS[[#This Row],[Precio Venta]]</f>
        <v>25</v>
      </c>
      <c r="J944" s="14">
        <f>IF(VENTAS[[#This Row],[Nombre del Gestor]]&gt;1,VENTAS[[#This Row],[Total]]*10%,0)</f>
        <v>2.5</v>
      </c>
      <c r="K944" s="14">
        <f>IFERROR(VLOOKUP(VENTAS[[#This Row],[Código del producto Vendido]],STOCK[],16,FALSE)*VENTAS[[#This Row],[Cantidad]]+VLOOKUP(VENTAS[[#This Row],[Código del producto Vendido]],STOCK[],19,FALSE)*VENTAS[[#This Row],[Cantidad]],VENTAS[[#This Row],[Total]])</f>
        <v>11.09</v>
      </c>
      <c r="L944" s="14">
        <f>VENTAS[[#This Row],[Total]]-VENTAS[[#This Row],[Comisión 10%]]-VENTAS[[#This Row],[Costo SIN Comision]]</f>
        <v>11.41</v>
      </c>
      <c r="M944" s="14"/>
    </row>
    <row r="945" ht="20" hidden="1" customHeight="1" spans="1:13">
      <c r="A945" s="10">
        <v>45445</v>
      </c>
      <c r="B945" s="11"/>
      <c r="C945" s="11"/>
      <c r="D945" s="11" t="s">
        <v>4241</v>
      </c>
      <c r="E945" s="11" t="s">
        <v>2227</v>
      </c>
      <c r="F945" s="11" t="str">
        <f>IFERROR(VLOOKUP(VENTAS[[#This Row],[Código del producto Vendido]],STOCK[],5,FALSE),"-")</f>
        <v>Estiloso sombrero de protección solar playero</v>
      </c>
      <c r="G945" s="11">
        <v>1</v>
      </c>
      <c r="H945" s="14">
        <v>10</v>
      </c>
      <c r="I945" s="14">
        <f>VENTAS[[#This Row],[Cantidad]]*VENTAS[[#This Row],[Precio Venta]]</f>
        <v>10</v>
      </c>
      <c r="J945" s="14">
        <f>IF(VENTAS[[#This Row],[Nombre del Gestor]]&gt;1,VENTAS[[#This Row],[Total]]*10%,0)</f>
        <v>1</v>
      </c>
      <c r="K945" s="14">
        <f>IFERROR(VLOOKUP(VENTAS[[#This Row],[Código del producto Vendido]],STOCK[],16,FALSE)*VENTAS[[#This Row],[Cantidad]]+VLOOKUP(VENTAS[[#This Row],[Código del producto Vendido]],STOCK[],19,FALSE)*VENTAS[[#This Row],[Cantidad]],VENTAS[[#This Row],[Total]])</f>
        <v>3.28</v>
      </c>
      <c r="L945" s="14">
        <f>VENTAS[[#This Row],[Total]]-VENTAS[[#This Row],[Comisión 10%]]-VENTAS[[#This Row],[Costo SIN Comision]]</f>
        <v>5.72</v>
      </c>
      <c r="M945" s="14"/>
    </row>
    <row r="946" ht="20" hidden="1" customHeight="1" spans="1:13">
      <c r="A946" s="10">
        <v>45445</v>
      </c>
      <c r="B946" s="11"/>
      <c r="C946" s="11"/>
      <c r="D946" s="11" t="s">
        <v>4241</v>
      </c>
      <c r="E946" s="11" t="s">
        <v>2233</v>
      </c>
      <c r="F946" s="11" t="str">
        <f>IFERROR(VLOOKUP(VENTAS[[#This Row],[Código del producto Vendido]],STOCK[],5,FALSE),"-")</f>
        <v>Vestido blanco espalda cruzada</v>
      </c>
      <c r="G946" s="11">
        <v>1</v>
      </c>
      <c r="H946" s="14">
        <v>25</v>
      </c>
      <c r="I946" s="14">
        <f>VENTAS[[#This Row],[Cantidad]]*VENTAS[[#This Row],[Precio Venta]]</f>
        <v>25</v>
      </c>
      <c r="J946" s="14">
        <f>IF(VENTAS[[#This Row],[Nombre del Gestor]]&gt;1,VENTAS[[#This Row],[Total]]*10%,0)</f>
        <v>2.5</v>
      </c>
      <c r="K946" s="14">
        <f>IFERROR(VLOOKUP(VENTAS[[#This Row],[Código del producto Vendido]],STOCK[],16,FALSE)*VENTAS[[#This Row],[Cantidad]]+VLOOKUP(VENTAS[[#This Row],[Código del producto Vendido]],STOCK[],19,FALSE)*VENTAS[[#This Row],[Cantidad]],VENTAS[[#This Row],[Total]])</f>
        <v>12.19</v>
      </c>
      <c r="L946" s="14">
        <f>VENTAS[[#This Row],[Total]]-VENTAS[[#This Row],[Comisión 10%]]-VENTAS[[#This Row],[Costo SIN Comision]]</f>
        <v>10.31</v>
      </c>
      <c r="M946" s="14"/>
    </row>
    <row r="947" ht="20" hidden="1" customHeight="1" spans="1:13">
      <c r="A947" s="10">
        <v>45445</v>
      </c>
      <c r="B947" s="11"/>
      <c r="C947" s="11"/>
      <c r="D947" s="11" t="s">
        <v>4241</v>
      </c>
      <c r="E947" s="11" t="s">
        <v>2117</v>
      </c>
      <c r="F947" s="11" t="str">
        <f>IFERROR(VLOOKUP(VENTAS[[#This Row],[Código del producto Vendido]],STOCK[],5,FALSE),"-")</f>
        <v>Vestido Estampado floral de moda</v>
      </c>
      <c r="G947" s="11">
        <v>1</v>
      </c>
      <c r="H947" s="14">
        <v>25</v>
      </c>
      <c r="I947" s="14">
        <f>VENTAS[[#This Row],[Cantidad]]*VENTAS[[#This Row],[Precio Venta]]</f>
        <v>25</v>
      </c>
      <c r="J947" s="14">
        <f>IF(VENTAS[[#This Row],[Nombre del Gestor]]&gt;1,VENTAS[[#This Row],[Total]]*10%,0)</f>
        <v>2.5</v>
      </c>
      <c r="K947" s="14">
        <f>IFERROR(VLOOKUP(VENTAS[[#This Row],[Código del producto Vendido]],STOCK[],16,FALSE)*VENTAS[[#This Row],[Cantidad]]+VLOOKUP(VENTAS[[#This Row],[Código del producto Vendido]],STOCK[],19,FALSE)*VENTAS[[#This Row],[Cantidad]],VENTAS[[#This Row],[Total]])</f>
        <v>8.83</v>
      </c>
      <c r="L947" s="14">
        <f>VENTAS[[#This Row],[Total]]-VENTAS[[#This Row],[Comisión 10%]]-VENTAS[[#This Row],[Costo SIN Comision]]</f>
        <v>13.67</v>
      </c>
      <c r="M947" s="14"/>
    </row>
    <row r="948" ht="20" hidden="1" customHeight="1" spans="1:13">
      <c r="A948" s="10">
        <v>45445</v>
      </c>
      <c r="B948" s="11"/>
      <c r="C948" s="11"/>
      <c r="D948" s="11" t="s">
        <v>4265</v>
      </c>
      <c r="E948" s="11" t="s">
        <v>2182</v>
      </c>
      <c r="F948" s="11" t="str">
        <f>IFERROR(VLOOKUP(VENTAS[[#This Row],[Código del producto Vendido]],STOCK[],5,FALSE),"-")</f>
        <v>Bikini sexy de pierna alta en tendencia</v>
      </c>
      <c r="G948" s="11">
        <v>1</v>
      </c>
      <c r="H948" s="14">
        <v>20</v>
      </c>
      <c r="I948" s="14">
        <f>VENTAS[[#This Row],[Cantidad]]*VENTAS[[#This Row],[Precio Venta]]</f>
        <v>20</v>
      </c>
      <c r="J948" s="14">
        <f>IF(VENTAS[[#This Row],[Nombre del Gestor]]&gt;1,VENTAS[[#This Row],[Total]]*10%,0)</f>
        <v>2</v>
      </c>
      <c r="K948" s="14">
        <f>IFERROR(VLOOKUP(VENTAS[[#This Row],[Código del producto Vendido]],STOCK[],16,FALSE)*VENTAS[[#This Row],[Cantidad]]+VLOOKUP(VENTAS[[#This Row],[Código del producto Vendido]],STOCK[],19,FALSE)*VENTAS[[#This Row],[Cantidad]],VENTAS[[#This Row],[Total]])</f>
        <v>6.62</v>
      </c>
      <c r="L948" s="14">
        <f>VENTAS[[#This Row],[Total]]-VENTAS[[#This Row],[Comisión 10%]]-VENTAS[[#This Row],[Costo SIN Comision]]</f>
        <v>11.38</v>
      </c>
      <c r="M948" s="14"/>
    </row>
    <row r="949" ht="20" hidden="1" customHeight="1" spans="1:13">
      <c r="A949" s="10">
        <v>45445</v>
      </c>
      <c r="B949" s="11"/>
      <c r="C949" s="11"/>
      <c r="D949" s="11"/>
      <c r="E949" s="11" t="s">
        <v>2227</v>
      </c>
      <c r="F949" s="11" t="str">
        <f>IFERROR(VLOOKUP(VENTAS[[#This Row],[Código del producto Vendido]],STOCK[],5,FALSE),"-")</f>
        <v>Estiloso sombrero de protección solar playero</v>
      </c>
      <c r="G949" s="11">
        <v>1</v>
      </c>
      <c r="H949" s="14">
        <v>10</v>
      </c>
      <c r="I949" s="14">
        <f>VENTAS[[#This Row],[Cantidad]]*VENTAS[[#This Row],[Precio Venta]]</f>
        <v>10</v>
      </c>
      <c r="J949" s="14">
        <f>IF(VENTAS[[#This Row],[Nombre del Gestor]]&gt;1,VENTAS[[#This Row],[Total]]*10%,0)</f>
        <v>0</v>
      </c>
      <c r="K949" s="14">
        <f>IFERROR(VLOOKUP(VENTAS[[#This Row],[Código del producto Vendido]],STOCK[],16,FALSE)*VENTAS[[#This Row],[Cantidad]]+VLOOKUP(VENTAS[[#This Row],[Código del producto Vendido]],STOCK[],19,FALSE)*VENTAS[[#This Row],[Cantidad]],VENTAS[[#This Row],[Total]])</f>
        <v>3.28</v>
      </c>
      <c r="L949" s="14">
        <f>VENTAS[[#This Row],[Total]]-VENTAS[[#This Row],[Comisión 10%]]-VENTAS[[#This Row],[Costo SIN Comision]]</f>
        <v>6.72</v>
      </c>
      <c r="M949" s="14"/>
    </row>
    <row r="950" ht="20" hidden="1" customHeight="1" spans="1:13">
      <c r="A950" s="10">
        <v>45446</v>
      </c>
      <c r="B950" s="11"/>
      <c r="C950" s="11"/>
      <c r="D950" s="11"/>
      <c r="E950" s="11" t="s">
        <v>2227</v>
      </c>
      <c r="F950" s="11" t="str">
        <f>IFERROR(VLOOKUP(VENTAS[[#This Row],[Código del producto Vendido]],STOCK[],5,FALSE),"-")</f>
        <v>Estiloso sombrero de protección solar playero</v>
      </c>
      <c r="G950" s="11">
        <v>1</v>
      </c>
      <c r="H950" s="14">
        <v>10</v>
      </c>
      <c r="I950" s="14">
        <f>VENTAS[[#This Row],[Cantidad]]*VENTAS[[#This Row],[Precio Venta]]</f>
        <v>10</v>
      </c>
      <c r="J950" s="14">
        <f>IF(VENTAS[[#This Row],[Nombre del Gestor]]&gt;1,VENTAS[[#This Row],[Total]]*10%,0)</f>
        <v>0</v>
      </c>
      <c r="K950" s="14">
        <f>IFERROR(VLOOKUP(VENTAS[[#This Row],[Código del producto Vendido]],STOCK[],16,FALSE)*VENTAS[[#This Row],[Cantidad]]+VLOOKUP(VENTAS[[#This Row],[Código del producto Vendido]],STOCK[],19,FALSE)*VENTAS[[#This Row],[Cantidad]],VENTAS[[#This Row],[Total]])</f>
        <v>3.28</v>
      </c>
      <c r="L950" s="14">
        <f>VENTAS[[#This Row],[Total]]-VENTAS[[#This Row],[Comisión 10%]]-VENTAS[[#This Row],[Costo SIN Comision]]</f>
        <v>6.72</v>
      </c>
      <c r="M950" s="14"/>
    </row>
    <row r="951" ht="20" hidden="1" customHeight="1" spans="1:13">
      <c r="A951" s="10">
        <v>45446</v>
      </c>
      <c r="B951" s="11"/>
      <c r="C951" s="11" t="s">
        <v>4083</v>
      </c>
      <c r="D951" s="11"/>
      <c r="E951" s="11" t="s">
        <v>2144</v>
      </c>
      <c r="F951" s="11" t="str">
        <f>IFERROR(VLOOKUP(VENTAS[[#This Row],[Código del producto Vendido]],STOCK[],5,FALSE),"-")</f>
        <v>Falda Bohemia de mezclilla de cintura alta con detalles de botón</v>
      </c>
      <c r="G951" s="11">
        <v>1</v>
      </c>
      <c r="H951" s="14">
        <v>30</v>
      </c>
      <c r="I951" s="14">
        <f>VENTAS[[#This Row],[Cantidad]]*VENTAS[[#This Row],[Precio Venta]]</f>
        <v>30</v>
      </c>
      <c r="J951" s="14">
        <f>IF(VENTAS[[#This Row],[Nombre del Gestor]]&gt;1,VENTAS[[#This Row],[Total]]*10%,0)</f>
        <v>0</v>
      </c>
      <c r="K951" s="14">
        <f>IFERROR(VLOOKUP(VENTAS[[#This Row],[Código del producto Vendido]],STOCK[],16,FALSE)*VENTAS[[#This Row],[Cantidad]]+VLOOKUP(VENTAS[[#This Row],[Código del producto Vendido]],STOCK[],19,FALSE)*VENTAS[[#This Row],[Cantidad]],VENTAS[[#This Row],[Total]])</f>
        <v>7.05</v>
      </c>
      <c r="L951" s="14">
        <f>VENTAS[[#This Row],[Total]]-VENTAS[[#This Row],[Comisión 10%]]-VENTAS[[#This Row],[Costo SIN Comision]]</f>
        <v>22.95</v>
      </c>
      <c r="M951" s="14"/>
    </row>
    <row r="952" ht="20" hidden="1" customHeight="1" spans="1:13">
      <c r="A952" s="10">
        <v>45446</v>
      </c>
      <c r="B952" s="11"/>
      <c r="C952" s="11" t="s">
        <v>4083</v>
      </c>
      <c r="D952" s="11"/>
      <c r="E952" s="11" t="s">
        <v>2160</v>
      </c>
      <c r="F952" s="11" t="str">
        <f>IFERROR(VLOOKUP(VENTAS[[#This Row],[Código del producto Vendido]],STOCK[],5,FALSE),"-")</f>
        <v>Set de bikini estampado de flor de 3 piezas de cintura alta</v>
      </c>
      <c r="G952" s="11">
        <v>1</v>
      </c>
      <c r="H952" s="14">
        <v>25</v>
      </c>
      <c r="I952" s="14">
        <f>VENTAS[[#This Row],[Cantidad]]*VENTAS[[#This Row],[Precio Venta]]</f>
        <v>25</v>
      </c>
      <c r="J952" s="14">
        <f>IF(VENTAS[[#This Row],[Nombre del Gestor]]&gt;1,VENTAS[[#This Row],[Total]]*10%,0)</f>
        <v>0</v>
      </c>
      <c r="K952" s="14">
        <f>IFERROR(VLOOKUP(VENTAS[[#This Row],[Código del producto Vendido]],STOCK[],16,FALSE)*VENTAS[[#This Row],[Cantidad]]+VLOOKUP(VENTAS[[#This Row],[Código del producto Vendido]],STOCK[],19,FALSE)*VENTAS[[#This Row],[Cantidad]],VENTAS[[#This Row],[Total]])</f>
        <v>10.43</v>
      </c>
      <c r="L952" s="14">
        <f>VENTAS[[#This Row],[Total]]-VENTAS[[#This Row],[Comisión 10%]]-VENTAS[[#This Row],[Costo SIN Comision]]</f>
        <v>14.57</v>
      </c>
      <c r="M952" s="14"/>
    </row>
    <row r="953" ht="20" hidden="1" customHeight="1" spans="1:13">
      <c r="A953" s="10">
        <v>45446</v>
      </c>
      <c r="B953" s="11"/>
      <c r="C953" s="11"/>
      <c r="D953" s="11" t="s">
        <v>4241</v>
      </c>
      <c r="E953" s="11" t="s">
        <v>2233</v>
      </c>
      <c r="F953" s="11" t="str">
        <f>IFERROR(VLOOKUP(VENTAS[[#This Row],[Código del producto Vendido]],STOCK[],5,FALSE),"-")</f>
        <v>Vestido blanco espalda cruzada</v>
      </c>
      <c r="G953" s="11">
        <v>2</v>
      </c>
      <c r="H953" s="14">
        <v>25</v>
      </c>
      <c r="I953" s="14">
        <f>VENTAS[[#This Row],[Cantidad]]*VENTAS[[#This Row],[Precio Venta]]</f>
        <v>50</v>
      </c>
      <c r="J953" s="14">
        <f>IF(VENTAS[[#This Row],[Nombre del Gestor]]&gt;1,VENTAS[[#This Row],[Total]]*10%,0)</f>
        <v>5</v>
      </c>
      <c r="K953" s="14">
        <f>IFERROR(VLOOKUP(VENTAS[[#This Row],[Código del producto Vendido]],STOCK[],16,FALSE)*VENTAS[[#This Row],[Cantidad]]+VLOOKUP(VENTAS[[#This Row],[Código del producto Vendido]],STOCK[],19,FALSE)*VENTAS[[#This Row],[Cantidad]],VENTAS[[#This Row],[Total]])</f>
        <v>24.38</v>
      </c>
      <c r="L953" s="14">
        <f>VENTAS[[#This Row],[Total]]-VENTAS[[#This Row],[Comisión 10%]]-VENTAS[[#This Row],[Costo SIN Comision]]</f>
        <v>20.62</v>
      </c>
      <c r="M953" s="14"/>
    </row>
    <row r="954" ht="20" hidden="1" customHeight="1" spans="1:13">
      <c r="A954" s="10">
        <v>45446</v>
      </c>
      <c r="B954" s="11"/>
      <c r="C954" s="11"/>
      <c r="D954" s="11" t="s">
        <v>4241</v>
      </c>
      <c r="E954" s="11" t="s">
        <v>1259</v>
      </c>
      <c r="F954" s="11" t="str">
        <f>IFERROR(VLOOKUP(VENTAS[[#This Row],[Código del producto Vendido]],STOCK[],5,FALSE),"-")</f>
        <v>Maxi vestido de espalda cruzada</v>
      </c>
      <c r="G954" s="11">
        <v>1</v>
      </c>
      <c r="H954" s="14">
        <v>35</v>
      </c>
      <c r="I954" s="14">
        <f>VENTAS[[#This Row],[Cantidad]]*VENTAS[[#This Row],[Precio Venta]]</f>
        <v>35</v>
      </c>
      <c r="J954" s="14">
        <f>IF(VENTAS[[#This Row],[Nombre del Gestor]]&gt;1,VENTAS[[#This Row],[Total]]*10%,0)</f>
        <v>3.5</v>
      </c>
      <c r="K954" s="14">
        <f>IFERROR(VLOOKUP(VENTAS[[#This Row],[Código del producto Vendido]],STOCK[],16,FALSE)*VENTAS[[#This Row],[Cantidad]]+VLOOKUP(VENTAS[[#This Row],[Código del producto Vendido]],STOCK[],19,FALSE)*VENTAS[[#This Row],[Cantidad]],VENTAS[[#This Row],[Total]])</f>
        <v>23.95</v>
      </c>
      <c r="L954" s="14">
        <f>VENTAS[[#This Row],[Total]]-VENTAS[[#This Row],[Comisión 10%]]-VENTAS[[#This Row],[Costo SIN Comision]]</f>
        <v>7.55</v>
      </c>
      <c r="M954" s="14"/>
    </row>
    <row r="955" ht="20" hidden="1" customHeight="1" spans="1:13">
      <c r="A955" s="10">
        <v>45447</v>
      </c>
      <c r="B955" s="11"/>
      <c r="C955" s="11"/>
      <c r="D955" s="11" t="s">
        <v>4241</v>
      </c>
      <c r="E955" s="11" t="s">
        <v>2121</v>
      </c>
      <c r="F955" s="11" t="str">
        <f>IFERROR(VLOOKUP(VENTAS[[#This Row],[Código del producto Vendido]],STOCK[],5,FALSE),"-")</f>
        <v>Vestido Estampado floral de moda</v>
      </c>
      <c r="G955" s="11">
        <v>1</v>
      </c>
      <c r="H955" s="14">
        <v>25</v>
      </c>
      <c r="I955" s="14">
        <f>VENTAS[[#This Row],[Cantidad]]*VENTAS[[#This Row],[Precio Venta]]</f>
        <v>25</v>
      </c>
      <c r="J955" s="14">
        <f>IF(VENTAS[[#This Row],[Nombre del Gestor]]&gt;1,VENTAS[[#This Row],[Total]]*10%,0)</f>
        <v>2.5</v>
      </c>
      <c r="K955" s="14">
        <f>IFERROR(VLOOKUP(VENTAS[[#This Row],[Código del producto Vendido]],STOCK[],16,FALSE)*VENTAS[[#This Row],[Cantidad]]+VLOOKUP(VENTAS[[#This Row],[Código del producto Vendido]],STOCK[],19,FALSE)*VENTAS[[#This Row],[Cantidad]],VENTAS[[#This Row],[Total]])</f>
        <v>8.83</v>
      </c>
      <c r="L955" s="14">
        <f>VENTAS[[#This Row],[Total]]-VENTAS[[#This Row],[Comisión 10%]]-VENTAS[[#This Row],[Costo SIN Comision]]</f>
        <v>13.67</v>
      </c>
      <c r="M955" s="14"/>
    </row>
    <row r="956" ht="20" hidden="1" customHeight="1" spans="1:13">
      <c r="A956" s="10">
        <v>45448</v>
      </c>
      <c r="B956" s="11"/>
      <c r="C956" s="11"/>
      <c r="D956" s="11"/>
      <c r="E956" s="11" t="s">
        <v>2230</v>
      </c>
      <c r="F956" s="11" t="str">
        <f>IFERROR(VLOOKUP(VENTAS[[#This Row],[Código del producto Vendido]],STOCK[],5,FALSE),"-")</f>
        <v>Vestido negro espalda cruzada</v>
      </c>
      <c r="G956" s="11">
        <v>1</v>
      </c>
      <c r="H956" s="14">
        <v>25</v>
      </c>
      <c r="I956" s="14">
        <f>VENTAS[[#This Row],[Cantidad]]*VENTAS[[#This Row],[Precio Venta]]</f>
        <v>25</v>
      </c>
      <c r="J956" s="14">
        <f>IF(VENTAS[[#This Row],[Nombre del Gestor]]&gt;1,VENTAS[[#This Row],[Total]]*10%,0)</f>
        <v>0</v>
      </c>
      <c r="K956" s="14">
        <f>IFERROR(VLOOKUP(VENTAS[[#This Row],[Código del producto Vendido]],STOCK[],16,FALSE)*VENTAS[[#This Row],[Cantidad]]+VLOOKUP(VENTAS[[#This Row],[Código del producto Vendido]],STOCK[],19,FALSE)*VENTAS[[#This Row],[Cantidad]],VENTAS[[#This Row],[Total]])</f>
        <v>12.19</v>
      </c>
      <c r="L956" s="14">
        <f>VENTAS[[#This Row],[Total]]-VENTAS[[#This Row],[Comisión 10%]]-VENTAS[[#This Row],[Costo SIN Comision]]</f>
        <v>12.81</v>
      </c>
      <c r="M956" s="14"/>
    </row>
    <row r="957" ht="20" hidden="1" customHeight="1" spans="1:13">
      <c r="A957" s="10">
        <v>45448</v>
      </c>
      <c r="B957" s="11"/>
      <c r="C957" s="11"/>
      <c r="D957" s="11" t="s">
        <v>4241</v>
      </c>
      <c r="E957" s="11" t="s">
        <v>1886</v>
      </c>
      <c r="F957" s="11" t="str">
        <f>IFERROR(VLOOKUP(VENTAS[[#This Row],[Código del producto Vendido]],STOCK[],5,FALSE),"-")</f>
        <v>Vestido Camisero de Rayas</v>
      </c>
      <c r="G957" s="11">
        <v>1</v>
      </c>
      <c r="H957" s="14">
        <v>35</v>
      </c>
      <c r="I957" s="14">
        <f>VENTAS[[#This Row],[Cantidad]]*VENTAS[[#This Row],[Precio Venta]]</f>
        <v>35</v>
      </c>
      <c r="J957" s="14">
        <f>IF(VENTAS[[#This Row],[Nombre del Gestor]]&gt;1,VENTAS[[#This Row],[Total]]*10%,0)</f>
        <v>3.5</v>
      </c>
      <c r="K957" s="14">
        <f>IFERROR(VLOOKUP(VENTAS[[#This Row],[Código del producto Vendido]],STOCK[],16,FALSE)*VENTAS[[#This Row],[Cantidad]]+VLOOKUP(VENTAS[[#This Row],[Código del producto Vendido]],STOCK[],19,FALSE)*VENTAS[[#This Row],[Cantidad]],VENTAS[[#This Row],[Total]])</f>
        <v>23.67</v>
      </c>
      <c r="L957" s="14">
        <f>VENTAS[[#This Row],[Total]]-VENTAS[[#This Row],[Comisión 10%]]-VENTAS[[#This Row],[Costo SIN Comision]]</f>
        <v>7.83</v>
      </c>
      <c r="M957" s="14"/>
    </row>
    <row r="958" ht="20" hidden="1" customHeight="1" spans="1:13">
      <c r="A958" s="10">
        <v>45448</v>
      </c>
      <c r="B958" s="11"/>
      <c r="C958" s="11"/>
      <c r="D958" s="11" t="s">
        <v>4241</v>
      </c>
      <c r="E958" s="11" t="s">
        <v>282</v>
      </c>
      <c r="F958" s="11" t="str">
        <f>IFERROR(VLOOKUP(VENTAS[[#This Row],[Código del producto Vendido]],STOCK[],5,FALSE),"-")</f>
        <v>Conjunto cuadros</v>
      </c>
      <c r="G958" s="11">
        <v>1</v>
      </c>
      <c r="H958" s="14">
        <v>20</v>
      </c>
      <c r="I958" s="14">
        <f>VENTAS[[#This Row],[Cantidad]]*VENTAS[[#This Row],[Precio Venta]]</f>
        <v>20</v>
      </c>
      <c r="J958" s="14">
        <f>IF(VENTAS[[#This Row],[Nombre del Gestor]]&gt;1,VENTAS[[#This Row],[Total]]*10%,0)</f>
        <v>2</v>
      </c>
      <c r="K958" s="14">
        <f>IFERROR(VLOOKUP(VENTAS[[#This Row],[Código del producto Vendido]],STOCK[],16,FALSE)*VENTAS[[#This Row],[Cantidad]]+VLOOKUP(VENTAS[[#This Row],[Código del producto Vendido]],STOCK[],19,FALSE)*VENTAS[[#This Row],[Cantidad]],VENTAS[[#This Row],[Total]])</f>
        <v>12.2022222222222</v>
      </c>
      <c r="L958" s="14">
        <f>VENTAS[[#This Row],[Total]]-VENTAS[[#This Row],[Comisión 10%]]-VENTAS[[#This Row],[Costo SIN Comision]]</f>
        <v>5.79777777777778</v>
      </c>
      <c r="M958" s="14"/>
    </row>
    <row r="959" ht="20" hidden="1" customHeight="1" spans="1:13">
      <c r="A959" s="10">
        <v>45449</v>
      </c>
      <c r="B959" s="11"/>
      <c r="C959" s="11"/>
      <c r="D959" s="11" t="s">
        <v>4266</v>
      </c>
      <c r="E959" s="11" t="s">
        <v>1628</v>
      </c>
      <c r="F959" s="11" t="str">
        <f>IFERROR(VLOOKUP(VENTAS[[#This Row],[Código del producto Vendido]],STOCK[],5,FALSE),"-")</f>
        <v>Vestido Burdeos </v>
      </c>
      <c r="G959" s="11">
        <v>1</v>
      </c>
      <c r="H959" s="14">
        <v>30</v>
      </c>
      <c r="I959" s="14">
        <f>VENTAS[[#This Row],[Cantidad]]*VENTAS[[#This Row],[Precio Venta]]</f>
        <v>30</v>
      </c>
      <c r="J959" s="14">
        <f>IF(VENTAS[[#This Row],[Nombre del Gestor]]&gt;1,VENTAS[[#This Row],[Total]]*10%,0)</f>
        <v>3</v>
      </c>
      <c r="K959" s="14">
        <f>IFERROR(VLOOKUP(VENTAS[[#This Row],[Código del producto Vendido]],STOCK[],16,FALSE)*VENTAS[[#This Row],[Cantidad]]+VLOOKUP(VENTAS[[#This Row],[Código del producto Vendido]],STOCK[],19,FALSE)*VENTAS[[#This Row],[Cantidad]],VENTAS[[#This Row],[Total]])</f>
        <v>14.33</v>
      </c>
      <c r="L959" s="14">
        <f>VENTAS[[#This Row],[Total]]-VENTAS[[#This Row],[Comisión 10%]]-VENTAS[[#This Row],[Costo SIN Comision]]</f>
        <v>12.67</v>
      </c>
      <c r="M959" s="14"/>
    </row>
    <row r="960" ht="20" hidden="1" customHeight="1" spans="1:13">
      <c r="A960" s="10">
        <v>45450</v>
      </c>
      <c r="B960" s="11"/>
      <c r="C960" s="11" t="s">
        <v>4267</v>
      </c>
      <c r="D960" s="11"/>
      <c r="E960" s="11" t="s">
        <v>1880</v>
      </c>
      <c r="F960" s="11" t="str">
        <f>IFERROR(VLOOKUP(VENTAS[[#This Row],[Código del producto Vendido]],STOCK[],5,FALSE),"-")</f>
        <v>Bolso Vintage Marrón</v>
      </c>
      <c r="G960" s="11">
        <v>1</v>
      </c>
      <c r="H960" s="14">
        <v>35</v>
      </c>
      <c r="I960" s="14">
        <f>VENTAS[[#This Row],[Cantidad]]*VENTAS[[#This Row],[Precio Venta]]</f>
        <v>35</v>
      </c>
      <c r="J960" s="14">
        <f>IF(VENTAS[[#This Row],[Nombre del Gestor]]&gt;1,VENTAS[[#This Row],[Total]]*10%,0)</f>
        <v>0</v>
      </c>
      <c r="K960" s="14">
        <f>IFERROR(VLOOKUP(VENTAS[[#This Row],[Código del producto Vendido]],STOCK[],16,FALSE)*VENTAS[[#This Row],[Cantidad]]+VLOOKUP(VENTAS[[#This Row],[Código del producto Vendido]],STOCK[],19,FALSE)*VENTAS[[#This Row],[Cantidad]],VENTAS[[#This Row],[Total]])</f>
        <v>22.98</v>
      </c>
      <c r="L960" s="14">
        <f>VENTAS[[#This Row],[Total]]-VENTAS[[#This Row],[Comisión 10%]]-VENTAS[[#This Row],[Costo SIN Comision]]</f>
        <v>12.02</v>
      </c>
      <c r="M960" s="14"/>
    </row>
    <row r="961" ht="20" hidden="1" customHeight="1" spans="1:13">
      <c r="A961" s="10">
        <v>45451</v>
      </c>
      <c r="B961" s="11"/>
      <c r="C961" s="11"/>
      <c r="D961" s="11" t="s">
        <v>4241</v>
      </c>
      <c r="E961" s="11" t="s">
        <v>2172</v>
      </c>
      <c r="F961" s="11" t="str">
        <f>IFERROR(VLOOKUP(VENTAS[[#This Row],[Código del producto Vendido]],STOCK[],5,FALSE),"-")</f>
        <v>Bañador clásico cuello V</v>
      </c>
      <c r="G961" s="11">
        <v>2</v>
      </c>
      <c r="H961" s="14">
        <v>18</v>
      </c>
      <c r="I961" s="14">
        <f>VENTAS[[#This Row],[Cantidad]]*VENTAS[[#This Row],[Precio Venta]]</f>
        <v>36</v>
      </c>
      <c r="J961" s="14">
        <f>IF(VENTAS[[#This Row],[Nombre del Gestor]]&gt;1,VENTAS[[#This Row],[Total]]*10%,0)</f>
        <v>3.6</v>
      </c>
      <c r="K961" s="14">
        <f>IFERROR(VLOOKUP(VENTAS[[#This Row],[Código del producto Vendido]],STOCK[],16,FALSE)*VENTAS[[#This Row],[Cantidad]]+VLOOKUP(VENTAS[[#This Row],[Código del producto Vendido]],STOCK[],19,FALSE)*VENTAS[[#This Row],[Cantidad]],VENTAS[[#This Row],[Total]])</f>
        <v>12.22</v>
      </c>
      <c r="L961" s="14">
        <f>VENTAS[[#This Row],[Total]]-VENTAS[[#This Row],[Comisión 10%]]-VENTAS[[#This Row],[Costo SIN Comision]]</f>
        <v>20.18</v>
      </c>
      <c r="M961" s="14"/>
    </row>
    <row r="962" ht="20" hidden="1" customHeight="1" spans="1:13">
      <c r="A962" s="10">
        <v>45452</v>
      </c>
      <c r="B962" s="11"/>
      <c r="C962" s="11"/>
      <c r="D962" s="11"/>
      <c r="E962" s="11" t="s">
        <v>2169</v>
      </c>
      <c r="F962" s="11" t="str">
        <f>IFERROR(VLOOKUP(VENTAS[[#This Row],[Código del producto Vendido]],STOCK[],5,FALSE),"-")</f>
        <v>Bañador clásico cuello V</v>
      </c>
      <c r="G962" s="11">
        <v>1</v>
      </c>
      <c r="H962" s="14">
        <v>18</v>
      </c>
      <c r="I962" s="14">
        <f>VENTAS[[#This Row],[Cantidad]]*VENTAS[[#This Row],[Precio Venta]]</f>
        <v>18</v>
      </c>
      <c r="J962" s="14">
        <f>IF(VENTAS[[#This Row],[Nombre del Gestor]]&gt;1,VENTAS[[#This Row],[Total]]*10%,0)</f>
        <v>0</v>
      </c>
      <c r="K962" s="14">
        <f>IFERROR(VLOOKUP(VENTAS[[#This Row],[Código del producto Vendido]],STOCK[],16,FALSE)*VENTAS[[#This Row],[Cantidad]]+VLOOKUP(VENTAS[[#This Row],[Código del producto Vendido]],STOCK[],19,FALSE)*VENTAS[[#This Row],[Cantidad]],VENTAS[[#This Row],[Total]])</f>
        <v>6.11</v>
      </c>
      <c r="L962" s="14">
        <f>VENTAS[[#This Row],[Total]]-VENTAS[[#This Row],[Comisión 10%]]-VENTAS[[#This Row],[Costo SIN Comision]]</f>
        <v>11.89</v>
      </c>
      <c r="M962" s="14"/>
    </row>
    <row r="963" ht="20" hidden="1" customHeight="1" spans="1:13">
      <c r="A963" s="10">
        <v>45453</v>
      </c>
      <c r="B963" s="11"/>
      <c r="C963" s="11" t="s">
        <v>4267</v>
      </c>
      <c r="D963" s="11"/>
      <c r="E963" s="11" t="s">
        <v>2165</v>
      </c>
      <c r="F963" s="11" t="str">
        <f>IFERROR(VLOOKUP(VENTAS[[#This Row],[Código del producto Vendido]],STOCK[],5,FALSE),"-")</f>
        <v>Bañador en color sólido sexy-elegante </v>
      </c>
      <c r="G963" s="11">
        <v>1</v>
      </c>
      <c r="H963" s="14">
        <v>20</v>
      </c>
      <c r="I963" s="14">
        <f>VENTAS[[#This Row],[Cantidad]]*VENTAS[[#This Row],[Precio Venta]]</f>
        <v>20</v>
      </c>
      <c r="J963" s="14">
        <f>IF(VENTAS[[#This Row],[Nombre del Gestor]]&gt;1,VENTAS[[#This Row],[Total]]*10%,0)</f>
        <v>0</v>
      </c>
      <c r="K963" s="14">
        <f>IFERROR(VLOOKUP(VENTAS[[#This Row],[Código del producto Vendido]],STOCK[],16,FALSE)*VENTAS[[#This Row],[Cantidad]]+VLOOKUP(VENTAS[[#This Row],[Código del producto Vendido]],STOCK[],19,FALSE)*VENTAS[[#This Row],[Cantidad]],VENTAS[[#This Row],[Total]])</f>
        <v>8.24</v>
      </c>
      <c r="L963" s="14">
        <f>VENTAS[[#This Row],[Total]]-VENTAS[[#This Row],[Comisión 10%]]-VENTAS[[#This Row],[Costo SIN Comision]]</f>
        <v>11.76</v>
      </c>
      <c r="M963" s="14"/>
    </row>
    <row r="964" ht="20" hidden="1" customHeight="1" spans="1:13">
      <c r="A964" s="10">
        <v>45454</v>
      </c>
      <c r="B964" s="11"/>
      <c r="C964" s="11" t="s">
        <v>4268</v>
      </c>
      <c r="D964" s="11"/>
      <c r="E964" s="11" t="s">
        <v>2200</v>
      </c>
      <c r="F964" s="11" t="str">
        <f>IFERROR(VLOOKUP(VENTAS[[#This Row],[Código del producto Vendido]],STOCK[],5,FALSE),"-")</f>
        <v>Set de bikini floral con aro</v>
      </c>
      <c r="G964" s="11">
        <v>1</v>
      </c>
      <c r="H964" s="14">
        <v>0</v>
      </c>
      <c r="I964" s="14">
        <f>VENTAS[[#This Row],[Cantidad]]*VENTAS[[#This Row],[Precio Venta]]</f>
        <v>0</v>
      </c>
      <c r="J964" s="14">
        <f>IF(VENTAS[[#This Row],[Nombre del Gestor]]&gt;1,VENTAS[[#This Row],[Total]]*10%,0)</f>
        <v>0</v>
      </c>
      <c r="K964" s="14">
        <f>IFERROR(VLOOKUP(VENTAS[[#This Row],[Código del producto Vendido]],STOCK[],16,FALSE)*VENTAS[[#This Row],[Cantidad]]+VLOOKUP(VENTAS[[#This Row],[Código del producto Vendido]],STOCK[],19,FALSE)*VENTAS[[#This Row],[Cantidad]],VENTAS[[#This Row],[Total]])</f>
        <v>8.38</v>
      </c>
      <c r="L964" s="14">
        <f>VENTAS[[#This Row],[Total]]-VENTAS[[#This Row],[Comisión 10%]]-VENTAS[[#This Row],[Costo SIN Comision]]</f>
        <v>-8.38</v>
      </c>
      <c r="M964" s="14"/>
    </row>
    <row r="965" ht="20" hidden="1" customHeight="1" spans="1:13">
      <c r="A965" s="10">
        <v>45455</v>
      </c>
      <c r="B965" s="11"/>
      <c r="C965" s="11" t="s">
        <v>4103</v>
      </c>
      <c r="D965" s="11"/>
      <c r="E965" s="11" t="s">
        <v>2214</v>
      </c>
      <c r="F965" s="11" t="str">
        <f>IFERROR(VLOOKUP(VENTAS[[#This Row],[Código del producto Vendido]],STOCK[],5,FALSE),"-")</f>
        <v>Bolso chic estilo verano</v>
      </c>
      <c r="G965" s="11">
        <v>1</v>
      </c>
      <c r="H965" s="14">
        <v>18</v>
      </c>
      <c r="I965" s="14">
        <f>VENTAS[[#This Row],[Cantidad]]*VENTAS[[#This Row],[Precio Venta]]</f>
        <v>18</v>
      </c>
      <c r="J965" s="14">
        <f>IF(VENTAS[[#This Row],[Nombre del Gestor]]&gt;1,VENTAS[[#This Row],[Total]]*10%,0)</f>
        <v>0</v>
      </c>
      <c r="K965" s="14">
        <f>IFERROR(VLOOKUP(VENTAS[[#This Row],[Código del producto Vendido]],STOCK[],16,FALSE)*VENTAS[[#This Row],[Cantidad]]+VLOOKUP(VENTAS[[#This Row],[Código del producto Vendido]],STOCK[],19,FALSE)*VENTAS[[#This Row],[Cantidad]],VENTAS[[#This Row],[Total]])</f>
        <v>7.11</v>
      </c>
      <c r="L965" s="14">
        <f>VENTAS[[#This Row],[Total]]-VENTAS[[#This Row],[Comisión 10%]]-VENTAS[[#This Row],[Costo SIN Comision]]</f>
        <v>10.89</v>
      </c>
      <c r="M965" s="14"/>
    </row>
    <row r="966" ht="20" hidden="1" customHeight="1" spans="1:13">
      <c r="A966" s="10">
        <v>45456</v>
      </c>
      <c r="B966" s="11"/>
      <c r="C966" s="11"/>
      <c r="D966" s="11" t="s">
        <v>4241</v>
      </c>
      <c r="E966" s="11" t="s">
        <v>2227</v>
      </c>
      <c r="F966" s="11" t="str">
        <f>IFERROR(VLOOKUP(VENTAS[[#This Row],[Código del producto Vendido]],STOCK[],5,FALSE),"-")</f>
        <v>Estiloso sombrero de protección solar playero</v>
      </c>
      <c r="G966" s="11">
        <v>2</v>
      </c>
      <c r="H966" s="14">
        <v>15</v>
      </c>
      <c r="I966" s="14">
        <f>VENTAS[[#This Row],[Cantidad]]*VENTAS[[#This Row],[Precio Venta]]</f>
        <v>30</v>
      </c>
      <c r="J966" s="14">
        <f>IF(VENTAS[[#This Row],[Nombre del Gestor]]&gt;1,VENTAS[[#This Row],[Total]]*10%,0)</f>
        <v>3</v>
      </c>
      <c r="K966" s="14">
        <f>IFERROR(VLOOKUP(VENTAS[[#This Row],[Código del producto Vendido]],STOCK[],16,FALSE)*VENTAS[[#This Row],[Cantidad]]+VLOOKUP(VENTAS[[#This Row],[Código del producto Vendido]],STOCK[],19,FALSE)*VENTAS[[#This Row],[Cantidad]],VENTAS[[#This Row],[Total]])</f>
        <v>6.56</v>
      </c>
      <c r="L966" s="14">
        <f>VENTAS[[#This Row],[Total]]-VENTAS[[#This Row],[Comisión 10%]]-VENTAS[[#This Row],[Costo SIN Comision]]</f>
        <v>20.44</v>
      </c>
      <c r="M966" s="14"/>
    </row>
    <row r="967" ht="20" hidden="1" customHeight="1" spans="1:13">
      <c r="A967" s="10">
        <v>45457</v>
      </c>
      <c r="B967" s="11"/>
      <c r="C967" s="11" t="s">
        <v>4267</v>
      </c>
      <c r="D967" s="11"/>
      <c r="E967" s="11" t="s">
        <v>2214</v>
      </c>
      <c r="F967" s="11" t="str">
        <f>IFERROR(VLOOKUP(VENTAS[[#This Row],[Código del producto Vendido]],STOCK[],5,FALSE),"-")</f>
        <v>Bolso chic estilo verano</v>
      </c>
      <c r="G967" s="11">
        <v>1</v>
      </c>
      <c r="H967" s="14">
        <v>18</v>
      </c>
      <c r="I967" s="14">
        <f>VENTAS[[#This Row],[Cantidad]]*VENTAS[[#This Row],[Precio Venta]]</f>
        <v>18</v>
      </c>
      <c r="J967" s="14">
        <f>IF(VENTAS[[#This Row],[Nombre del Gestor]]&gt;1,VENTAS[[#This Row],[Total]]*10%,0)</f>
        <v>0</v>
      </c>
      <c r="K967" s="14">
        <f>IFERROR(VLOOKUP(VENTAS[[#This Row],[Código del producto Vendido]],STOCK[],16,FALSE)*VENTAS[[#This Row],[Cantidad]]+VLOOKUP(VENTAS[[#This Row],[Código del producto Vendido]],STOCK[],19,FALSE)*VENTAS[[#This Row],[Cantidad]],VENTAS[[#This Row],[Total]])</f>
        <v>7.11</v>
      </c>
      <c r="L967" s="14">
        <f>VENTAS[[#This Row],[Total]]-VENTAS[[#This Row],[Comisión 10%]]-VENTAS[[#This Row],[Costo SIN Comision]]</f>
        <v>10.89</v>
      </c>
      <c r="M967" s="14"/>
    </row>
    <row r="968" ht="20" hidden="1" customHeight="1" spans="1:13">
      <c r="A968" s="10">
        <v>45458</v>
      </c>
      <c r="B968" s="11"/>
      <c r="C968" s="11" t="s">
        <v>4269</v>
      </c>
      <c r="D968" s="11"/>
      <c r="E968" s="11" t="s">
        <v>2294</v>
      </c>
      <c r="F968" s="11" t="str">
        <f>IFERROR(VLOOKUP(VENTAS[[#This Row],[Código del producto Vendido]],STOCK[],5,FALSE),"-")</f>
        <v>Set de bikini Vacaciones en bloque de color</v>
      </c>
      <c r="G968" s="11">
        <v>1</v>
      </c>
      <c r="H968" s="14">
        <v>0</v>
      </c>
      <c r="I968" s="14">
        <f>VENTAS[[#This Row],[Cantidad]]*VENTAS[[#This Row],[Precio Venta]]</f>
        <v>0</v>
      </c>
      <c r="J968" s="14">
        <f>IF(VENTAS[[#This Row],[Nombre del Gestor]]&gt;1,VENTAS[[#This Row],[Total]]*10%,0)</f>
        <v>0</v>
      </c>
      <c r="K968" s="14">
        <f>IFERROR(VLOOKUP(VENTAS[[#This Row],[Código del producto Vendido]],STOCK[],16,FALSE)*VENTAS[[#This Row],[Cantidad]]+VLOOKUP(VENTAS[[#This Row],[Código del producto Vendido]],STOCK[],19,FALSE)*VENTAS[[#This Row],[Cantidad]],VENTAS[[#This Row],[Total]])</f>
        <v>11.38</v>
      </c>
      <c r="L968" s="14">
        <f>VENTAS[[#This Row],[Total]]-VENTAS[[#This Row],[Comisión 10%]]-VENTAS[[#This Row],[Costo SIN Comision]]</f>
        <v>-11.38</v>
      </c>
      <c r="M968" s="14"/>
    </row>
    <row r="969" ht="20" hidden="1" customHeight="1" spans="1:13">
      <c r="A969" s="10">
        <v>45459</v>
      </c>
      <c r="B969" s="11"/>
      <c r="C969" s="11"/>
      <c r="D969" s="11" t="s">
        <v>4222</v>
      </c>
      <c r="E969" s="11" t="s">
        <v>1626</v>
      </c>
      <c r="F969" s="11" t="str">
        <f>IFERROR(VLOOKUP(VENTAS[[#This Row],[Código del producto Vendido]],STOCK[],5,FALSE),"-")</f>
        <v>Vestido Tarsha</v>
      </c>
      <c r="G969" s="11">
        <v>1</v>
      </c>
      <c r="H969" s="14">
        <v>27</v>
      </c>
      <c r="I969" s="14">
        <f>VENTAS[[#This Row],[Cantidad]]*VENTAS[[#This Row],[Precio Venta]]</f>
        <v>27</v>
      </c>
      <c r="J969" s="14">
        <f>IF(VENTAS[[#This Row],[Nombre del Gestor]]&gt;1,VENTAS[[#This Row],[Total]]*10%,0)</f>
        <v>2.7</v>
      </c>
      <c r="K969" s="14">
        <f>IFERROR(VLOOKUP(VENTAS[[#This Row],[Código del producto Vendido]],STOCK[],16,FALSE)*VENTAS[[#This Row],[Cantidad]]+VLOOKUP(VENTAS[[#This Row],[Código del producto Vendido]],STOCK[],19,FALSE)*VENTAS[[#This Row],[Cantidad]],VENTAS[[#This Row],[Total]])</f>
        <v>13.97</v>
      </c>
      <c r="L969" s="14">
        <f>VENTAS[[#This Row],[Total]]-VENTAS[[#This Row],[Comisión 10%]]-VENTAS[[#This Row],[Costo SIN Comision]]</f>
        <v>10.33</v>
      </c>
      <c r="M969" s="14"/>
    </row>
    <row r="970" ht="20" hidden="1" customHeight="1" spans="1:13">
      <c r="A970" s="10">
        <v>45460</v>
      </c>
      <c r="B970" s="11"/>
      <c r="C970" s="11"/>
      <c r="D970" s="11" t="s">
        <v>4270</v>
      </c>
      <c r="E970" s="11" t="s">
        <v>526</v>
      </c>
      <c r="F970" s="11" t="str">
        <f>IFERROR(VLOOKUP(VENTAS[[#This Row],[Código del producto Vendido]],STOCK[],5,FALSE),"-")</f>
        <v>Alisador</v>
      </c>
      <c r="G970" s="11">
        <v>1</v>
      </c>
      <c r="H970" s="14">
        <v>30</v>
      </c>
      <c r="I970" s="14">
        <f>VENTAS[[#This Row],[Cantidad]]*VENTAS[[#This Row],[Precio Venta]]</f>
        <v>30</v>
      </c>
      <c r="J970" s="14">
        <f>IF(VENTAS[[#This Row],[Nombre del Gestor]]&gt;1,VENTAS[[#This Row],[Total]]*10%,0)</f>
        <v>3</v>
      </c>
      <c r="K970" s="14">
        <f>IFERROR(VLOOKUP(VENTAS[[#This Row],[Código del producto Vendido]],STOCK[],16,FALSE)*VENTAS[[#This Row],[Cantidad]]+VLOOKUP(VENTAS[[#This Row],[Código del producto Vendido]],STOCK[],19,FALSE)*VENTAS[[#This Row],[Cantidad]],VENTAS[[#This Row],[Total]])</f>
        <v>16.7177777777778</v>
      </c>
      <c r="L970" s="14">
        <f>VENTAS[[#This Row],[Total]]-VENTAS[[#This Row],[Comisión 10%]]-VENTAS[[#This Row],[Costo SIN Comision]]</f>
        <v>10.2822222222222</v>
      </c>
      <c r="M970" s="14"/>
    </row>
    <row r="971" ht="20" hidden="1" customHeight="1" spans="1:13">
      <c r="A971" s="10">
        <v>45461</v>
      </c>
      <c r="B971" s="11"/>
      <c r="C971" s="11"/>
      <c r="D971" s="11" t="s">
        <v>4241</v>
      </c>
      <c r="E971" s="11" t="s">
        <v>2241</v>
      </c>
      <c r="F971" s="11" t="str">
        <f>IFERROR(VLOOKUP(VENTAS[[#This Row],[Código del producto Vendido]],STOCK[],5,FALSE),"-")</f>
        <v>Bolso bohemio redondo de gran capacidad</v>
      </c>
      <c r="G971" s="11">
        <v>4</v>
      </c>
      <c r="H971" s="14">
        <v>25</v>
      </c>
      <c r="I971" s="14">
        <f>VENTAS[[#This Row],[Cantidad]]*VENTAS[[#This Row],[Precio Venta]]</f>
        <v>100</v>
      </c>
      <c r="J971" s="14">
        <f>IF(VENTAS[[#This Row],[Nombre del Gestor]]&gt;1,VENTAS[[#This Row],[Total]]*10%,0)</f>
        <v>10</v>
      </c>
      <c r="K971" s="14">
        <f>IFERROR(VLOOKUP(VENTAS[[#This Row],[Código del producto Vendido]],STOCK[],16,FALSE)*VENTAS[[#This Row],[Cantidad]]+VLOOKUP(VENTAS[[#This Row],[Código del producto Vendido]],STOCK[],19,FALSE)*VENTAS[[#This Row],[Cantidad]],VENTAS[[#This Row],[Total]])</f>
        <v>44.36</v>
      </c>
      <c r="L971" s="14">
        <f>VENTAS[[#This Row],[Total]]-VENTAS[[#This Row],[Comisión 10%]]-VENTAS[[#This Row],[Costo SIN Comision]]</f>
        <v>45.64</v>
      </c>
      <c r="M971" s="14"/>
    </row>
    <row r="972" ht="20" hidden="1" customHeight="1" spans="1:13">
      <c r="A972" s="10">
        <v>45462</v>
      </c>
      <c r="B972" s="11"/>
      <c r="C972" s="11"/>
      <c r="D972" s="11" t="s">
        <v>4241</v>
      </c>
      <c r="E972" s="11" t="s">
        <v>2214</v>
      </c>
      <c r="F972" s="11" t="str">
        <f>IFERROR(VLOOKUP(VENTAS[[#This Row],[Código del producto Vendido]],STOCK[],5,FALSE),"-")</f>
        <v>Bolso chic estilo verano</v>
      </c>
      <c r="G972" s="11">
        <v>3</v>
      </c>
      <c r="H972" s="14">
        <v>18</v>
      </c>
      <c r="I972" s="14">
        <f>VENTAS[[#This Row],[Cantidad]]*VENTAS[[#This Row],[Precio Venta]]</f>
        <v>54</v>
      </c>
      <c r="J972" s="14">
        <f>IF(VENTAS[[#This Row],[Nombre del Gestor]]&gt;1,VENTAS[[#This Row],[Total]]*10%,0)</f>
        <v>5.4</v>
      </c>
      <c r="K972" s="14">
        <f>IFERROR(VLOOKUP(VENTAS[[#This Row],[Código del producto Vendido]],STOCK[],16,FALSE)*VENTAS[[#This Row],[Cantidad]]+VLOOKUP(VENTAS[[#This Row],[Código del producto Vendido]],STOCK[],19,FALSE)*VENTAS[[#This Row],[Cantidad]],VENTAS[[#This Row],[Total]])</f>
        <v>21.33</v>
      </c>
      <c r="L972" s="14">
        <f>VENTAS[[#This Row],[Total]]-VENTAS[[#This Row],[Comisión 10%]]-VENTAS[[#This Row],[Costo SIN Comision]]</f>
        <v>27.27</v>
      </c>
      <c r="M972" s="14"/>
    </row>
    <row r="973" ht="20" hidden="1" customHeight="1" spans="1:13">
      <c r="A973" s="10">
        <v>45463</v>
      </c>
      <c r="B973" s="11"/>
      <c r="C973" s="11"/>
      <c r="D973" s="11" t="s">
        <v>4241</v>
      </c>
      <c r="E973" s="11" t="s">
        <v>2368</v>
      </c>
      <c r="F973" s="11" t="str">
        <f>IFERROR(VLOOKUP(VENTAS[[#This Row],[Código del producto Vendido]],STOCK[],5,FALSE),"-")</f>
        <v>Sombrero de protección Verano fashionista</v>
      </c>
      <c r="G973" s="11">
        <v>1</v>
      </c>
      <c r="H973" s="14">
        <v>15</v>
      </c>
      <c r="I973" s="14">
        <f>VENTAS[[#This Row],[Cantidad]]*VENTAS[[#This Row],[Precio Venta]]</f>
        <v>15</v>
      </c>
      <c r="J973" s="14">
        <f>IF(VENTAS[[#This Row],[Nombre del Gestor]]&gt;1,VENTAS[[#This Row],[Total]]*10%,0)</f>
        <v>1.5</v>
      </c>
      <c r="K973" s="14">
        <f>IFERROR(VLOOKUP(VENTAS[[#This Row],[Código del producto Vendido]],STOCK[],16,FALSE)*VENTAS[[#This Row],[Cantidad]]+VLOOKUP(VENTAS[[#This Row],[Código del producto Vendido]],STOCK[],19,FALSE)*VENTAS[[#This Row],[Cantidad]],VENTAS[[#This Row],[Total]])</f>
        <v>8.551875</v>
      </c>
      <c r="L973" s="14">
        <f>VENTAS[[#This Row],[Total]]-VENTAS[[#This Row],[Comisión 10%]]-VENTAS[[#This Row],[Costo SIN Comision]]</f>
        <v>4.948125</v>
      </c>
      <c r="M973" s="14"/>
    </row>
    <row r="974" ht="20" hidden="1" customHeight="1" spans="1:13">
      <c r="A974" s="10">
        <v>45464</v>
      </c>
      <c r="B974" s="11"/>
      <c r="C974" s="11"/>
      <c r="D974" s="11" t="s">
        <v>4241</v>
      </c>
      <c r="E974" s="11" t="s">
        <v>2162</v>
      </c>
      <c r="F974" s="11" t="str">
        <f>IFERROR(VLOOKUP(VENTAS[[#This Row],[Código del producto Vendido]],STOCK[],5,FALSE),"-")</f>
        <v>Bañador en color sólido sexy-elegante </v>
      </c>
      <c r="G974" s="11">
        <v>1</v>
      </c>
      <c r="H974" s="14">
        <v>20</v>
      </c>
      <c r="I974" s="14">
        <f>VENTAS[[#This Row],[Cantidad]]*VENTAS[[#This Row],[Precio Venta]]</f>
        <v>20</v>
      </c>
      <c r="J974" s="14">
        <f>IF(VENTAS[[#This Row],[Nombre del Gestor]]&gt;1,VENTAS[[#This Row],[Total]]*10%,0)</f>
        <v>2</v>
      </c>
      <c r="K974" s="14">
        <f>IFERROR(VLOOKUP(VENTAS[[#This Row],[Código del producto Vendido]],STOCK[],16,FALSE)*VENTAS[[#This Row],[Cantidad]]+VLOOKUP(VENTAS[[#This Row],[Código del producto Vendido]],STOCK[],19,FALSE)*VENTAS[[#This Row],[Cantidad]],VENTAS[[#This Row],[Total]])</f>
        <v>8.24</v>
      </c>
      <c r="L974" s="14">
        <f>VENTAS[[#This Row],[Total]]-VENTAS[[#This Row],[Comisión 10%]]-VENTAS[[#This Row],[Costo SIN Comision]]</f>
        <v>9.76</v>
      </c>
      <c r="M974" s="14"/>
    </row>
    <row r="975" ht="20" hidden="1" customHeight="1" spans="1:13">
      <c r="A975" s="10">
        <v>45465</v>
      </c>
      <c r="B975" s="11"/>
      <c r="C975" s="11"/>
      <c r="D975" s="11" t="s">
        <v>4241</v>
      </c>
      <c r="E975" s="11" t="s">
        <v>2288</v>
      </c>
      <c r="F975" s="11" t="str">
        <f>IFERROR(VLOOKUP(VENTAS[[#This Row],[Código del producto Vendido]],STOCK[],5,FALSE),"-")</f>
        <v>Bolso de lona en bloque de color</v>
      </c>
      <c r="G975" s="11">
        <v>1</v>
      </c>
      <c r="H975" s="14">
        <v>12</v>
      </c>
      <c r="I975" s="14">
        <f>VENTAS[[#This Row],[Cantidad]]*VENTAS[[#This Row],[Precio Venta]]</f>
        <v>12</v>
      </c>
      <c r="J975" s="14">
        <f>IF(VENTAS[[#This Row],[Nombre del Gestor]]&gt;1,VENTAS[[#This Row],[Total]]*10%,0)</f>
        <v>1.2</v>
      </c>
      <c r="K975" s="14">
        <f>IFERROR(VLOOKUP(VENTAS[[#This Row],[Código del producto Vendido]],STOCK[],16,FALSE)*VENTAS[[#This Row],[Cantidad]]+VLOOKUP(VENTAS[[#This Row],[Código del producto Vendido]],STOCK[],19,FALSE)*VENTAS[[#This Row],[Cantidad]],VENTAS[[#This Row],[Total]])</f>
        <v>5.54</v>
      </c>
      <c r="L975" s="14">
        <f>VENTAS[[#This Row],[Total]]-VENTAS[[#This Row],[Comisión 10%]]-VENTAS[[#This Row],[Costo SIN Comision]]</f>
        <v>5.26</v>
      </c>
      <c r="M975" s="14"/>
    </row>
    <row r="976" ht="20" hidden="1" customHeight="1" spans="1:13">
      <c r="A976" s="10">
        <v>45466</v>
      </c>
      <c r="B976" s="11"/>
      <c r="C976" s="11"/>
      <c r="D976" s="11" t="s">
        <v>4241</v>
      </c>
      <c r="E976" s="11" t="s">
        <v>2174</v>
      </c>
      <c r="F976" s="11" t="str">
        <f>IFERROR(VLOOKUP(VENTAS[[#This Row],[Código del producto Vendido]],STOCK[],5,FALSE),"-")</f>
        <v>Bañador clásico cuello V</v>
      </c>
      <c r="G976" s="11">
        <v>1</v>
      </c>
      <c r="H976" s="14">
        <v>18</v>
      </c>
      <c r="I976" s="14">
        <f>VENTAS[[#This Row],[Cantidad]]*VENTAS[[#This Row],[Precio Venta]]</f>
        <v>18</v>
      </c>
      <c r="J976" s="14">
        <f>IF(VENTAS[[#This Row],[Nombre del Gestor]]&gt;1,VENTAS[[#This Row],[Total]]*10%,0)</f>
        <v>1.8</v>
      </c>
      <c r="K976" s="14">
        <f>IFERROR(VLOOKUP(VENTAS[[#This Row],[Código del producto Vendido]],STOCK[],16,FALSE)*VENTAS[[#This Row],[Cantidad]]+VLOOKUP(VENTAS[[#This Row],[Código del producto Vendido]],STOCK[],19,FALSE)*VENTAS[[#This Row],[Cantidad]],VENTAS[[#This Row],[Total]])</f>
        <v>6.11</v>
      </c>
      <c r="L976" s="14">
        <f>VENTAS[[#This Row],[Total]]-VENTAS[[#This Row],[Comisión 10%]]-VENTAS[[#This Row],[Costo SIN Comision]]</f>
        <v>10.09</v>
      </c>
      <c r="M976" s="14"/>
    </row>
    <row r="977" ht="20" hidden="1" customHeight="1" spans="1:13">
      <c r="A977" s="10">
        <v>45467</v>
      </c>
      <c r="B977" s="11"/>
      <c r="C977" s="11"/>
      <c r="D977" s="11" t="s">
        <v>4241</v>
      </c>
      <c r="E977" s="11" t="s">
        <v>1244</v>
      </c>
      <c r="F977" s="11" t="str">
        <f>IFERROR(VLOOKUP(VENTAS[[#This Row],[Código del producto Vendido]],STOCK[],5,FALSE),"-")</f>
        <v>Pantalón Corte Recto</v>
      </c>
      <c r="G977" s="11">
        <v>1</v>
      </c>
      <c r="H977" s="14">
        <v>25</v>
      </c>
      <c r="I977" s="14">
        <f>VENTAS[[#This Row],[Cantidad]]*VENTAS[[#This Row],[Precio Venta]]</f>
        <v>25</v>
      </c>
      <c r="J977" s="14">
        <f>IF(VENTAS[[#This Row],[Nombre del Gestor]]&gt;1,VENTAS[[#This Row],[Total]]*10%,0)</f>
        <v>2.5</v>
      </c>
      <c r="K977" s="14">
        <f>IFERROR(VLOOKUP(VENTAS[[#This Row],[Código del producto Vendido]],STOCK[],16,FALSE)*VENTAS[[#This Row],[Cantidad]]+VLOOKUP(VENTAS[[#This Row],[Código del producto Vendido]],STOCK[],19,FALSE)*VENTAS[[#This Row],[Cantidad]],VENTAS[[#This Row],[Total]])</f>
        <v>20.78</v>
      </c>
      <c r="L977" s="14">
        <f>VENTAS[[#This Row],[Total]]-VENTAS[[#This Row],[Comisión 10%]]-VENTAS[[#This Row],[Costo SIN Comision]]</f>
        <v>1.72</v>
      </c>
      <c r="M977" s="14"/>
    </row>
    <row r="978" ht="20" hidden="1" customHeight="1" spans="1:13">
      <c r="A978" s="10">
        <v>45468</v>
      </c>
      <c r="B978" s="11"/>
      <c r="C978" s="11"/>
      <c r="D978" s="11" t="s">
        <v>4271</v>
      </c>
      <c r="E978" s="11" t="s">
        <v>1612</v>
      </c>
      <c r="F978" s="11" t="str">
        <f>IFERROR(VLOOKUP(VENTAS[[#This Row],[Código del producto Vendido]],STOCK[],5,FALSE),"-")</f>
        <v>Camisa Modely</v>
      </c>
      <c r="G978" s="11">
        <v>1</v>
      </c>
      <c r="H978" s="14">
        <v>22</v>
      </c>
      <c r="I978" s="14">
        <f>VENTAS[[#This Row],[Cantidad]]*VENTAS[[#This Row],[Precio Venta]]</f>
        <v>22</v>
      </c>
      <c r="J978" s="14">
        <f>IF(VENTAS[[#This Row],[Nombre del Gestor]]&gt;1,VENTAS[[#This Row],[Total]]*10%,0)</f>
        <v>2.2</v>
      </c>
      <c r="K978" s="14">
        <f>IFERROR(VLOOKUP(VENTAS[[#This Row],[Código del producto Vendido]],STOCK[],16,FALSE)*VENTAS[[#This Row],[Cantidad]]+VLOOKUP(VENTAS[[#This Row],[Código del producto Vendido]],STOCK[],19,FALSE)*VENTAS[[#This Row],[Cantidad]],VENTAS[[#This Row],[Total]])</f>
        <v>9.74</v>
      </c>
      <c r="L978" s="14">
        <f>VENTAS[[#This Row],[Total]]-VENTAS[[#This Row],[Comisión 10%]]-VENTAS[[#This Row],[Costo SIN Comision]]</f>
        <v>10.06</v>
      </c>
      <c r="M978" s="14"/>
    </row>
    <row r="979" ht="20" hidden="1" customHeight="1" spans="1:13">
      <c r="A979" s="10">
        <v>45469</v>
      </c>
      <c r="B979" s="11"/>
      <c r="C979" s="11"/>
      <c r="D979" s="11" t="s">
        <v>4272</v>
      </c>
      <c r="E979" s="11" t="s">
        <v>500</v>
      </c>
      <c r="F979" s="11" t="str">
        <f>IFERROR(VLOOKUP(VENTAS[[#This Row],[Código del producto Vendido]],STOCK[],5,FALSE),"-")</f>
        <v>Vestido Bohemio</v>
      </c>
      <c r="G979" s="11">
        <v>1</v>
      </c>
      <c r="H979" s="14">
        <v>20</v>
      </c>
      <c r="I979" s="14">
        <f>VENTAS[[#This Row],[Cantidad]]*VENTAS[[#This Row],[Precio Venta]]</f>
        <v>20</v>
      </c>
      <c r="J979" s="14">
        <f>IF(VENTAS[[#This Row],[Nombre del Gestor]]&gt;1,VENTAS[[#This Row],[Total]]*10%,0)</f>
        <v>2</v>
      </c>
      <c r="K979" s="14">
        <f>IFERROR(VLOOKUP(VENTAS[[#This Row],[Código del producto Vendido]],STOCK[],16,FALSE)*VENTAS[[#This Row],[Cantidad]]+VLOOKUP(VENTAS[[#This Row],[Código del producto Vendido]],STOCK[],19,FALSE)*VENTAS[[#This Row],[Cantidad]],VENTAS[[#This Row],[Total]])</f>
        <v>9.78944444444445</v>
      </c>
      <c r="L979" s="14">
        <f>VENTAS[[#This Row],[Total]]-VENTAS[[#This Row],[Comisión 10%]]-VENTAS[[#This Row],[Costo SIN Comision]]</f>
        <v>8.21055555555555</v>
      </c>
      <c r="M979" s="14"/>
    </row>
    <row r="980" ht="20" hidden="1" customHeight="1" spans="1:13">
      <c r="A980" s="10">
        <v>45470</v>
      </c>
      <c r="B980" s="11"/>
      <c r="C980" s="11"/>
      <c r="D980" s="11" t="s">
        <v>4272</v>
      </c>
      <c r="E980" s="11" t="s">
        <v>1878</v>
      </c>
      <c r="F980" s="11" t="str">
        <f>IFERROR(VLOOKUP(VENTAS[[#This Row],[Código del producto Vendido]],STOCK[],5,FALSE),"-")</f>
        <v>Vestido Chic Primavera</v>
      </c>
      <c r="G980" s="11">
        <v>1</v>
      </c>
      <c r="H980" s="14">
        <v>32</v>
      </c>
      <c r="I980" s="14">
        <f>VENTAS[[#This Row],[Cantidad]]*VENTAS[[#This Row],[Precio Venta]]</f>
        <v>32</v>
      </c>
      <c r="J980" s="14">
        <f>IF(VENTAS[[#This Row],[Nombre del Gestor]]&gt;1,VENTAS[[#This Row],[Total]]*10%,0)</f>
        <v>3.2</v>
      </c>
      <c r="K980" s="14">
        <f>IFERROR(VLOOKUP(VENTAS[[#This Row],[Código del producto Vendido]],STOCK[],16,FALSE)*VENTAS[[#This Row],[Cantidad]]+VLOOKUP(VENTAS[[#This Row],[Código del producto Vendido]],STOCK[],19,FALSE)*VENTAS[[#This Row],[Cantidad]],VENTAS[[#This Row],[Total]])</f>
        <v>19.38</v>
      </c>
      <c r="L980" s="14">
        <f>VENTAS[[#This Row],[Total]]-VENTAS[[#This Row],[Comisión 10%]]-VENTAS[[#This Row],[Costo SIN Comision]]</f>
        <v>9.42</v>
      </c>
      <c r="M980" s="14"/>
    </row>
    <row r="981" ht="20" hidden="1" customHeight="1" spans="1:13">
      <c r="A981" s="10">
        <v>45471</v>
      </c>
      <c r="B981" s="11"/>
      <c r="C981" s="11"/>
      <c r="D981" s="11" t="s">
        <v>4273</v>
      </c>
      <c r="E981" s="11" t="s">
        <v>210</v>
      </c>
      <c r="F981" s="11" t="str">
        <f>IFERROR(VLOOKUP(VENTAS[[#This Row],[Código del producto Vendido]],STOCK[],5,FALSE),"-")</f>
        <v>Maxi vestido de bajo floral</v>
      </c>
      <c r="G981" s="11">
        <v>1</v>
      </c>
      <c r="H981" s="14">
        <v>25</v>
      </c>
      <c r="I981" s="14">
        <f>VENTAS[[#This Row],[Cantidad]]*VENTAS[[#This Row],[Precio Venta]]</f>
        <v>25</v>
      </c>
      <c r="J981" s="14">
        <f>IF(VENTAS[[#This Row],[Nombre del Gestor]]&gt;1,VENTAS[[#This Row],[Total]]*10%,0)</f>
        <v>2.5</v>
      </c>
      <c r="K981" s="14">
        <f>IFERROR(VLOOKUP(VENTAS[[#This Row],[Código del producto Vendido]],STOCK[],16,FALSE)*VENTAS[[#This Row],[Cantidad]]+VLOOKUP(VENTAS[[#This Row],[Código del producto Vendido]],STOCK[],19,FALSE)*VENTAS[[#This Row],[Cantidad]],VENTAS[[#This Row],[Total]])</f>
        <v>14.06</v>
      </c>
      <c r="L981" s="14">
        <f>VENTAS[[#This Row],[Total]]-VENTAS[[#This Row],[Comisión 10%]]-VENTAS[[#This Row],[Costo SIN Comision]]</f>
        <v>8.44</v>
      </c>
      <c r="M981" s="14"/>
    </row>
    <row r="982" ht="20" hidden="1" customHeight="1" spans="1:13">
      <c r="A982" s="10">
        <v>45472</v>
      </c>
      <c r="B982" s="11"/>
      <c r="C982" s="11"/>
      <c r="D982" s="11"/>
      <c r="E982" s="11" t="s">
        <v>696</v>
      </c>
      <c r="F982" s="11" t="str">
        <f>IFERROR(VLOOKUP(VENTAS[[#This Row],[Código del producto Vendido]],STOCK[],5,FALSE),"-")</f>
        <v>Vestido slip cebra</v>
      </c>
      <c r="G982" s="11">
        <v>1</v>
      </c>
      <c r="H982" s="14">
        <v>10</v>
      </c>
      <c r="I982" s="14">
        <f>VENTAS[[#This Row],[Cantidad]]*VENTAS[[#This Row],[Precio Venta]]</f>
        <v>10</v>
      </c>
      <c r="J982" s="14">
        <f>IF(VENTAS[[#This Row],[Nombre del Gestor]]&gt;1,VENTAS[[#This Row],[Total]]*10%,0)</f>
        <v>0</v>
      </c>
      <c r="K982" s="14">
        <f>IFERROR(VLOOKUP(VENTAS[[#This Row],[Código del producto Vendido]],STOCK[],16,FALSE)*VENTAS[[#This Row],[Cantidad]]+VLOOKUP(VENTAS[[#This Row],[Código del producto Vendido]],STOCK[],19,FALSE)*VENTAS[[#This Row],[Cantidad]],VENTAS[[#This Row],[Total]])</f>
        <v>7.10555555555556</v>
      </c>
      <c r="L982" s="14">
        <f>VENTAS[[#This Row],[Total]]-VENTAS[[#This Row],[Comisión 10%]]-VENTAS[[#This Row],[Costo SIN Comision]]</f>
        <v>2.89444444444444</v>
      </c>
      <c r="M982" s="14"/>
    </row>
    <row r="983" ht="20" hidden="1" customHeight="1" spans="1:13">
      <c r="A983" s="10">
        <v>45473</v>
      </c>
      <c r="B983" s="11"/>
      <c r="C983" s="11" t="s">
        <v>4240</v>
      </c>
      <c r="D983" s="11"/>
      <c r="E983" s="11" t="s">
        <v>2383</v>
      </c>
      <c r="F983" s="11" t="str">
        <f>IFERROR(VLOOKUP(VENTAS[[#This Row],[Código del producto Vendido]],STOCK[],5,FALSE),"-")</f>
        <v>Vestido elegante de botones en color sólido</v>
      </c>
      <c r="G983" s="11">
        <v>1</v>
      </c>
      <c r="H983" s="14">
        <v>35</v>
      </c>
      <c r="I983" s="14">
        <f>VENTAS[[#This Row],[Cantidad]]*VENTAS[[#This Row],[Precio Venta]]</f>
        <v>35</v>
      </c>
      <c r="J983" s="14">
        <f>IF(VENTAS[[#This Row],[Nombre del Gestor]]&gt;1,VENTAS[[#This Row],[Total]]*10%,0)</f>
        <v>0</v>
      </c>
      <c r="K983" s="14">
        <f>IFERROR(VLOOKUP(VENTAS[[#This Row],[Código del producto Vendido]],STOCK[],16,FALSE)*VENTAS[[#This Row],[Cantidad]]+VLOOKUP(VENTAS[[#This Row],[Código del producto Vendido]],STOCK[],19,FALSE)*VENTAS[[#This Row],[Cantidad]],VENTAS[[#This Row],[Total]])</f>
        <v>24.609375</v>
      </c>
      <c r="L983" s="14">
        <f>VENTAS[[#This Row],[Total]]-VENTAS[[#This Row],[Comisión 10%]]-VENTAS[[#This Row],[Costo SIN Comision]]</f>
        <v>10.390625</v>
      </c>
      <c r="M983" s="14"/>
    </row>
    <row r="984" ht="20" hidden="1" customHeight="1" spans="1:13">
      <c r="A984" s="10">
        <v>45444</v>
      </c>
      <c r="B984" s="11"/>
      <c r="C984" s="11"/>
      <c r="D984" s="11"/>
      <c r="E984" s="11" t="s">
        <v>208</v>
      </c>
      <c r="F984" s="11" t="str">
        <f>IFERROR(VLOOKUP(VENTAS[[#This Row],[Código del producto Vendido]],STOCK[],5,FALSE),"-")</f>
        <v>Maxi vestido de bajo floral</v>
      </c>
      <c r="G984" s="11">
        <v>1</v>
      </c>
      <c r="H984" s="14">
        <v>25</v>
      </c>
      <c r="I984" s="14">
        <f>VENTAS[[#This Row],[Cantidad]]*VENTAS[[#This Row],[Precio Venta]]</f>
        <v>25</v>
      </c>
      <c r="J984" s="14">
        <f>IF(VENTAS[[#This Row],[Nombre del Gestor]]&gt;1,VENTAS[[#This Row],[Total]]*10%,0)</f>
        <v>0</v>
      </c>
      <c r="K984" s="14">
        <f>IFERROR(VLOOKUP(VENTAS[[#This Row],[Código del producto Vendido]],STOCK[],16,FALSE)*VENTAS[[#This Row],[Cantidad]]+VLOOKUP(VENTAS[[#This Row],[Código del producto Vendido]],STOCK[],19,FALSE)*VENTAS[[#This Row],[Cantidad]],VENTAS[[#This Row],[Total]])</f>
        <v>14.5</v>
      </c>
      <c r="L984" s="14">
        <f>VENTAS[[#This Row],[Total]]-VENTAS[[#This Row],[Comisión 10%]]-VENTAS[[#This Row],[Costo SIN Comision]]</f>
        <v>10.5</v>
      </c>
      <c r="M984" s="14"/>
    </row>
    <row r="985" ht="20" hidden="1" customHeight="1" spans="1:13">
      <c r="A985" s="10">
        <v>45445</v>
      </c>
      <c r="B985" s="11"/>
      <c r="C985" s="11"/>
      <c r="D985" s="11" t="s">
        <v>4266</v>
      </c>
      <c r="E985" s="11" t="s">
        <v>1750</v>
      </c>
      <c r="F985" s="11" t="str">
        <f>IFERROR(VLOOKUP(VENTAS[[#This Row],[Código del producto Vendido]],STOCK[],5,FALSE),"-")</f>
        <v>Traje de baño de mangas estampadas</v>
      </c>
      <c r="G985" s="11">
        <v>1</v>
      </c>
      <c r="H985" s="14">
        <v>25</v>
      </c>
      <c r="I985" s="14">
        <f>VENTAS[[#This Row],[Cantidad]]*VENTAS[[#This Row],[Precio Venta]]</f>
        <v>25</v>
      </c>
      <c r="J985" s="14">
        <f>IF(VENTAS[[#This Row],[Nombre del Gestor]]&gt;1,VENTAS[[#This Row],[Total]]*10%,0)</f>
        <v>2.5</v>
      </c>
      <c r="K985" s="14">
        <f>IFERROR(VLOOKUP(VENTAS[[#This Row],[Código del producto Vendido]],STOCK[],16,FALSE)*VENTAS[[#This Row],[Cantidad]]+VLOOKUP(VENTAS[[#This Row],[Código del producto Vendido]],STOCK[],19,FALSE)*VENTAS[[#This Row],[Cantidad]],VENTAS[[#This Row],[Total]])</f>
        <v>12.4117647058824</v>
      </c>
      <c r="L985" s="14">
        <f>VENTAS[[#This Row],[Total]]-VENTAS[[#This Row],[Comisión 10%]]-VENTAS[[#This Row],[Costo SIN Comision]]</f>
        <v>10.0882352941176</v>
      </c>
      <c r="M985" s="14"/>
    </row>
    <row r="986" ht="20" hidden="1" customHeight="1" spans="1:13">
      <c r="A986" s="10">
        <v>45446</v>
      </c>
      <c r="B986" s="11"/>
      <c r="C986" s="11"/>
      <c r="D986" s="11" t="s">
        <v>4103</v>
      </c>
      <c r="E986" s="11" t="s">
        <v>2157</v>
      </c>
      <c r="F986" s="11" t="str">
        <f>IFERROR(VLOOKUP(VENTAS[[#This Row],[Código del producto Vendido]],STOCK[],5,FALSE),"-")</f>
        <v>Set de bikini estampado de flor de 3 piezas de cintura alta</v>
      </c>
      <c r="G986" s="11">
        <v>1</v>
      </c>
      <c r="H986" s="14">
        <v>25</v>
      </c>
      <c r="I986" s="14">
        <f>VENTAS[[#This Row],[Cantidad]]*VENTAS[[#This Row],[Precio Venta]]</f>
        <v>25</v>
      </c>
      <c r="J986" s="14">
        <f>IF(VENTAS[[#This Row],[Nombre del Gestor]]&gt;1,VENTAS[[#This Row],[Total]]*10%,0)</f>
        <v>2.5</v>
      </c>
      <c r="K986" s="14">
        <f>IFERROR(VLOOKUP(VENTAS[[#This Row],[Código del producto Vendido]],STOCK[],16,FALSE)*VENTAS[[#This Row],[Cantidad]]+VLOOKUP(VENTAS[[#This Row],[Código del producto Vendido]],STOCK[],19,FALSE)*VENTAS[[#This Row],[Cantidad]],VENTAS[[#This Row],[Total]])</f>
        <v>10.43</v>
      </c>
      <c r="L986" s="14">
        <f>VENTAS[[#This Row],[Total]]-VENTAS[[#This Row],[Comisión 10%]]-VENTAS[[#This Row],[Costo SIN Comision]]</f>
        <v>12.07</v>
      </c>
      <c r="M986" s="14"/>
    </row>
    <row r="987" ht="20" hidden="1" customHeight="1" spans="1:13">
      <c r="A987" s="10">
        <v>45447</v>
      </c>
      <c r="B987" s="11"/>
      <c r="C987" s="11"/>
      <c r="D987" s="11" t="s">
        <v>4272</v>
      </c>
      <c r="E987" s="11" t="s">
        <v>2288</v>
      </c>
      <c r="F987" s="11" t="str">
        <f>IFERROR(VLOOKUP(VENTAS[[#This Row],[Código del producto Vendido]],STOCK[],5,FALSE),"-")</f>
        <v>Bolso de lona en bloque de color</v>
      </c>
      <c r="G987" s="11">
        <v>1</v>
      </c>
      <c r="H987" s="14">
        <v>12</v>
      </c>
      <c r="I987" s="14">
        <f>VENTAS[[#This Row],[Cantidad]]*VENTAS[[#This Row],[Precio Venta]]</f>
        <v>12</v>
      </c>
      <c r="J987" s="14">
        <f>IF(VENTAS[[#This Row],[Nombre del Gestor]]&gt;1,VENTAS[[#This Row],[Total]]*10%,0)</f>
        <v>1.2</v>
      </c>
      <c r="K987" s="14">
        <f>IFERROR(VLOOKUP(VENTAS[[#This Row],[Código del producto Vendido]],STOCK[],16,FALSE)*VENTAS[[#This Row],[Cantidad]]+VLOOKUP(VENTAS[[#This Row],[Código del producto Vendido]],STOCK[],19,FALSE)*VENTAS[[#This Row],[Cantidad]],VENTAS[[#This Row],[Total]])</f>
        <v>5.54</v>
      </c>
      <c r="L987" s="14">
        <f>VENTAS[[#This Row],[Total]]-VENTAS[[#This Row],[Comisión 10%]]-VENTAS[[#This Row],[Costo SIN Comision]]</f>
        <v>5.26</v>
      </c>
      <c r="M987" s="14"/>
    </row>
    <row r="988" ht="20" hidden="1" customHeight="1" spans="1:13">
      <c r="A988" s="10">
        <v>45448</v>
      </c>
      <c r="B988" s="11"/>
      <c r="C988" s="11" t="s">
        <v>4240</v>
      </c>
      <c r="D988" s="11"/>
      <c r="E988" s="11" t="s">
        <v>2327</v>
      </c>
      <c r="F988" s="11" t="str">
        <f>IFERROR(VLOOKUP(VENTAS[[#This Row],[Código del producto Vendido]],STOCK[],5,FALSE),"-")</f>
        <v>Pantalón palazzo estiloso</v>
      </c>
      <c r="G988" s="11">
        <v>1</v>
      </c>
      <c r="H988" s="14">
        <v>20</v>
      </c>
      <c r="I988" s="14">
        <f>VENTAS[[#This Row],[Cantidad]]*VENTAS[[#This Row],[Precio Venta]]</f>
        <v>20</v>
      </c>
      <c r="J988" s="14">
        <f>IF(VENTAS[[#This Row],[Nombre del Gestor]]&gt;1,VENTAS[[#This Row],[Total]]*10%,0)</f>
        <v>0</v>
      </c>
      <c r="K988" s="14">
        <f>IFERROR(VLOOKUP(VENTAS[[#This Row],[Código del producto Vendido]],STOCK[],16,FALSE)*VENTAS[[#This Row],[Cantidad]]+VLOOKUP(VENTAS[[#This Row],[Código del producto Vendido]],STOCK[],19,FALSE)*VENTAS[[#This Row],[Cantidad]],VENTAS[[#This Row],[Total]])</f>
        <v>10.914375</v>
      </c>
      <c r="L988" s="14">
        <f>VENTAS[[#This Row],[Total]]-VENTAS[[#This Row],[Comisión 10%]]-VENTAS[[#This Row],[Costo SIN Comision]]</f>
        <v>9.085625</v>
      </c>
      <c r="M988" s="14"/>
    </row>
    <row r="989" ht="20" hidden="1" customHeight="1" spans="1:13">
      <c r="A989" s="10">
        <v>45449</v>
      </c>
      <c r="B989" s="11"/>
      <c r="C989" s="11" t="s">
        <v>4240</v>
      </c>
      <c r="D989" s="11"/>
      <c r="E989" s="11" t="s">
        <v>2375</v>
      </c>
      <c r="F989" s="11" t="str">
        <f>IFERROR(VLOOKUP(VENTAS[[#This Row],[Código del producto Vendido]],STOCK[],5,FALSE),"-")</f>
        <v>Blusa atada al frente de estilo casual</v>
      </c>
      <c r="G989" s="11">
        <v>1</v>
      </c>
      <c r="H989" s="14">
        <v>17</v>
      </c>
      <c r="I989" s="14">
        <f>VENTAS[[#This Row],[Cantidad]]*VENTAS[[#This Row],[Precio Venta]]</f>
        <v>17</v>
      </c>
      <c r="J989" s="14">
        <f>IF(VENTAS[[#This Row],[Nombre del Gestor]]&gt;1,VENTAS[[#This Row],[Total]]*10%,0)</f>
        <v>0</v>
      </c>
      <c r="K989" s="14">
        <f>IFERROR(VLOOKUP(VENTAS[[#This Row],[Código del producto Vendido]],STOCK[],16,FALSE)*VENTAS[[#This Row],[Cantidad]]+VLOOKUP(VENTAS[[#This Row],[Código del producto Vendido]],STOCK[],19,FALSE)*VENTAS[[#This Row],[Cantidad]],VENTAS[[#This Row],[Total]])</f>
        <v>10.821875</v>
      </c>
      <c r="L989" s="14">
        <f>VENTAS[[#This Row],[Total]]-VENTAS[[#This Row],[Comisión 10%]]-VENTAS[[#This Row],[Costo SIN Comision]]</f>
        <v>6.178125</v>
      </c>
      <c r="M989" s="14"/>
    </row>
    <row r="990" ht="20" hidden="1" customHeight="1" spans="1:13">
      <c r="A990" s="10">
        <v>45450</v>
      </c>
      <c r="B990" s="11"/>
      <c r="C990" s="11" t="s">
        <v>4274</v>
      </c>
      <c r="D990" s="11" t="s">
        <v>4272</v>
      </c>
      <c r="E990" s="11" t="s">
        <v>2329</v>
      </c>
      <c r="F990" s="11" t="str">
        <f>IFERROR(VLOOKUP(VENTAS[[#This Row],[Código del producto Vendido]],STOCK[],5,FALSE),"-")</f>
        <v>Pantalón palazzo estiloso</v>
      </c>
      <c r="G990" s="11">
        <v>1</v>
      </c>
      <c r="H990" s="14">
        <v>20</v>
      </c>
      <c r="I990" s="14">
        <f>VENTAS[[#This Row],[Cantidad]]*VENTAS[[#This Row],[Precio Venta]]</f>
        <v>20</v>
      </c>
      <c r="J990" s="14">
        <f>IF(VENTAS[[#This Row],[Nombre del Gestor]]&gt;1,VENTAS[[#This Row],[Total]]*10%,0)</f>
        <v>2</v>
      </c>
      <c r="K990" s="14">
        <f>IFERROR(VLOOKUP(VENTAS[[#This Row],[Código del producto Vendido]],STOCK[],16,FALSE)*VENTAS[[#This Row],[Cantidad]]+VLOOKUP(VENTAS[[#This Row],[Código del producto Vendido]],STOCK[],19,FALSE)*VENTAS[[#This Row],[Cantidad]],VENTAS[[#This Row],[Total]])</f>
        <v>10.914375</v>
      </c>
      <c r="L990" s="14">
        <f>VENTAS[[#This Row],[Total]]-VENTAS[[#This Row],[Comisión 10%]]-VENTAS[[#This Row],[Costo SIN Comision]]</f>
        <v>7.085625</v>
      </c>
      <c r="M990" s="14"/>
    </row>
    <row r="991" ht="20" hidden="1" customHeight="1" spans="1:13">
      <c r="A991" s="10">
        <v>45451</v>
      </c>
      <c r="B991" s="11"/>
      <c r="C991" s="11" t="s">
        <v>4275</v>
      </c>
      <c r="D991" s="11" t="s">
        <v>4222</v>
      </c>
      <c r="E991" s="11" t="s">
        <v>2381</v>
      </c>
      <c r="F991" s="11" t="str">
        <f>IFERROR(VLOOKUP(VENTAS[[#This Row],[Código del producto Vendido]],STOCK[],5,FALSE),"-")</f>
        <v>Vestido elegante de botones en color sólido</v>
      </c>
      <c r="G991" s="11">
        <v>1</v>
      </c>
      <c r="H991" s="14">
        <v>35</v>
      </c>
      <c r="I991" s="14">
        <f>VENTAS[[#This Row],[Cantidad]]*VENTAS[[#This Row],[Precio Venta]]</f>
        <v>35</v>
      </c>
      <c r="J991" s="14">
        <f>IF(VENTAS[[#This Row],[Nombre del Gestor]]&gt;1,VENTAS[[#This Row],[Total]]*10%,0)</f>
        <v>3.5</v>
      </c>
      <c r="K991" s="14">
        <f>IFERROR(VLOOKUP(VENTAS[[#This Row],[Código del producto Vendido]],STOCK[],16,FALSE)*VENTAS[[#This Row],[Cantidad]]+VLOOKUP(VENTAS[[#This Row],[Código del producto Vendido]],STOCK[],19,FALSE)*VENTAS[[#This Row],[Cantidad]],VENTAS[[#This Row],[Total]])</f>
        <v>24.609375</v>
      </c>
      <c r="L991" s="14">
        <f>VENTAS[[#This Row],[Total]]-VENTAS[[#This Row],[Comisión 10%]]-VENTAS[[#This Row],[Costo SIN Comision]]</f>
        <v>6.890625</v>
      </c>
      <c r="M991" s="14"/>
    </row>
    <row r="992" ht="20" hidden="1" customHeight="1" spans="1:13">
      <c r="A992" s="10">
        <v>45452</v>
      </c>
      <c r="B992" s="11"/>
      <c r="C992" s="11" t="s">
        <v>4276</v>
      </c>
      <c r="D992" s="11" t="s">
        <v>4270</v>
      </c>
      <c r="E992" s="11" t="s">
        <v>1673</v>
      </c>
      <c r="F992" s="11" t="str">
        <f>IFERROR(VLOOKUP(VENTAS[[#This Row],[Código del producto Vendido]],STOCK[],5,FALSE),"-")</f>
        <v>Conjunto Beis satinado</v>
      </c>
      <c r="G992" s="11">
        <v>1</v>
      </c>
      <c r="H992" s="14">
        <v>28</v>
      </c>
      <c r="I992" s="14">
        <f>VENTAS[[#This Row],[Cantidad]]*VENTAS[[#This Row],[Precio Venta]]</f>
        <v>28</v>
      </c>
      <c r="J992" s="14">
        <f>IF(VENTAS[[#This Row],[Nombre del Gestor]]&gt;1,VENTAS[[#This Row],[Total]]*10%,0)</f>
        <v>2.8</v>
      </c>
      <c r="K992" s="14">
        <f>IFERROR(VLOOKUP(VENTAS[[#This Row],[Código del producto Vendido]],STOCK[],16,FALSE)*VENTAS[[#This Row],[Cantidad]]+VLOOKUP(VENTAS[[#This Row],[Código del producto Vendido]],STOCK[],19,FALSE)*VENTAS[[#This Row],[Cantidad]],VENTAS[[#This Row],[Total]])</f>
        <v>16.7</v>
      </c>
      <c r="L992" s="14">
        <f>VENTAS[[#This Row],[Total]]-VENTAS[[#This Row],[Comisión 10%]]-VENTAS[[#This Row],[Costo SIN Comision]]</f>
        <v>8.5</v>
      </c>
      <c r="M992" s="14"/>
    </row>
    <row r="993" ht="20" hidden="1" customHeight="1" spans="1:13">
      <c r="A993" s="10">
        <v>45453</v>
      </c>
      <c r="B993" s="11"/>
      <c r="C993" s="11" t="s">
        <v>4276</v>
      </c>
      <c r="D993" s="11" t="s">
        <v>4270</v>
      </c>
      <c r="E993" s="11" t="s">
        <v>1380</v>
      </c>
      <c r="F993" s="11" t="str">
        <f>IFERROR(VLOOKUP(VENTAS[[#This Row],[Código del producto Vendido]],STOCK[],5,FALSE),"-")</f>
        <v>Conjunto Skort &amp; top Floreado</v>
      </c>
      <c r="G993" s="11">
        <v>1</v>
      </c>
      <c r="H993" s="14">
        <v>25</v>
      </c>
      <c r="I993" s="14">
        <f>VENTAS[[#This Row],[Cantidad]]*VENTAS[[#This Row],[Precio Venta]]</f>
        <v>25</v>
      </c>
      <c r="J993" s="14">
        <f>IF(VENTAS[[#This Row],[Nombre del Gestor]]&gt;1,VENTAS[[#This Row],[Total]]*10%,0)</f>
        <v>2.5</v>
      </c>
      <c r="K993" s="14">
        <f>IFERROR(VLOOKUP(VENTAS[[#This Row],[Código del producto Vendido]],STOCK[],16,FALSE)*VENTAS[[#This Row],[Cantidad]]+VLOOKUP(VENTAS[[#This Row],[Código del producto Vendido]],STOCK[],19,FALSE)*VENTAS[[#This Row],[Cantidad]],VENTAS[[#This Row],[Total]])</f>
        <v>15</v>
      </c>
      <c r="L993" s="14">
        <f>VENTAS[[#This Row],[Total]]-VENTAS[[#This Row],[Comisión 10%]]-VENTAS[[#This Row],[Costo SIN Comision]]</f>
        <v>7.5</v>
      </c>
      <c r="M993" s="14"/>
    </row>
    <row r="994" ht="20" hidden="1" customHeight="1" spans="1:13">
      <c r="A994" s="10">
        <v>45454</v>
      </c>
      <c r="B994" s="11"/>
      <c r="C994" s="11" t="s">
        <v>4277</v>
      </c>
      <c r="D994" s="11" t="s">
        <v>4241</v>
      </c>
      <c r="E994" s="11" t="s">
        <v>2110</v>
      </c>
      <c r="F994" s="11" t="str">
        <f>IFERROR(VLOOKUP(VENTAS[[#This Row],[Código del producto Vendido]],STOCK[],5,FALSE),"-")</f>
        <v>The Cat TOTE bag tamaño de Gran Capacidad </v>
      </c>
      <c r="G994" s="11">
        <v>1</v>
      </c>
      <c r="H994" s="14">
        <v>12</v>
      </c>
      <c r="I994" s="14">
        <f>VENTAS[[#This Row],[Cantidad]]*VENTAS[[#This Row],[Precio Venta]]</f>
        <v>12</v>
      </c>
      <c r="J994" s="14">
        <f>IF(VENTAS[[#This Row],[Nombre del Gestor]]&gt;1,VENTAS[[#This Row],[Total]]*10%,0)</f>
        <v>1.2</v>
      </c>
      <c r="K994" s="14">
        <f>IFERROR(VLOOKUP(VENTAS[[#This Row],[Código del producto Vendido]],STOCK[],16,FALSE)*VENTAS[[#This Row],[Cantidad]]+VLOOKUP(VENTAS[[#This Row],[Código del producto Vendido]],STOCK[],19,FALSE)*VENTAS[[#This Row],[Cantidad]],VENTAS[[#This Row],[Total]])</f>
        <v>5.58</v>
      </c>
      <c r="L994" s="14">
        <f>VENTAS[[#This Row],[Total]]-VENTAS[[#This Row],[Comisión 10%]]-VENTAS[[#This Row],[Costo SIN Comision]]</f>
        <v>5.22</v>
      </c>
      <c r="M994" s="14"/>
    </row>
    <row r="995" ht="20" hidden="1" customHeight="1" spans="1:13">
      <c r="A995" s="10">
        <v>45455</v>
      </c>
      <c r="B995" s="11"/>
      <c r="C995" s="11" t="s">
        <v>4278</v>
      </c>
      <c r="D995" s="11" t="s">
        <v>4272</v>
      </c>
      <c r="E995" s="11" t="s">
        <v>1635</v>
      </c>
      <c r="F995" s="11" t="str">
        <f>IFERROR(VLOOKUP(VENTAS[[#This Row],[Código del producto Vendido]],STOCK[],5,FALSE),"-")</f>
        <v>Vestido Privé  </v>
      </c>
      <c r="G995" s="11">
        <v>1</v>
      </c>
      <c r="H995" s="14">
        <v>25</v>
      </c>
      <c r="I995" s="14">
        <f>VENTAS[[#This Row],[Cantidad]]*VENTAS[[#This Row],[Precio Venta]]</f>
        <v>25</v>
      </c>
      <c r="J995" s="14">
        <f>IF(VENTAS[[#This Row],[Nombre del Gestor]]&gt;1,VENTAS[[#This Row],[Total]]*10%,0)</f>
        <v>2.5</v>
      </c>
      <c r="K995" s="14">
        <f>IFERROR(VLOOKUP(VENTAS[[#This Row],[Código del producto Vendido]],STOCK[],16,FALSE)*VENTAS[[#This Row],[Cantidad]]+VLOOKUP(VENTAS[[#This Row],[Código del producto Vendido]],STOCK[],19,FALSE)*VENTAS[[#This Row],[Cantidad]],VENTAS[[#This Row],[Total]])</f>
        <v>11.1</v>
      </c>
      <c r="L995" s="14">
        <f>VENTAS[[#This Row],[Total]]-VENTAS[[#This Row],[Comisión 10%]]-VENTAS[[#This Row],[Costo SIN Comision]]</f>
        <v>11.4</v>
      </c>
      <c r="M995" s="14"/>
    </row>
    <row r="996" ht="20" hidden="1" customHeight="1" spans="1:13">
      <c r="A996" s="10">
        <v>45456</v>
      </c>
      <c r="B996" s="11"/>
      <c r="C996" s="11" t="s">
        <v>4279</v>
      </c>
      <c r="D996" s="11" t="s">
        <v>4241</v>
      </c>
      <c r="E996" s="11" t="s">
        <v>2377</v>
      </c>
      <c r="F996" s="11" t="str">
        <f>IFERROR(VLOOKUP(VENTAS[[#This Row],[Código del producto Vendido]],STOCK[],5,FALSE),"-")</f>
        <v>Vestido elegante de botones en color sólido</v>
      </c>
      <c r="G996" s="11">
        <v>1</v>
      </c>
      <c r="H996" s="14">
        <v>35</v>
      </c>
      <c r="I996" s="14">
        <f>VENTAS[[#This Row],[Cantidad]]*VENTAS[[#This Row],[Precio Venta]]</f>
        <v>35</v>
      </c>
      <c r="J996" s="14">
        <f>IF(VENTAS[[#This Row],[Nombre del Gestor]]&gt;1,VENTAS[[#This Row],[Total]]*10%,0)</f>
        <v>3.5</v>
      </c>
      <c r="K996" s="14">
        <f>IFERROR(VLOOKUP(VENTAS[[#This Row],[Código del producto Vendido]],STOCK[],16,FALSE)*VENTAS[[#This Row],[Cantidad]]+VLOOKUP(VENTAS[[#This Row],[Código del producto Vendido]],STOCK[],19,FALSE)*VENTAS[[#This Row],[Cantidad]],VENTAS[[#This Row],[Total]])</f>
        <v>24.609375</v>
      </c>
      <c r="L996" s="14">
        <f>VENTAS[[#This Row],[Total]]-VENTAS[[#This Row],[Comisión 10%]]-VENTAS[[#This Row],[Costo SIN Comision]]</f>
        <v>6.890625</v>
      </c>
      <c r="M996" s="14"/>
    </row>
    <row r="997" ht="20" hidden="1" customHeight="1" spans="1:13">
      <c r="A997" s="10">
        <v>45457</v>
      </c>
      <c r="B997" s="11"/>
      <c r="C997" s="11" t="s">
        <v>4279</v>
      </c>
      <c r="D997" s="11" t="s">
        <v>4241</v>
      </c>
      <c r="E997" s="11" t="s">
        <v>1609</v>
      </c>
      <c r="F997" s="11" t="str">
        <f>IFERROR(VLOOKUP(VENTAS[[#This Row],[Código del producto Vendido]],STOCK[],5,FALSE),"-")</f>
        <v>Vestido camisero con estampado floral </v>
      </c>
      <c r="G997" s="11">
        <v>1</v>
      </c>
      <c r="H997" s="14">
        <v>35</v>
      </c>
      <c r="I997" s="14">
        <f>VENTAS[[#This Row],[Cantidad]]*VENTAS[[#This Row],[Precio Venta]]</f>
        <v>35</v>
      </c>
      <c r="J997" s="14">
        <f>IF(VENTAS[[#This Row],[Nombre del Gestor]]&gt;1,VENTAS[[#This Row],[Total]]*10%,0)</f>
        <v>3.5</v>
      </c>
      <c r="K997" s="14">
        <f>IFERROR(VLOOKUP(VENTAS[[#This Row],[Código del producto Vendido]],STOCK[],16,FALSE)*VENTAS[[#This Row],[Cantidad]]+VLOOKUP(VENTAS[[#This Row],[Código del producto Vendido]],STOCK[],19,FALSE)*VENTAS[[#This Row],[Cantidad]],VENTAS[[#This Row],[Total]])</f>
        <v>14.84</v>
      </c>
      <c r="L997" s="14">
        <f>VENTAS[[#This Row],[Total]]-VENTAS[[#This Row],[Comisión 10%]]-VENTAS[[#This Row],[Costo SIN Comision]]</f>
        <v>16.66</v>
      </c>
      <c r="M997" s="14"/>
    </row>
    <row r="998" ht="20" hidden="1" customHeight="1" spans="1:13">
      <c r="A998" s="10">
        <v>45458</v>
      </c>
      <c r="B998" s="11"/>
      <c r="C998" s="11" t="s">
        <v>4280</v>
      </c>
      <c r="D998" s="11" t="s">
        <v>4241</v>
      </c>
      <c r="E998" s="11" t="s">
        <v>1167</v>
      </c>
      <c r="F998" s="11" t="str">
        <f>IFERROR(VLOOKUP(VENTAS[[#This Row],[Código del producto Vendido]],STOCK[],5,FALSE),"-")</f>
        <v>Short de mezclilla clara (no elastiza)</v>
      </c>
      <c r="G998" s="11">
        <v>1</v>
      </c>
      <c r="H998" s="14">
        <v>20</v>
      </c>
      <c r="I998" s="14">
        <f>VENTAS[[#This Row],[Cantidad]]*VENTAS[[#This Row],[Precio Venta]]</f>
        <v>20</v>
      </c>
      <c r="J998" s="14">
        <f>IF(VENTAS[[#This Row],[Nombre del Gestor]]&gt;1,VENTAS[[#This Row],[Total]]*10%,0)</f>
        <v>2</v>
      </c>
      <c r="K998" s="14">
        <f>IFERROR(VLOOKUP(VENTAS[[#This Row],[Código del producto Vendido]],STOCK[],16,FALSE)*VENTAS[[#This Row],[Cantidad]]+VLOOKUP(VENTAS[[#This Row],[Código del producto Vendido]],STOCK[],19,FALSE)*VENTAS[[#This Row],[Cantidad]],VENTAS[[#This Row],[Total]])</f>
        <v>14.29</v>
      </c>
      <c r="L998" s="14">
        <f>VENTAS[[#This Row],[Total]]-VENTAS[[#This Row],[Comisión 10%]]-VENTAS[[#This Row],[Costo SIN Comision]]</f>
        <v>3.71</v>
      </c>
      <c r="M998" s="14"/>
    </row>
    <row r="999" ht="20" hidden="1" customHeight="1" spans="1:13">
      <c r="A999" s="10">
        <v>45459</v>
      </c>
      <c r="B999" s="11"/>
      <c r="C999" s="11" t="s">
        <v>4281</v>
      </c>
      <c r="D999" s="11" t="s">
        <v>4241</v>
      </c>
      <c r="E999" s="11" t="s">
        <v>2167</v>
      </c>
      <c r="F999" s="11" t="str">
        <f>IFERROR(VLOOKUP(VENTAS[[#This Row],[Código del producto Vendido]],STOCK[],5,FALSE),"-")</f>
        <v>Bañador en color sólido sexy-elegante </v>
      </c>
      <c r="G999" s="11">
        <v>1</v>
      </c>
      <c r="H999" s="14">
        <v>20</v>
      </c>
      <c r="I999" s="14">
        <f>VENTAS[[#This Row],[Cantidad]]*VENTAS[[#This Row],[Precio Venta]]</f>
        <v>20</v>
      </c>
      <c r="J999" s="14">
        <f>IF(VENTAS[[#This Row],[Nombre del Gestor]]&gt;1,VENTAS[[#This Row],[Total]]*10%,0)</f>
        <v>2</v>
      </c>
      <c r="K999" s="14">
        <f>IFERROR(VLOOKUP(VENTAS[[#This Row],[Código del producto Vendido]],STOCK[],16,FALSE)*VENTAS[[#This Row],[Cantidad]]+VLOOKUP(VENTAS[[#This Row],[Código del producto Vendido]],STOCK[],19,FALSE)*VENTAS[[#This Row],[Cantidad]],VENTAS[[#This Row],[Total]])</f>
        <v>8.24</v>
      </c>
      <c r="L999" s="14">
        <f>VENTAS[[#This Row],[Total]]-VENTAS[[#This Row],[Comisión 10%]]-VENTAS[[#This Row],[Costo SIN Comision]]</f>
        <v>9.76</v>
      </c>
      <c r="M999" s="14"/>
    </row>
    <row r="1000" ht="20" hidden="1" customHeight="1" spans="1:13">
      <c r="A1000" s="10">
        <v>45460</v>
      </c>
      <c r="B1000" s="11"/>
      <c r="C1000" s="11" t="s">
        <v>4282</v>
      </c>
      <c r="D1000" s="11" t="s">
        <v>4272</v>
      </c>
      <c r="E1000" s="11" t="s">
        <v>2136</v>
      </c>
      <c r="F1000" s="11" t="str">
        <f>IFERROR(VLOOKUP(VENTAS[[#This Row],[Código del producto Vendido]],STOCK[],5,FALSE),"-")</f>
        <v>Falda Bohemia de mezclilla de cintura alta con detalles de botón</v>
      </c>
      <c r="G1000" s="11">
        <v>1</v>
      </c>
      <c r="H1000" s="14">
        <v>30</v>
      </c>
      <c r="I1000" s="14">
        <f>VENTAS[[#This Row],[Cantidad]]*VENTAS[[#This Row],[Precio Venta]]</f>
        <v>30</v>
      </c>
      <c r="J1000" s="14">
        <f>IF(VENTAS[[#This Row],[Nombre del Gestor]]&gt;1,VENTAS[[#This Row],[Total]]*10%,0)</f>
        <v>3</v>
      </c>
      <c r="K1000" s="14">
        <f>IFERROR(VLOOKUP(VENTAS[[#This Row],[Código del producto Vendido]],STOCK[],16,FALSE)*VENTAS[[#This Row],[Cantidad]]+VLOOKUP(VENTAS[[#This Row],[Código del producto Vendido]],STOCK[],19,FALSE)*VENTAS[[#This Row],[Cantidad]],VENTAS[[#This Row],[Total]])</f>
        <v>7.05</v>
      </c>
      <c r="L1000" s="14">
        <f>VENTAS[[#This Row],[Total]]-VENTAS[[#This Row],[Comisión 10%]]-VENTAS[[#This Row],[Costo SIN Comision]]</f>
        <v>19.95</v>
      </c>
      <c r="M1000" s="14"/>
    </row>
    <row r="1001" ht="20" hidden="1" customHeight="1" spans="1:13">
      <c r="A1001" s="10">
        <v>45461</v>
      </c>
      <c r="B1001" s="11"/>
      <c r="C1001" s="11" t="s">
        <v>4283</v>
      </c>
      <c r="D1001" s="11" t="s">
        <v>4129</v>
      </c>
      <c r="E1001" s="11" t="s">
        <v>2205</v>
      </c>
      <c r="F1001" s="11" t="str">
        <f>IFERROR(VLOOKUP(VENTAS[[#This Row],[Código del producto Vendido]],STOCK[],5,FALSE),"-")</f>
        <v>Vestido floral verano con abertura</v>
      </c>
      <c r="G1001" s="11">
        <v>1</v>
      </c>
      <c r="H1001" s="14">
        <v>25</v>
      </c>
      <c r="I1001" s="14">
        <f>VENTAS[[#This Row],[Cantidad]]*VENTAS[[#This Row],[Precio Venta]]</f>
        <v>25</v>
      </c>
      <c r="J1001" s="14">
        <f>IF(VENTAS[[#This Row],[Nombre del Gestor]]&gt;1,VENTAS[[#This Row],[Total]]*10%,0)</f>
        <v>2.5</v>
      </c>
      <c r="K1001" s="14">
        <f>IFERROR(VLOOKUP(VENTAS[[#This Row],[Código del producto Vendido]],STOCK[],16,FALSE)*VENTAS[[#This Row],[Cantidad]]+VLOOKUP(VENTAS[[#This Row],[Código del producto Vendido]],STOCK[],19,FALSE)*VENTAS[[#This Row],[Cantidad]],VENTAS[[#This Row],[Total]])</f>
        <v>14.59</v>
      </c>
      <c r="L1001" s="14">
        <f>VENTAS[[#This Row],[Total]]-VENTAS[[#This Row],[Comisión 10%]]-VENTAS[[#This Row],[Costo SIN Comision]]</f>
        <v>7.91</v>
      </c>
      <c r="M1001" s="14"/>
    </row>
    <row r="1002" ht="20" hidden="1" customHeight="1" spans="1:13">
      <c r="A1002" s="10">
        <v>45462</v>
      </c>
      <c r="B1002" s="11"/>
      <c r="C1002" s="11" t="s">
        <v>4115</v>
      </c>
      <c r="D1002" s="11" t="s">
        <v>4284</v>
      </c>
      <c r="E1002" s="11" t="s">
        <v>971</v>
      </c>
      <c r="F1002" s="11" t="str">
        <f>IFERROR(VLOOKUP(VENTAS[[#This Row],[Código del producto Vendido]],STOCK[],5,FALSE),"-")</f>
        <v> Top Básico Business</v>
      </c>
      <c r="G1002" s="11">
        <v>1</v>
      </c>
      <c r="H1002" s="14">
        <v>10</v>
      </c>
      <c r="I1002" s="14">
        <f>VENTAS[[#This Row],[Cantidad]]*VENTAS[[#This Row],[Precio Venta]]</f>
        <v>10</v>
      </c>
      <c r="J1002" s="14">
        <f>IF(VENTAS[[#This Row],[Nombre del Gestor]]&gt;1,VENTAS[[#This Row],[Total]]*10%,0)</f>
        <v>1</v>
      </c>
      <c r="K1002" s="14">
        <f>IFERROR(VLOOKUP(VENTAS[[#This Row],[Código del producto Vendido]],STOCK[],16,FALSE)*VENTAS[[#This Row],[Cantidad]]+VLOOKUP(VENTAS[[#This Row],[Código del producto Vendido]],STOCK[],19,FALSE)*VENTAS[[#This Row],[Cantidad]],VENTAS[[#This Row],[Total]])</f>
        <v>6.78409090909091</v>
      </c>
      <c r="L1002" s="14">
        <f>VENTAS[[#This Row],[Total]]-VENTAS[[#This Row],[Comisión 10%]]-VENTAS[[#This Row],[Costo SIN Comision]]</f>
        <v>2.21590909090909</v>
      </c>
      <c r="M1002" s="14"/>
    </row>
    <row r="1003" ht="20" hidden="1" customHeight="1" spans="1:13">
      <c r="A1003" s="10">
        <v>45463</v>
      </c>
      <c r="B1003" s="11"/>
      <c r="C1003" s="11" t="s">
        <v>4115</v>
      </c>
      <c r="D1003" s="11" t="s">
        <v>4284</v>
      </c>
      <c r="E1003" s="11" t="s">
        <v>993</v>
      </c>
      <c r="F1003" s="11" t="str">
        <f>IFERROR(VLOOKUP(VENTAS[[#This Row],[Código del producto Vendido]],STOCK[],5,FALSE),"-")</f>
        <v> Top Básico Business </v>
      </c>
      <c r="G1003" s="11">
        <v>1</v>
      </c>
      <c r="H1003" s="14">
        <v>10</v>
      </c>
      <c r="I1003" s="14">
        <f>VENTAS[[#This Row],[Cantidad]]*VENTAS[[#This Row],[Precio Venta]]</f>
        <v>10</v>
      </c>
      <c r="J1003" s="14">
        <f>IF(VENTAS[[#This Row],[Nombre del Gestor]]&gt;1,VENTAS[[#This Row],[Total]]*10%,0)</f>
        <v>1</v>
      </c>
      <c r="K1003" s="14">
        <f>IFERROR(VLOOKUP(VENTAS[[#This Row],[Código del producto Vendido]],STOCK[],16,FALSE)*VENTAS[[#This Row],[Cantidad]]+VLOOKUP(VENTAS[[#This Row],[Código del producto Vendido]],STOCK[],19,FALSE)*VENTAS[[#This Row],[Cantidad]],VENTAS[[#This Row],[Total]])</f>
        <v>7.37954545454545</v>
      </c>
      <c r="L1003" s="14">
        <f>VENTAS[[#This Row],[Total]]-VENTAS[[#This Row],[Comisión 10%]]-VENTAS[[#This Row],[Costo SIN Comision]]</f>
        <v>1.62045454545455</v>
      </c>
      <c r="M1003" s="14"/>
    </row>
    <row r="1004" ht="20" hidden="1" customHeight="1" spans="1:13">
      <c r="A1004" s="10">
        <v>45464</v>
      </c>
      <c r="B1004" s="11"/>
      <c r="C1004" s="11" t="s">
        <v>4115</v>
      </c>
      <c r="D1004" s="11" t="s">
        <v>4284</v>
      </c>
      <c r="E1004" s="11" t="s">
        <v>2165</v>
      </c>
      <c r="F1004" s="11" t="str">
        <f>IFERROR(VLOOKUP(VENTAS[[#This Row],[Código del producto Vendido]],STOCK[],5,FALSE),"-")</f>
        <v>Bañador en color sólido sexy-elegante </v>
      </c>
      <c r="G1004" s="11">
        <v>1</v>
      </c>
      <c r="H1004" s="14">
        <v>20</v>
      </c>
      <c r="I1004" s="14">
        <f>VENTAS[[#This Row],[Cantidad]]*VENTAS[[#This Row],[Precio Venta]]</f>
        <v>20</v>
      </c>
      <c r="J1004" s="14">
        <f>IF(VENTAS[[#This Row],[Nombre del Gestor]]&gt;1,VENTAS[[#This Row],[Total]]*10%,0)</f>
        <v>2</v>
      </c>
      <c r="K1004" s="14">
        <f>IFERROR(VLOOKUP(VENTAS[[#This Row],[Código del producto Vendido]],STOCK[],16,FALSE)*VENTAS[[#This Row],[Cantidad]]+VLOOKUP(VENTAS[[#This Row],[Código del producto Vendido]],STOCK[],19,FALSE)*VENTAS[[#This Row],[Cantidad]],VENTAS[[#This Row],[Total]])</f>
        <v>8.24</v>
      </c>
      <c r="L1004" s="14">
        <f>VENTAS[[#This Row],[Total]]-VENTAS[[#This Row],[Comisión 10%]]-VENTAS[[#This Row],[Costo SIN Comision]]</f>
        <v>9.76</v>
      </c>
      <c r="M1004" s="14"/>
    </row>
    <row r="1005" ht="20" hidden="1" customHeight="1" spans="1:13">
      <c r="A1005" s="10">
        <v>45465</v>
      </c>
      <c r="B1005" s="11"/>
      <c r="C1005" s="11" t="s">
        <v>4082</v>
      </c>
      <c r="D1005" s="11" t="s">
        <v>4284</v>
      </c>
      <c r="E1005" s="11" t="s">
        <v>2254</v>
      </c>
      <c r="F1005" s="11" t="str">
        <f>IFERROR(VLOOKUP(VENTAS[[#This Row],[Código del producto Vendido]],STOCK[],5,FALSE),"-")</f>
        <v>Bikini de cintura alta estampado clásico</v>
      </c>
      <c r="G1005" s="11">
        <v>1</v>
      </c>
      <c r="H1005" s="14">
        <v>20</v>
      </c>
      <c r="I1005" s="14">
        <f>VENTAS[[#This Row],[Cantidad]]*VENTAS[[#This Row],[Precio Venta]]</f>
        <v>20</v>
      </c>
      <c r="J1005" s="14">
        <f>IF(VENTAS[[#This Row],[Nombre del Gestor]]&gt;1,VENTAS[[#This Row],[Total]]*10%,0)</f>
        <v>2</v>
      </c>
      <c r="K1005" s="14">
        <f>IFERROR(VLOOKUP(VENTAS[[#This Row],[Código del producto Vendido]],STOCK[],16,FALSE)*VENTAS[[#This Row],[Cantidad]]+VLOOKUP(VENTAS[[#This Row],[Código del producto Vendido]],STOCK[],19,FALSE)*VENTAS[[#This Row],[Cantidad]],VENTAS[[#This Row],[Total]])</f>
        <v>8.66</v>
      </c>
      <c r="L1005" s="14">
        <f>VENTAS[[#This Row],[Total]]-VENTAS[[#This Row],[Comisión 10%]]-VENTAS[[#This Row],[Costo SIN Comision]]</f>
        <v>9.34</v>
      </c>
      <c r="M1005" s="14"/>
    </row>
    <row r="1006" ht="20" hidden="1" customHeight="1" spans="1:13">
      <c r="A1006" s="10">
        <v>45473</v>
      </c>
      <c r="B1006" s="11"/>
      <c r="C1006" s="11" t="s">
        <v>4285</v>
      </c>
      <c r="D1006" s="11" t="s">
        <v>4286</v>
      </c>
      <c r="E1006" s="11" t="s">
        <v>1915</v>
      </c>
      <c r="F1006" s="11" t="str">
        <f>IFERROR(VLOOKUP(VENTAS[[#This Row],[Código del producto Vendido]],STOCK[],5,FALSE),"-")</f>
        <v>Gafas de Sol Retro Negro</v>
      </c>
      <c r="G1006" s="11">
        <v>1</v>
      </c>
      <c r="H1006" s="14">
        <v>8</v>
      </c>
      <c r="I1006" s="14">
        <f>VENTAS[[#This Row],[Cantidad]]*VENTAS[[#This Row],[Precio Venta]]</f>
        <v>8</v>
      </c>
      <c r="J1006" s="14">
        <f>IF(VENTAS[[#This Row],[Nombre del Gestor]]&gt;1,VENTAS[[#This Row],[Total]]*10%,0)</f>
        <v>0.8</v>
      </c>
      <c r="K1006" s="14">
        <f>IFERROR(VLOOKUP(VENTAS[[#This Row],[Código del producto Vendido]],STOCK[],16,FALSE)*VENTAS[[#This Row],[Cantidad]]+VLOOKUP(VENTAS[[#This Row],[Código del producto Vendido]],STOCK[],19,FALSE)*VENTAS[[#This Row],[Cantidad]],VENTAS[[#This Row],[Total]])</f>
        <v>4.86</v>
      </c>
      <c r="L1006" s="14">
        <f>VENTAS[[#This Row],[Total]]-VENTAS[[#This Row],[Comisión 10%]]-VENTAS[[#This Row],[Costo SIN Comision]]</f>
        <v>2.34</v>
      </c>
      <c r="M1006" s="14"/>
    </row>
    <row r="1007" ht="20" hidden="1" customHeight="1" spans="1:13">
      <c r="A1007" s="10">
        <v>45473</v>
      </c>
      <c r="B1007" s="11"/>
      <c r="C1007" s="11" t="s">
        <v>4287</v>
      </c>
      <c r="D1007" s="11" t="s">
        <v>4212</v>
      </c>
      <c r="E1007" s="11" t="s">
        <v>1818</v>
      </c>
      <c r="F1007" s="11" t="str">
        <f>IFERROR(VLOOKUP(VENTAS[[#This Row],[Código del producto Vendido]],STOCK[],5,FALSE),"-")</f>
        <v>Vestido Midi Elegante</v>
      </c>
      <c r="G1007" s="11">
        <v>1</v>
      </c>
      <c r="H1007" s="14">
        <v>22</v>
      </c>
      <c r="I1007" s="14">
        <f>VENTAS[[#This Row],[Cantidad]]*VENTAS[[#This Row],[Precio Venta]]</f>
        <v>22</v>
      </c>
      <c r="J1007" s="14">
        <f>IF(VENTAS[[#This Row],[Nombre del Gestor]]&gt;1,VENTAS[[#This Row],[Total]]*10%,0)</f>
        <v>2.2</v>
      </c>
      <c r="K1007" s="14">
        <f>IFERROR(VLOOKUP(VENTAS[[#This Row],[Código del producto Vendido]],STOCK[],16,FALSE)*VENTAS[[#This Row],[Cantidad]]+VLOOKUP(VENTAS[[#This Row],[Código del producto Vendido]],STOCK[],19,FALSE)*VENTAS[[#This Row],[Cantidad]],VENTAS[[#This Row],[Total]])</f>
        <v>10.79</v>
      </c>
      <c r="L1007" s="14">
        <f>VENTAS[[#This Row],[Total]]-VENTAS[[#This Row],[Comisión 10%]]-VENTAS[[#This Row],[Costo SIN Comision]]</f>
        <v>9.01</v>
      </c>
      <c r="M1007" s="14"/>
    </row>
    <row r="1008" ht="20" hidden="1" customHeight="1" spans="1:13">
      <c r="A1008" s="10">
        <v>45473</v>
      </c>
      <c r="B1008" s="11"/>
      <c r="C1008" s="11" t="s">
        <v>4287</v>
      </c>
      <c r="D1008" s="11" t="s">
        <v>4212</v>
      </c>
      <c r="E1008" s="11" t="s">
        <v>1847</v>
      </c>
      <c r="F1008" s="11" t="str">
        <f>IFERROR(VLOOKUP(VENTAS[[#This Row],[Código del producto Vendido]],STOCK[],5,FALSE),"-")</f>
        <v>Crossbody Bag con hebilla</v>
      </c>
      <c r="G1008" s="11">
        <v>1</v>
      </c>
      <c r="H1008" s="14">
        <v>25</v>
      </c>
      <c r="I1008" s="14">
        <f>VENTAS[[#This Row],[Cantidad]]*VENTAS[[#This Row],[Precio Venta]]</f>
        <v>25</v>
      </c>
      <c r="J1008" s="14">
        <f>IF(VENTAS[[#This Row],[Nombre del Gestor]]&gt;1,VENTAS[[#This Row],[Total]]*10%,0)</f>
        <v>2.5</v>
      </c>
      <c r="K1008" s="14">
        <f>IFERROR(VLOOKUP(VENTAS[[#This Row],[Código del producto Vendido]],STOCK[],16,FALSE)*VENTAS[[#This Row],[Cantidad]]+VLOOKUP(VENTAS[[#This Row],[Código del producto Vendido]],STOCK[],19,FALSE)*VENTAS[[#This Row],[Cantidad]],VENTAS[[#This Row],[Total]])</f>
        <v>13.29</v>
      </c>
      <c r="L1008" s="14">
        <f>VENTAS[[#This Row],[Total]]-VENTAS[[#This Row],[Comisión 10%]]-VENTAS[[#This Row],[Costo SIN Comision]]</f>
        <v>9.21</v>
      </c>
      <c r="M1008" s="14"/>
    </row>
    <row r="1009" ht="20" hidden="1" customHeight="1" spans="1:13">
      <c r="A1009" s="10">
        <v>45444</v>
      </c>
      <c r="B1009" s="11"/>
      <c r="C1009" s="11" t="s">
        <v>4288</v>
      </c>
      <c r="D1009" s="11" t="s">
        <v>4141</v>
      </c>
      <c r="E1009" s="11" t="s">
        <v>1621</v>
      </c>
      <c r="F1009" s="11" t="str">
        <f>IFERROR(VLOOKUP(VENTAS[[#This Row],[Código del producto Vendido]],STOCK[],5,FALSE),"-")</f>
        <v>Vestido Becka</v>
      </c>
      <c r="G1009" s="11">
        <v>1</v>
      </c>
      <c r="H1009" s="14">
        <v>25</v>
      </c>
      <c r="I1009" s="14">
        <f>VENTAS[[#This Row],[Cantidad]]*VENTAS[[#This Row],[Precio Venta]]</f>
        <v>25</v>
      </c>
      <c r="J1009" s="14">
        <f>IF(VENTAS[[#This Row],[Nombre del Gestor]]&gt;1,VENTAS[[#This Row],[Total]]*10%,0)</f>
        <v>2.5</v>
      </c>
      <c r="K1009" s="14">
        <f>IFERROR(VLOOKUP(VENTAS[[#This Row],[Código del producto Vendido]],STOCK[],16,FALSE)*VENTAS[[#This Row],[Cantidad]]+VLOOKUP(VENTAS[[#This Row],[Código del producto Vendido]],STOCK[],19,FALSE)*VENTAS[[#This Row],[Cantidad]],VENTAS[[#This Row],[Total]])</f>
        <v>12.4</v>
      </c>
      <c r="L1009" s="14">
        <f>VENTAS[[#This Row],[Total]]-VENTAS[[#This Row],[Comisión 10%]]-VENTAS[[#This Row],[Costo SIN Comision]]</f>
        <v>10.1</v>
      </c>
      <c r="M1009" s="14"/>
    </row>
    <row r="1010" ht="20" hidden="1" customHeight="1" spans="1:13">
      <c r="A1010" s="10">
        <v>45474</v>
      </c>
      <c r="B1010" s="11"/>
      <c r="C1010" s="11" t="s">
        <v>4289</v>
      </c>
      <c r="D1010" s="11" t="s">
        <v>4272</v>
      </c>
      <c r="E1010" s="11" t="s">
        <v>2331</v>
      </c>
      <c r="F1010" s="11" t="str">
        <f>IFERROR(VLOOKUP(VENTAS[[#This Row],[Código del producto Vendido]],STOCK[],5,FALSE),"-")</f>
        <v>Pantalón palazzo estiloso</v>
      </c>
      <c r="G1010" s="11">
        <v>1</v>
      </c>
      <c r="H1010" s="14">
        <v>20</v>
      </c>
      <c r="I1010" s="14">
        <f>VENTAS[[#This Row],[Cantidad]]*VENTAS[[#This Row],[Precio Venta]]</f>
        <v>20</v>
      </c>
      <c r="J1010" s="14">
        <f>IF(VENTAS[[#This Row],[Nombre del Gestor]]&gt;1,VENTAS[[#This Row],[Total]]*10%,0)</f>
        <v>2</v>
      </c>
      <c r="K1010" s="14">
        <f>IFERROR(VLOOKUP(VENTAS[[#This Row],[Código del producto Vendido]],STOCK[],16,FALSE)*VENTAS[[#This Row],[Cantidad]]+VLOOKUP(VENTAS[[#This Row],[Código del producto Vendido]],STOCK[],19,FALSE)*VENTAS[[#This Row],[Cantidad]],VENTAS[[#This Row],[Total]])</f>
        <v>10.914375</v>
      </c>
      <c r="L1010" s="14">
        <f>VENTAS[[#This Row],[Total]]-VENTAS[[#This Row],[Comisión 10%]]-VENTAS[[#This Row],[Costo SIN Comision]]</f>
        <v>7.085625</v>
      </c>
      <c r="M1010" s="14"/>
    </row>
    <row r="1011" ht="20" hidden="1" customHeight="1" spans="1:13">
      <c r="A1011" s="10">
        <v>45474</v>
      </c>
      <c r="B1011" s="11"/>
      <c r="C1011" s="11" t="s">
        <v>4290</v>
      </c>
      <c r="D1011" s="11" t="s">
        <v>4272</v>
      </c>
      <c r="E1011" s="11" t="s">
        <v>988</v>
      </c>
      <c r="F1011" s="11" t="str">
        <f>IFERROR(VLOOKUP(VENTAS[[#This Row],[Código del producto Vendido]],STOCK[],5,FALSE),"-")</f>
        <v>Vestido con doble abertura</v>
      </c>
      <c r="G1011" s="11">
        <v>1</v>
      </c>
      <c r="H1011" s="14">
        <v>20</v>
      </c>
      <c r="I1011" s="14">
        <f>VENTAS[[#This Row],[Cantidad]]*VENTAS[[#This Row],[Precio Venta]]</f>
        <v>20</v>
      </c>
      <c r="J1011" s="14">
        <f>IF(VENTAS[[#This Row],[Nombre del Gestor]]&gt;1,VENTAS[[#This Row],[Total]]*10%,0)</f>
        <v>2</v>
      </c>
      <c r="K1011" s="14">
        <f>IFERROR(VLOOKUP(VENTAS[[#This Row],[Código del producto Vendido]],STOCK[],16,FALSE)*VENTAS[[#This Row],[Cantidad]]+VLOOKUP(VENTAS[[#This Row],[Código del producto Vendido]],STOCK[],19,FALSE)*VENTAS[[#This Row],[Cantidad]],VENTAS[[#This Row],[Total]])</f>
        <v>15.5277272727273</v>
      </c>
      <c r="L1011" s="14">
        <f>VENTAS[[#This Row],[Total]]-VENTAS[[#This Row],[Comisión 10%]]-VENTAS[[#This Row],[Costo SIN Comision]]</f>
        <v>2.4722727272727</v>
      </c>
      <c r="M1011" s="14"/>
    </row>
    <row r="1012" ht="20" hidden="1" customHeight="1" spans="1:13">
      <c r="A1012" s="10">
        <v>45475</v>
      </c>
      <c r="B1012" s="11"/>
      <c r="C1012" s="11"/>
      <c r="D1012" s="11" t="s">
        <v>4265</v>
      </c>
      <c r="E1012" s="11" t="s">
        <v>1173</v>
      </c>
      <c r="F1012" s="11" t="str">
        <f>IFERROR(VLOOKUP(VENTAS[[#This Row],[Código del producto Vendido]],STOCK[],5,FALSE),"-")</f>
        <v>Vestido camisero con estampado y cinturón </v>
      </c>
      <c r="G1012" s="11">
        <v>1</v>
      </c>
      <c r="H1012" s="14">
        <v>28</v>
      </c>
      <c r="I1012" s="14">
        <f>VENTAS[[#This Row],[Cantidad]]*VENTAS[[#This Row],[Precio Venta]]</f>
        <v>28</v>
      </c>
      <c r="J1012" s="14">
        <f>IF(VENTAS[[#This Row],[Nombre del Gestor]]&gt;1,VENTAS[[#This Row],[Total]]*10%,0)</f>
        <v>2.8</v>
      </c>
      <c r="K1012" s="14">
        <f>IFERROR(VLOOKUP(VENTAS[[#This Row],[Código del producto Vendido]],STOCK[],16,FALSE)*VENTAS[[#This Row],[Cantidad]]+VLOOKUP(VENTAS[[#This Row],[Código del producto Vendido]],STOCK[],19,FALSE)*VENTAS[[#This Row],[Cantidad]],VENTAS[[#This Row],[Total]])</f>
        <v>17.65</v>
      </c>
      <c r="L1012" s="14">
        <f>VENTAS[[#This Row],[Total]]-VENTAS[[#This Row],[Comisión 10%]]-VENTAS[[#This Row],[Costo SIN Comision]]</f>
        <v>7.55</v>
      </c>
      <c r="M1012" s="14"/>
    </row>
    <row r="1013" ht="20" hidden="1" customHeight="1" spans="1:13">
      <c r="A1013" s="10">
        <v>45475</v>
      </c>
      <c r="B1013" s="11"/>
      <c r="C1013" s="11" t="s">
        <v>4291</v>
      </c>
      <c r="D1013" s="11" t="s">
        <v>4103</v>
      </c>
      <c r="E1013" s="11" t="s">
        <v>1233</v>
      </c>
      <c r="F1013" s="11" t="str">
        <f>IFERROR(VLOOKUP(VENTAS[[#This Row],[Código del producto Vendido]],STOCK[],5,FALSE),"-")</f>
        <v>Short elegante de pierna ancha con doblez </v>
      </c>
      <c r="G1013" s="11">
        <v>1</v>
      </c>
      <c r="H1013" s="14">
        <v>22</v>
      </c>
      <c r="I1013" s="14">
        <f>VENTAS[[#This Row],[Cantidad]]*VENTAS[[#This Row],[Precio Venta]]</f>
        <v>22</v>
      </c>
      <c r="J1013" s="14">
        <f>IF(VENTAS[[#This Row],[Nombre del Gestor]]&gt;1,VENTAS[[#This Row],[Total]]*10%,0)</f>
        <v>2.2</v>
      </c>
      <c r="K1013" s="14">
        <f>IFERROR(VLOOKUP(VENTAS[[#This Row],[Código del producto Vendido]],STOCK[],16,FALSE)*VENTAS[[#This Row],[Cantidad]]+VLOOKUP(VENTAS[[#This Row],[Código del producto Vendido]],STOCK[],19,FALSE)*VENTAS[[#This Row],[Cantidad]],VENTAS[[#This Row],[Total]])</f>
        <v>14.37</v>
      </c>
      <c r="L1013" s="14">
        <f>VENTAS[[#This Row],[Total]]-VENTAS[[#This Row],[Comisión 10%]]-VENTAS[[#This Row],[Costo SIN Comision]]</f>
        <v>5.43</v>
      </c>
      <c r="M1013" s="14"/>
    </row>
    <row r="1014" ht="20" hidden="1" customHeight="1" spans="1:13">
      <c r="A1014" s="10">
        <v>45475</v>
      </c>
      <c r="B1014" s="11"/>
      <c r="C1014" s="11" t="s">
        <v>4291</v>
      </c>
      <c r="D1014" s="11" t="s">
        <v>4103</v>
      </c>
      <c r="E1014" s="11" t="s">
        <v>1742</v>
      </c>
      <c r="F1014" s="11" t="str">
        <f>IFERROR(VLOOKUP(VENTAS[[#This Row],[Código del producto Vendido]],STOCK[],5,FALSE),"-")</f>
        <v>Kimono Dazy Elegante</v>
      </c>
      <c r="G1014" s="11">
        <v>1</v>
      </c>
      <c r="H1014" s="14">
        <v>22</v>
      </c>
      <c r="I1014" s="14">
        <f>VENTAS[[#This Row],[Cantidad]]*VENTAS[[#This Row],[Precio Venta]]</f>
        <v>22</v>
      </c>
      <c r="J1014" s="14">
        <f>IF(VENTAS[[#This Row],[Nombre del Gestor]]&gt;1,VENTAS[[#This Row],[Total]]*10%,0)</f>
        <v>2.2</v>
      </c>
      <c r="K1014" s="14">
        <f>IFERROR(VLOOKUP(VENTAS[[#This Row],[Código del producto Vendido]],STOCK[],16,FALSE)*VENTAS[[#This Row],[Cantidad]]+VLOOKUP(VENTAS[[#This Row],[Código del producto Vendido]],STOCK[],19,FALSE)*VENTAS[[#This Row],[Cantidad]],VENTAS[[#This Row],[Total]])</f>
        <v>13.3529411764706</v>
      </c>
      <c r="L1014" s="14">
        <f>VENTAS[[#This Row],[Total]]-VENTAS[[#This Row],[Comisión 10%]]-VENTAS[[#This Row],[Costo SIN Comision]]</f>
        <v>6.44705882352941</v>
      </c>
      <c r="M1014" s="14"/>
    </row>
    <row r="1015" ht="20" hidden="1" customHeight="1" spans="1:13">
      <c r="A1015" s="10">
        <v>45475</v>
      </c>
      <c r="B1015" s="11"/>
      <c r="C1015" s="11"/>
      <c r="D1015" s="11" t="s">
        <v>4241</v>
      </c>
      <c r="E1015" s="11" t="s">
        <v>1005</v>
      </c>
      <c r="F1015" s="11" t="str">
        <f>IFERROR(VLOOKUP(VENTAS[[#This Row],[Código del producto Vendido]],STOCK[],5,FALSE),"-")</f>
        <v>Vestido frenchy de puntos</v>
      </c>
      <c r="G1015" s="11">
        <v>1</v>
      </c>
      <c r="H1015" s="14">
        <v>25</v>
      </c>
      <c r="I1015" s="14">
        <f>VENTAS[[#This Row],[Cantidad]]*VENTAS[[#This Row],[Precio Venta]]</f>
        <v>25</v>
      </c>
      <c r="J1015" s="14">
        <f>IF(VENTAS[[#This Row],[Nombre del Gestor]]&gt;1,VENTAS[[#This Row],[Total]]*10%,0)</f>
        <v>2.5</v>
      </c>
      <c r="K1015" s="14">
        <f>IFERROR(VLOOKUP(VENTAS[[#This Row],[Código del producto Vendido]],STOCK[],16,FALSE)*VENTAS[[#This Row],[Cantidad]]+VLOOKUP(VENTAS[[#This Row],[Código del producto Vendido]],STOCK[],19,FALSE)*VENTAS[[#This Row],[Cantidad]],VENTAS[[#This Row],[Total]])</f>
        <v>15.3272727272727</v>
      </c>
      <c r="L1015" s="14">
        <f>VENTAS[[#This Row],[Total]]-VENTAS[[#This Row],[Comisión 10%]]-VENTAS[[#This Row],[Costo SIN Comision]]</f>
        <v>7.1727272727273</v>
      </c>
      <c r="M1015" s="14"/>
    </row>
    <row r="1016" ht="20" hidden="1" customHeight="1" spans="1:13">
      <c r="A1016" s="10">
        <v>45475</v>
      </c>
      <c r="B1016" s="11"/>
      <c r="C1016" s="11"/>
      <c r="D1016" s="11" t="s">
        <v>4241</v>
      </c>
      <c r="E1016" s="11" t="s">
        <v>1214</v>
      </c>
      <c r="F1016" s="11" t="str">
        <f>IFERROR(VLOOKUP(VENTAS[[#This Row],[Código del producto Vendido]],STOCK[],5,FALSE),"-")</f>
        <v>Falda negra con flores y abertura</v>
      </c>
      <c r="G1016" s="11">
        <v>1</v>
      </c>
      <c r="H1016" s="14">
        <v>18</v>
      </c>
      <c r="I1016" s="14">
        <f>VENTAS[[#This Row],[Cantidad]]*VENTAS[[#This Row],[Precio Venta]]</f>
        <v>18</v>
      </c>
      <c r="J1016" s="14">
        <f>IF(VENTAS[[#This Row],[Nombre del Gestor]]&gt;1,VENTAS[[#This Row],[Total]]*10%,0)</f>
        <v>1.8</v>
      </c>
      <c r="K1016" s="14">
        <f>IFERROR(VLOOKUP(VENTAS[[#This Row],[Código del producto Vendido]],STOCK[],16,FALSE)*VENTAS[[#This Row],[Cantidad]]+VLOOKUP(VENTAS[[#This Row],[Código del producto Vendido]],STOCK[],19,FALSE)*VENTAS[[#This Row],[Cantidad]],VENTAS[[#This Row],[Total]])</f>
        <v>10.77</v>
      </c>
      <c r="L1016" s="14">
        <f>VENTAS[[#This Row],[Total]]-VENTAS[[#This Row],[Comisión 10%]]-VENTAS[[#This Row],[Costo SIN Comision]]</f>
        <v>5.43</v>
      </c>
      <c r="M1016" s="14"/>
    </row>
    <row r="1017" ht="20" hidden="1" customHeight="1" spans="1:13">
      <c r="A1017" s="10">
        <v>45475</v>
      </c>
      <c r="B1017" s="11"/>
      <c r="C1017" s="11"/>
      <c r="D1017" s="11" t="s">
        <v>4241</v>
      </c>
      <c r="E1017" s="11" t="s">
        <v>1170</v>
      </c>
      <c r="F1017" s="11" t="str">
        <f>IFERROR(VLOOKUP(VENTAS[[#This Row],[Código del producto Vendido]],STOCK[],5,FALSE),"-")</f>
        <v>Pullover Dazy cuello redondo Blanco</v>
      </c>
      <c r="G1017" s="11">
        <v>1</v>
      </c>
      <c r="H1017" s="14">
        <v>13</v>
      </c>
      <c r="I1017" s="14">
        <f>VENTAS[[#This Row],[Cantidad]]*VENTAS[[#This Row],[Precio Venta]]</f>
        <v>13</v>
      </c>
      <c r="J1017" s="14">
        <f>IF(VENTAS[[#This Row],[Nombre del Gestor]]&gt;1,VENTAS[[#This Row],[Total]]*10%,0)</f>
        <v>1.3</v>
      </c>
      <c r="K1017" s="14">
        <f>IFERROR(VLOOKUP(VENTAS[[#This Row],[Código del producto Vendido]],STOCK[],16,FALSE)*VENTAS[[#This Row],[Cantidad]]+VLOOKUP(VENTAS[[#This Row],[Código del producto Vendido]],STOCK[],19,FALSE)*VENTAS[[#This Row],[Cantidad]],VENTAS[[#This Row],[Total]])</f>
        <v>8.61</v>
      </c>
      <c r="L1017" s="14">
        <f>VENTAS[[#This Row],[Total]]-VENTAS[[#This Row],[Comisión 10%]]-VENTAS[[#This Row],[Costo SIN Comision]]</f>
        <v>3.09</v>
      </c>
      <c r="M1017" s="14"/>
    </row>
    <row r="1018" ht="20" hidden="1" customHeight="1" spans="1:13">
      <c r="A1018" s="10">
        <v>45474</v>
      </c>
      <c r="B1018" s="11"/>
      <c r="C1018" s="11"/>
      <c r="D1018" s="11" t="s">
        <v>4270</v>
      </c>
      <c r="E1018" s="11" t="s">
        <v>1167</v>
      </c>
      <c r="F1018" s="11" t="str">
        <f>IFERROR(VLOOKUP(VENTAS[[#This Row],[Código del producto Vendido]],STOCK[],5,FALSE),"-")</f>
        <v>Short de mezclilla clara (no elastiza)</v>
      </c>
      <c r="G1018" s="11">
        <v>1</v>
      </c>
      <c r="H1018" s="14">
        <v>20</v>
      </c>
      <c r="I1018" s="14">
        <f>VENTAS[[#This Row],[Cantidad]]*VENTAS[[#This Row],[Precio Venta]]</f>
        <v>20</v>
      </c>
      <c r="J1018" s="14">
        <f>IF(VENTAS[[#This Row],[Nombre del Gestor]]&gt;1,VENTAS[[#This Row],[Total]]*10%,0)</f>
        <v>2</v>
      </c>
      <c r="K1018" s="14">
        <f>IFERROR(VLOOKUP(VENTAS[[#This Row],[Código del producto Vendido]],STOCK[],16,FALSE)*VENTAS[[#This Row],[Cantidad]]+VLOOKUP(VENTAS[[#This Row],[Código del producto Vendido]],STOCK[],19,FALSE)*VENTAS[[#This Row],[Cantidad]],VENTAS[[#This Row],[Total]])</f>
        <v>14.29</v>
      </c>
      <c r="L1018" s="14">
        <f>VENTAS[[#This Row],[Total]]-VENTAS[[#This Row],[Comisión 10%]]-VENTAS[[#This Row],[Costo SIN Comision]]</f>
        <v>3.71</v>
      </c>
      <c r="M1018" s="14"/>
    </row>
    <row r="1019" ht="20" hidden="1" customHeight="1" spans="1:13">
      <c r="A1019" s="10">
        <v>45459</v>
      </c>
      <c r="B1019" s="11"/>
      <c r="C1019" s="11"/>
      <c r="D1019" s="11" t="s">
        <v>4241</v>
      </c>
      <c r="E1019" s="11" t="s">
        <v>1825</v>
      </c>
      <c r="F1019" s="11" t="str">
        <f>IFERROR(VLOOKUP(VENTAS[[#This Row],[Código del producto Vendido]],STOCK[],5,FALSE),"-")</f>
        <v>Vestido Midi Elegante</v>
      </c>
      <c r="G1019" s="11">
        <v>1</v>
      </c>
      <c r="H1019" s="14">
        <v>22</v>
      </c>
      <c r="I1019" s="14">
        <f>VENTAS[[#This Row],[Cantidad]]*VENTAS[[#This Row],[Precio Venta]]</f>
        <v>22</v>
      </c>
      <c r="J1019" s="14">
        <f>IF(VENTAS[[#This Row],[Nombre del Gestor]]&gt;1,VENTAS[[#This Row],[Total]]*10%,0)</f>
        <v>2.2</v>
      </c>
      <c r="K1019" s="14">
        <f>IFERROR(VLOOKUP(VENTAS[[#This Row],[Código del producto Vendido]],STOCK[],16,FALSE)*VENTAS[[#This Row],[Cantidad]]+VLOOKUP(VENTAS[[#This Row],[Código del producto Vendido]],STOCK[],19,FALSE)*VENTAS[[#This Row],[Cantidad]],VENTAS[[#This Row],[Total]])</f>
        <v>10.79</v>
      </c>
      <c r="L1019" s="14">
        <f>VENTAS[[#This Row],[Total]]-VENTAS[[#This Row],[Comisión 10%]]-VENTAS[[#This Row],[Costo SIN Comision]]</f>
        <v>9.01</v>
      </c>
      <c r="M1019" s="14"/>
    </row>
    <row r="1020" ht="20" hidden="1" customHeight="1" spans="1:13">
      <c r="A1020" s="10">
        <v>45450</v>
      </c>
      <c r="B1020" s="11"/>
      <c r="C1020" s="11"/>
      <c r="D1020" s="11" t="s">
        <v>4241</v>
      </c>
      <c r="E1020" s="11" t="s">
        <v>1595</v>
      </c>
      <c r="F1020" s="11" t="str">
        <f>IFERROR(VLOOKUP(VENTAS[[#This Row],[Código del producto Vendido]],STOCK[],5,FALSE),"-")</f>
        <v>Sandalias flip de plataforma Negro</v>
      </c>
      <c r="G1020" s="11">
        <v>1</v>
      </c>
      <c r="H1020" s="14">
        <v>15</v>
      </c>
      <c r="I1020" s="14">
        <f>VENTAS[[#This Row],[Cantidad]]*VENTAS[[#This Row],[Precio Venta]]</f>
        <v>15</v>
      </c>
      <c r="J1020" s="14">
        <f>IF(VENTAS[[#This Row],[Nombre del Gestor]]&gt;1,VENTAS[[#This Row],[Total]]*10%,0)</f>
        <v>1.5</v>
      </c>
      <c r="K1020" s="14">
        <f>IFERROR(VLOOKUP(VENTAS[[#This Row],[Código del producto Vendido]],STOCK[],16,FALSE)*VENTAS[[#This Row],[Cantidad]]+VLOOKUP(VENTAS[[#This Row],[Código del producto Vendido]],STOCK[],19,FALSE)*VENTAS[[#This Row],[Cantidad]],VENTAS[[#This Row],[Total]])</f>
        <v>9.49</v>
      </c>
      <c r="L1020" s="14">
        <f>VENTAS[[#This Row],[Total]]-VENTAS[[#This Row],[Comisión 10%]]-VENTAS[[#This Row],[Costo SIN Comision]]</f>
        <v>4.01</v>
      </c>
      <c r="M1020" s="14"/>
    </row>
    <row r="1021" ht="20" hidden="1" customHeight="1" spans="1:13">
      <c r="A1021" s="10">
        <v>45479</v>
      </c>
      <c r="B1021" s="11"/>
      <c r="C1021" s="11"/>
      <c r="D1021" s="11" t="s">
        <v>4241</v>
      </c>
      <c r="E1021" s="11" t="s">
        <v>2211</v>
      </c>
      <c r="F1021" s="11" t="str">
        <f>IFERROR(VLOOKUP(VENTAS[[#This Row],[Código del producto Vendido]],STOCK[],5,FALSE),"-")</f>
        <v>Vestido Resorte estampado bohemio</v>
      </c>
      <c r="G1021" s="11">
        <v>1</v>
      </c>
      <c r="H1021" s="14">
        <v>35</v>
      </c>
      <c r="I1021" s="14">
        <f>VENTAS[[#This Row],[Cantidad]]*VENTAS[[#This Row],[Precio Venta]]</f>
        <v>35</v>
      </c>
      <c r="J1021" s="14">
        <f>IF(VENTAS[[#This Row],[Nombre del Gestor]]&gt;1,VENTAS[[#This Row],[Total]]*10%,0)</f>
        <v>3.5</v>
      </c>
      <c r="K1021" s="14">
        <f>IFERROR(VLOOKUP(VENTAS[[#This Row],[Código del producto Vendido]],STOCK[],16,FALSE)*VENTAS[[#This Row],[Cantidad]]+VLOOKUP(VENTAS[[#This Row],[Código del producto Vendido]],STOCK[],19,FALSE)*VENTAS[[#This Row],[Cantidad]],VENTAS[[#This Row],[Total]])</f>
        <v>15.39</v>
      </c>
      <c r="L1021" s="14">
        <f>VENTAS[[#This Row],[Total]]-VENTAS[[#This Row],[Comisión 10%]]-VENTAS[[#This Row],[Costo SIN Comision]]</f>
        <v>16.11</v>
      </c>
      <c r="M1021" s="14"/>
    </row>
    <row r="1022" ht="20" hidden="1" customHeight="1" spans="1:13">
      <c r="A1022" s="10">
        <v>45479</v>
      </c>
      <c r="B1022" s="11"/>
      <c r="C1022" s="11"/>
      <c r="D1022" s="11" t="s">
        <v>4241</v>
      </c>
      <c r="E1022" s="11" t="s">
        <v>2256</v>
      </c>
      <c r="F1022" s="11" t="str">
        <f>IFERROR(VLOOKUP(VENTAS[[#This Row],[Código del producto Vendido]],STOCK[],5,FALSE),"-")</f>
        <v>Vestido Resorte estampado bohemio</v>
      </c>
      <c r="G1022" s="11">
        <v>1</v>
      </c>
      <c r="H1022" s="14">
        <v>35</v>
      </c>
      <c r="I1022" s="14">
        <f>VENTAS[[#This Row],[Cantidad]]*VENTAS[[#This Row],[Precio Venta]]</f>
        <v>35</v>
      </c>
      <c r="J1022" s="14">
        <f>IF(VENTAS[[#This Row],[Nombre del Gestor]]&gt;1,VENTAS[[#This Row],[Total]]*10%,0)</f>
        <v>3.5</v>
      </c>
      <c r="K1022" s="14">
        <f>IFERROR(VLOOKUP(VENTAS[[#This Row],[Código del producto Vendido]],STOCK[],16,FALSE)*VENTAS[[#This Row],[Cantidad]]+VLOOKUP(VENTAS[[#This Row],[Código del producto Vendido]],STOCK[],19,FALSE)*VENTAS[[#This Row],[Cantidad]],VENTAS[[#This Row],[Total]])</f>
        <v>15.39</v>
      </c>
      <c r="L1022" s="14">
        <f>VENTAS[[#This Row],[Total]]-VENTAS[[#This Row],[Comisión 10%]]-VENTAS[[#This Row],[Costo SIN Comision]]</f>
        <v>16.11</v>
      </c>
      <c r="M1022" s="14"/>
    </row>
    <row r="1023" ht="20" hidden="1" customHeight="1" spans="1:13">
      <c r="A1023" s="10">
        <v>45479</v>
      </c>
      <c r="B1023" s="11"/>
      <c r="C1023" s="11"/>
      <c r="D1023" s="11" t="s">
        <v>4241</v>
      </c>
      <c r="E1023" s="11" t="s">
        <v>2291</v>
      </c>
      <c r="F1023" s="11" t="str">
        <f>IFERROR(VLOOKUP(VENTAS[[#This Row],[Código del producto Vendido]],STOCK[],5,FALSE),"-")</f>
        <v>Maxi vestido de cuello healter de Lunares</v>
      </c>
      <c r="G1023" s="11">
        <v>1</v>
      </c>
      <c r="H1023" s="14">
        <v>35</v>
      </c>
      <c r="I1023" s="14">
        <f>VENTAS[[#This Row],[Cantidad]]*VENTAS[[#This Row],[Precio Venta]]</f>
        <v>35</v>
      </c>
      <c r="J1023" s="14">
        <f>IF(VENTAS[[#This Row],[Nombre del Gestor]]&gt;1,VENTAS[[#This Row],[Total]]*10%,0)</f>
        <v>3.5</v>
      </c>
      <c r="K1023" s="14">
        <f>IFERROR(VLOOKUP(VENTAS[[#This Row],[Código del producto Vendido]],STOCK[],16,FALSE)*VENTAS[[#This Row],[Cantidad]]+VLOOKUP(VENTAS[[#This Row],[Código del producto Vendido]],STOCK[],19,FALSE)*VENTAS[[#This Row],[Cantidad]],VENTAS[[#This Row],[Total]])</f>
        <v>12.69</v>
      </c>
      <c r="L1023" s="14">
        <f>VENTAS[[#This Row],[Total]]-VENTAS[[#This Row],[Comisión 10%]]-VENTAS[[#This Row],[Costo SIN Comision]]</f>
        <v>18.81</v>
      </c>
      <c r="M1023" s="14"/>
    </row>
    <row r="1024" ht="20" hidden="1" customHeight="1" spans="1:13">
      <c r="A1024" s="10">
        <v>45479</v>
      </c>
      <c r="B1024" s="11"/>
      <c r="C1024" s="11"/>
      <c r="D1024" s="11" t="s">
        <v>4241</v>
      </c>
      <c r="E1024" s="11" t="s">
        <v>2321</v>
      </c>
      <c r="F1024" s="11" t="str">
        <f>IFERROR(VLOOKUP(VENTAS[[#This Row],[Código del producto Vendido]],STOCK[],5,FALSE),"-")</f>
        <v>Vestido color block de bajo asimétrico</v>
      </c>
      <c r="G1024" s="11">
        <v>1</v>
      </c>
      <c r="H1024" s="14">
        <v>30</v>
      </c>
      <c r="I1024" s="14">
        <f>VENTAS[[#This Row],[Cantidad]]*VENTAS[[#This Row],[Precio Venta]]</f>
        <v>30</v>
      </c>
      <c r="J1024" s="14">
        <f>IF(VENTAS[[#This Row],[Nombre del Gestor]]&gt;1,VENTAS[[#This Row],[Total]]*10%,0)</f>
        <v>3</v>
      </c>
      <c r="K1024" s="14">
        <f>IFERROR(VLOOKUP(VENTAS[[#This Row],[Código del producto Vendido]],STOCK[],16,FALSE)*VENTAS[[#This Row],[Cantidad]]+VLOOKUP(VENTAS[[#This Row],[Código del producto Vendido]],STOCK[],19,FALSE)*VENTAS[[#This Row],[Cantidad]],VENTAS[[#This Row],[Total]])</f>
        <v>17.214375</v>
      </c>
      <c r="L1024" s="14">
        <f>VENTAS[[#This Row],[Total]]-VENTAS[[#This Row],[Comisión 10%]]-VENTAS[[#This Row],[Costo SIN Comision]]</f>
        <v>9.785625</v>
      </c>
      <c r="M1024" s="14"/>
    </row>
    <row r="1025" ht="20" hidden="1" customHeight="1" spans="1:13">
      <c r="A1025" s="10">
        <v>45479</v>
      </c>
      <c r="B1025" s="11"/>
      <c r="C1025" s="11"/>
      <c r="D1025" s="11" t="s">
        <v>4241</v>
      </c>
      <c r="E1025" s="11" t="s">
        <v>1618</v>
      </c>
      <c r="F1025" s="11" t="str">
        <f>IFERROR(VLOOKUP(VENTAS[[#This Row],[Código del producto Vendido]],STOCK[],5,FALSE),"-")</f>
        <v>Vestido largo estampado</v>
      </c>
      <c r="G1025" s="11">
        <v>1</v>
      </c>
      <c r="H1025" s="14">
        <v>30</v>
      </c>
      <c r="I1025" s="14">
        <f>VENTAS[[#This Row],[Cantidad]]*VENTAS[[#This Row],[Precio Venta]]</f>
        <v>30</v>
      </c>
      <c r="J1025" s="14">
        <f>IF(VENTAS[[#This Row],[Nombre del Gestor]]&gt;1,VENTAS[[#This Row],[Total]]*10%,0)</f>
        <v>3</v>
      </c>
      <c r="K1025" s="14">
        <f>IFERROR(VLOOKUP(VENTAS[[#This Row],[Código del producto Vendido]],STOCK[],16,FALSE)*VENTAS[[#This Row],[Cantidad]]+VLOOKUP(VENTAS[[#This Row],[Código del producto Vendido]],STOCK[],19,FALSE)*VENTAS[[#This Row],[Cantidad]],VENTAS[[#This Row],[Total]])</f>
        <v>15.09</v>
      </c>
      <c r="L1025" s="14">
        <f>VENTAS[[#This Row],[Total]]-VENTAS[[#This Row],[Comisión 10%]]-VENTAS[[#This Row],[Costo SIN Comision]]</f>
        <v>11.91</v>
      </c>
      <c r="M1025" s="14"/>
    </row>
    <row r="1026" ht="20" hidden="1" customHeight="1" spans="1:13">
      <c r="A1026" s="10">
        <v>45479</v>
      </c>
      <c r="B1026" s="11"/>
      <c r="C1026" s="11"/>
      <c r="D1026" s="11" t="s">
        <v>4241</v>
      </c>
      <c r="E1026" s="11" t="s">
        <v>1130</v>
      </c>
      <c r="F1026" s="11" t="str">
        <f>IFERROR(VLOOKUP(VENTAS[[#This Row],[Código del producto Vendido]],STOCK[],5,FALSE),"-")</f>
        <v>Maxi vestido floreado con abertura</v>
      </c>
      <c r="G1026" s="11">
        <v>1</v>
      </c>
      <c r="H1026" s="14">
        <v>35</v>
      </c>
      <c r="I1026" s="14">
        <f>VENTAS[[#This Row],[Cantidad]]*VENTAS[[#This Row],[Precio Venta]]</f>
        <v>35</v>
      </c>
      <c r="J1026" s="14">
        <f>IF(VENTAS[[#This Row],[Nombre del Gestor]]&gt;1,VENTAS[[#This Row],[Total]]*10%,0)</f>
        <v>3.5</v>
      </c>
      <c r="K1026" s="14">
        <f>IFERROR(VLOOKUP(VENTAS[[#This Row],[Código del producto Vendido]],STOCK[],16,FALSE)*VENTAS[[#This Row],[Cantidad]]+VLOOKUP(VENTAS[[#This Row],[Código del producto Vendido]],STOCK[],19,FALSE)*VENTAS[[#This Row],[Cantidad]],VENTAS[[#This Row],[Total]])</f>
        <v>23.6544117647059</v>
      </c>
      <c r="L1026" s="14">
        <f>VENTAS[[#This Row],[Total]]-VENTAS[[#This Row],[Comisión 10%]]-VENTAS[[#This Row],[Costo SIN Comision]]</f>
        <v>7.8455882352941</v>
      </c>
      <c r="M1026" s="14"/>
    </row>
    <row r="1027" ht="20" hidden="1" customHeight="1" spans="1:13">
      <c r="A1027" s="10">
        <v>45476</v>
      </c>
      <c r="B1027" s="11"/>
      <c r="C1027" s="11"/>
      <c r="D1027" s="11" t="s">
        <v>4266</v>
      </c>
      <c r="E1027" s="11" t="s">
        <v>1107</v>
      </c>
      <c r="F1027" s="11" t="str">
        <f>IFERROR(VLOOKUP(VENTAS[[#This Row],[Código del producto Vendido]],STOCK[],5,FALSE),"-")</f>
        <v>Jumpsuit Palazzo Oliva</v>
      </c>
      <c r="G1027" s="11">
        <v>1</v>
      </c>
      <c r="H1027" s="14">
        <v>28</v>
      </c>
      <c r="I1027" s="14">
        <f>VENTAS[[#This Row],[Cantidad]]*VENTAS[[#This Row],[Precio Venta]]</f>
        <v>28</v>
      </c>
      <c r="J1027" s="14">
        <f>IF(VENTAS[[#This Row],[Nombre del Gestor]]&gt;1,VENTAS[[#This Row],[Total]]*10%,0)</f>
        <v>2.8</v>
      </c>
      <c r="K1027" s="14">
        <f>IFERROR(VLOOKUP(VENTAS[[#This Row],[Código del producto Vendido]],STOCK[],16,FALSE)*VENTAS[[#This Row],[Cantidad]]+VLOOKUP(VENTAS[[#This Row],[Código del producto Vendido]],STOCK[],19,FALSE)*VENTAS[[#This Row],[Cantidad]],VENTAS[[#This Row],[Total]])</f>
        <v>18.4279411764706</v>
      </c>
      <c r="L1027" s="14">
        <f>VENTAS[[#This Row],[Total]]-VENTAS[[#This Row],[Comisión 10%]]-VENTAS[[#This Row],[Costo SIN Comision]]</f>
        <v>6.7720588235294</v>
      </c>
      <c r="M1027" s="14"/>
    </row>
    <row r="1028" ht="20" hidden="1" customHeight="1" spans="1:13">
      <c r="A1028" s="10">
        <v>45479</v>
      </c>
      <c r="B1028" s="11"/>
      <c r="C1028" s="11"/>
      <c r="D1028" s="11" t="s">
        <v>4241</v>
      </c>
      <c r="E1028" s="11" t="s">
        <v>717</v>
      </c>
      <c r="F1028" s="11" t="str">
        <f>IFERROR(VLOOKUP(VENTAS[[#This Row],[Código del producto Vendido]],STOCK[],5,FALSE),"-")</f>
        <v>Vestido con cordón de ajuste H&amp;M</v>
      </c>
      <c r="G1028" s="11">
        <v>1</v>
      </c>
      <c r="H1028" s="14">
        <v>19</v>
      </c>
      <c r="I1028" s="14">
        <f>VENTAS[[#This Row],[Cantidad]]*VENTAS[[#This Row],[Precio Venta]]</f>
        <v>19</v>
      </c>
      <c r="J1028" s="14">
        <f>IF(VENTAS[[#This Row],[Nombre del Gestor]]&gt;1,VENTAS[[#This Row],[Total]]*10%,0)</f>
        <v>1.9</v>
      </c>
      <c r="K1028" s="14">
        <f>IFERROR(VLOOKUP(VENTAS[[#This Row],[Código del producto Vendido]],STOCK[],16,FALSE)*VENTAS[[#This Row],[Cantidad]]+VLOOKUP(VENTAS[[#This Row],[Código del producto Vendido]],STOCK[],19,FALSE)*VENTAS[[#This Row],[Cantidad]],VENTAS[[#This Row],[Total]])</f>
        <v>12.9444444444444</v>
      </c>
      <c r="L1028" s="14">
        <f>VENTAS[[#This Row],[Total]]-VENTAS[[#This Row],[Comisión 10%]]-VENTAS[[#This Row],[Costo SIN Comision]]</f>
        <v>4.15555555555556</v>
      </c>
      <c r="M1028" s="14"/>
    </row>
    <row r="1029" ht="20" hidden="1" customHeight="1" spans="1:13">
      <c r="A1029" s="10">
        <v>45482</v>
      </c>
      <c r="B1029" s="11"/>
      <c r="C1029" s="11"/>
      <c r="D1029" s="11" t="s">
        <v>4270</v>
      </c>
      <c r="E1029" s="11" t="s">
        <v>342</v>
      </c>
      <c r="F1029" s="11" t="str">
        <f>IFERROR(VLOOKUP(VENTAS[[#This Row],[Código del producto Vendido]],STOCK[],5,FALSE),"-")</f>
        <v> Body de encaje</v>
      </c>
      <c r="G1029" s="11">
        <v>1</v>
      </c>
      <c r="H1029" s="14">
        <v>8</v>
      </c>
      <c r="I1029" s="14">
        <f>VENTAS[[#This Row],[Cantidad]]*VENTAS[[#This Row],[Precio Venta]]</f>
        <v>8</v>
      </c>
      <c r="J1029" s="14">
        <f>IF(VENTAS[[#This Row],[Nombre del Gestor]]&gt;1,VENTAS[[#This Row],[Total]]*10%,0)</f>
        <v>0.8</v>
      </c>
      <c r="K1029" s="14">
        <f>IFERROR(VLOOKUP(VENTAS[[#This Row],[Código del producto Vendido]],STOCK[],16,FALSE)*VENTAS[[#This Row],[Cantidad]]+VLOOKUP(VENTAS[[#This Row],[Código del producto Vendido]],STOCK[],19,FALSE)*VENTAS[[#This Row],[Cantidad]],VENTAS[[#This Row],[Total]])</f>
        <v>4.76666666666667</v>
      </c>
      <c r="L1029" s="14">
        <f>VENTAS[[#This Row],[Total]]-VENTAS[[#This Row],[Comisión 10%]]-VENTAS[[#This Row],[Costo SIN Comision]]</f>
        <v>2.43333333333333</v>
      </c>
      <c r="M1029" s="14"/>
    </row>
    <row r="1030" ht="20" hidden="1" customHeight="1" spans="1:13">
      <c r="A1030" s="10">
        <v>45479</v>
      </c>
      <c r="B1030" s="11"/>
      <c r="C1030" s="11"/>
      <c r="D1030" s="11" t="s">
        <v>4241</v>
      </c>
      <c r="E1030" s="11" t="s">
        <v>312</v>
      </c>
      <c r="F1030" s="11" t="str">
        <f>IFERROR(VLOOKUP(VENTAS[[#This Row],[Código del producto Vendido]],STOCK[],5,FALSE),"-")</f>
        <v>Vestido ajustado de titrantes finos</v>
      </c>
      <c r="G1030" s="11">
        <v>1</v>
      </c>
      <c r="H1030" s="14">
        <v>22</v>
      </c>
      <c r="I1030" s="14">
        <f>VENTAS[[#This Row],[Cantidad]]*VENTAS[[#This Row],[Precio Venta]]</f>
        <v>22</v>
      </c>
      <c r="J1030" s="14">
        <f>IF(VENTAS[[#This Row],[Nombre del Gestor]]&gt;1,VENTAS[[#This Row],[Total]]*10%,0)</f>
        <v>2.2</v>
      </c>
      <c r="K1030" s="14">
        <f>IFERROR(VLOOKUP(VENTAS[[#This Row],[Código del producto Vendido]],STOCK[],16,FALSE)*VENTAS[[#This Row],[Cantidad]]+VLOOKUP(VENTAS[[#This Row],[Código del producto Vendido]],STOCK[],19,FALSE)*VENTAS[[#This Row],[Cantidad]],VENTAS[[#This Row],[Total]])</f>
        <v>13.1111111111111</v>
      </c>
      <c r="L1030" s="14">
        <f>VENTAS[[#This Row],[Total]]-VENTAS[[#This Row],[Comisión 10%]]-VENTAS[[#This Row],[Costo SIN Comision]]</f>
        <v>6.6888888888889</v>
      </c>
      <c r="M1030" s="14"/>
    </row>
    <row r="1031" ht="20" hidden="1" customHeight="1" spans="1:13">
      <c r="A1031" s="10">
        <v>45479</v>
      </c>
      <c r="B1031" s="11"/>
      <c r="C1031" s="11"/>
      <c r="D1031" s="11" t="s">
        <v>4241</v>
      </c>
      <c r="E1031" s="11" t="s">
        <v>1853</v>
      </c>
      <c r="F1031" s="11" t="str">
        <f>IFERROR(VLOOKUP(VENTAS[[#This Row],[Código del producto Vendido]],STOCK[],5,FALSE),"-")</f>
        <v>Crossbody Bag Negro Lacado</v>
      </c>
      <c r="G1031" s="11">
        <v>1</v>
      </c>
      <c r="H1031" s="14">
        <v>20</v>
      </c>
      <c r="I1031" s="14">
        <f>VENTAS[[#This Row],[Cantidad]]*VENTAS[[#This Row],[Precio Venta]]</f>
        <v>20</v>
      </c>
      <c r="J1031" s="14">
        <f>IF(VENTAS[[#This Row],[Nombre del Gestor]]&gt;1,VENTAS[[#This Row],[Total]]*10%,0)</f>
        <v>2</v>
      </c>
      <c r="K1031" s="14">
        <f>IFERROR(VLOOKUP(VENTAS[[#This Row],[Código del producto Vendido]],STOCK[],16,FALSE)*VENTAS[[#This Row],[Cantidad]]+VLOOKUP(VENTAS[[#This Row],[Código del producto Vendido]],STOCK[],19,FALSE)*VENTAS[[#This Row],[Cantidad]],VENTAS[[#This Row],[Total]])</f>
        <v>10.79</v>
      </c>
      <c r="L1031" s="14">
        <f>VENTAS[[#This Row],[Total]]-VENTAS[[#This Row],[Comisión 10%]]-VENTAS[[#This Row],[Costo SIN Comision]]</f>
        <v>7.21</v>
      </c>
      <c r="M1031" s="14"/>
    </row>
    <row r="1032" ht="20" hidden="1" customHeight="1" spans="1:13">
      <c r="A1032" s="10">
        <v>45478</v>
      </c>
      <c r="B1032" s="11"/>
      <c r="C1032" s="11"/>
      <c r="D1032" s="11" t="s">
        <v>4241</v>
      </c>
      <c r="E1032" s="11" t="s">
        <v>107</v>
      </c>
      <c r="F1032" s="11" t="str">
        <f>IFERROR(VLOOKUP(VENTAS[[#This Row],[Código del producto Vendido]],STOCK[],5,FALSE),"-")</f>
        <v>Bikini elegante con herrajes color negro</v>
      </c>
      <c r="G1032" s="11">
        <v>1</v>
      </c>
      <c r="H1032" s="14">
        <v>18</v>
      </c>
      <c r="I1032" s="14">
        <f>VENTAS[[#This Row],[Cantidad]]*VENTAS[[#This Row],[Precio Venta]]</f>
        <v>18</v>
      </c>
      <c r="J1032" s="14">
        <f>IF(VENTAS[[#This Row],[Nombre del Gestor]]&gt;1,VENTAS[[#This Row],[Total]]*10%,0)</f>
        <v>1.8</v>
      </c>
      <c r="K1032" s="14">
        <f>IFERROR(VLOOKUP(VENTAS[[#This Row],[Código del producto Vendido]],STOCK[],16,FALSE)*VENTAS[[#This Row],[Cantidad]]+VLOOKUP(VENTAS[[#This Row],[Código del producto Vendido]],STOCK[],19,FALSE)*VENTAS[[#This Row],[Cantidad]],VENTAS[[#This Row],[Total]])</f>
        <v>12.4194444444444</v>
      </c>
      <c r="L1032" s="14">
        <f>VENTAS[[#This Row],[Total]]-VENTAS[[#This Row],[Comisión 10%]]-VENTAS[[#This Row],[Costo SIN Comision]]</f>
        <v>3.78055555555556</v>
      </c>
      <c r="M1032" s="14"/>
    </row>
    <row r="1033" ht="20" hidden="1" customHeight="1" spans="1:13">
      <c r="A1033" s="10">
        <v>45477</v>
      </c>
      <c r="B1033" s="11"/>
      <c r="C1033" s="11"/>
      <c r="D1033" s="11" t="s">
        <v>4241</v>
      </c>
      <c r="E1033" s="11" t="s">
        <v>784</v>
      </c>
      <c r="F1033" s="11" t="str">
        <f>IFERROR(VLOOKUP(VENTAS[[#This Row],[Código del producto Vendido]],STOCK[],5,FALSE),"-")</f>
        <v>Top Negro en tela de algodón</v>
      </c>
      <c r="G1033" s="11">
        <v>1</v>
      </c>
      <c r="H1033" s="14">
        <v>10</v>
      </c>
      <c r="I1033" s="14">
        <f>VENTAS[[#This Row],[Cantidad]]*VENTAS[[#This Row],[Precio Venta]]</f>
        <v>10</v>
      </c>
      <c r="J1033" s="14">
        <f>IF(VENTAS[[#This Row],[Nombre del Gestor]]&gt;1,VENTAS[[#This Row],[Total]]*10%,0)</f>
        <v>1</v>
      </c>
      <c r="K1033" s="14">
        <f>IFERROR(VLOOKUP(VENTAS[[#This Row],[Código del producto Vendido]],STOCK[],16,FALSE)*VENTAS[[#This Row],[Cantidad]]+VLOOKUP(VENTAS[[#This Row],[Código del producto Vendido]],STOCK[],19,FALSE)*VENTAS[[#This Row],[Cantidad]],VENTAS[[#This Row],[Total]])</f>
        <v>6.05555555555556</v>
      </c>
      <c r="L1033" s="14">
        <f>VENTAS[[#This Row],[Total]]-VENTAS[[#This Row],[Comisión 10%]]-VENTAS[[#This Row],[Costo SIN Comision]]</f>
        <v>2.94444444444444</v>
      </c>
      <c r="M1033" s="14"/>
    </row>
    <row r="1034" ht="20" hidden="1" customHeight="1" spans="1:13">
      <c r="A1034" s="10">
        <v>45477</v>
      </c>
      <c r="B1034" s="11"/>
      <c r="C1034" s="11"/>
      <c r="D1034" s="11" t="s">
        <v>4241</v>
      </c>
      <c r="E1034" s="11" t="s">
        <v>1409</v>
      </c>
      <c r="F1034" s="11" t="str">
        <f>IFERROR(VLOOKUP(VENTAS[[#This Row],[Código del producto Vendido]],STOCK[],5,FALSE),"-")</f>
        <v>Pantaloneta con abertura y bolsillos</v>
      </c>
      <c r="G1034" s="11">
        <v>1</v>
      </c>
      <c r="H1034" s="14">
        <v>23</v>
      </c>
      <c r="I1034" s="14">
        <f>VENTAS[[#This Row],[Cantidad]]*VENTAS[[#This Row],[Precio Venta]]</f>
        <v>23</v>
      </c>
      <c r="J1034" s="14">
        <f>IF(VENTAS[[#This Row],[Nombre del Gestor]]&gt;1,VENTAS[[#This Row],[Total]]*10%,0)</f>
        <v>2.3</v>
      </c>
      <c r="K1034" s="14">
        <f>IFERROR(VLOOKUP(VENTAS[[#This Row],[Código del producto Vendido]],STOCK[],16,FALSE)*VENTAS[[#This Row],[Cantidad]]+VLOOKUP(VENTAS[[#This Row],[Código del producto Vendido]],STOCK[],19,FALSE)*VENTAS[[#This Row],[Cantidad]],VENTAS[[#This Row],[Total]])</f>
        <v>14.22</v>
      </c>
      <c r="L1034" s="14">
        <f>VENTAS[[#This Row],[Total]]-VENTAS[[#This Row],[Comisión 10%]]-VENTAS[[#This Row],[Costo SIN Comision]]</f>
        <v>6.48</v>
      </c>
      <c r="M1034" s="14"/>
    </row>
    <row r="1035" ht="20" hidden="1" customHeight="1" spans="1:13">
      <c r="A1035" s="10">
        <v>45477</v>
      </c>
      <c r="B1035" s="11"/>
      <c r="C1035" s="11"/>
      <c r="D1035" s="11" t="s">
        <v>4241</v>
      </c>
      <c r="E1035" s="11" t="s">
        <v>2390</v>
      </c>
      <c r="F1035" s="11" t="str">
        <f>IFERROR(VLOOKUP(VENTAS[[#This Row],[Código del producto Vendido]],STOCK[],5,FALSE),"-")</f>
        <v>Pullover Dazy cuello redondo Blanco</v>
      </c>
      <c r="G1035" s="11">
        <v>1</v>
      </c>
      <c r="H1035" s="14">
        <v>13</v>
      </c>
      <c r="I1035" s="14">
        <f>VENTAS[[#This Row],[Cantidad]]*VENTAS[[#This Row],[Precio Venta]]</f>
        <v>13</v>
      </c>
      <c r="J1035" s="14">
        <f>IF(VENTAS[[#This Row],[Nombre del Gestor]]&gt;1,VENTAS[[#This Row],[Total]]*10%,0)</f>
        <v>1.3</v>
      </c>
      <c r="K1035" s="14">
        <f>IFERROR(VLOOKUP(VENTAS[[#This Row],[Código del producto Vendido]],STOCK[],16,FALSE)*VENTAS[[#This Row],[Cantidad]]+VLOOKUP(VENTAS[[#This Row],[Código del producto Vendido]],STOCK[],19,FALSE)*VENTAS[[#This Row],[Cantidad]],VENTAS[[#This Row],[Total]])</f>
        <v>8.61</v>
      </c>
      <c r="L1035" s="14">
        <f>VENTAS[[#This Row],[Total]]-VENTAS[[#This Row],[Comisión 10%]]-VENTAS[[#This Row],[Costo SIN Comision]]</f>
        <v>3.09</v>
      </c>
      <c r="M1035" s="14"/>
    </row>
    <row r="1036" ht="20" hidden="1" customHeight="1" spans="1:13">
      <c r="A1036" s="10">
        <v>45477</v>
      </c>
      <c r="B1036" s="11"/>
      <c r="C1036" s="11"/>
      <c r="D1036" s="11" t="s">
        <v>4241</v>
      </c>
      <c r="E1036" s="11" t="s">
        <v>1176</v>
      </c>
      <c r="F1036" s="11" t="str">
        <f>IFERROR(VLOOKUP(VENTAS[[#This Row],[Código del producto Vendido]],STOCK[],5,FALSE),"-")</f>
        <v>Vestido camisero con estampado y cinturón </v>
      </c>
      <c r="G1036" s="11">
        <v>1</v>
      </c>
      <c r="H1036" s="14">
        <v>28</v>
      </c>
      <c r="I1036" s="14">
        <f>VENTAS[[#This Row],[Cantidad]]*VENTAS[[#This Row],[Precio Venta]]</f>
        <v>28</v>
      </c>
      <c r="J1036" s="14">
        <f>IF(VENTAS[[#This Row],[Nombre del Gestor]]&gt;1,VENTAS[[#This Row],[Total]]*10%,0)</f>
        <v>2.8</v>
      </c>
      <c r="K1036" s="14">
        <f>IFERROR(VLOOKUP(VENTAS[[#This Row],[Código del producto Vendido]],STOCK[],16,FALSE)*VENTAS[[#This Row],[Cantidad]]+VLOOKUP(VENTAS[[#This Row],[Código del producto Vendido]],STOCK[],19,FALSE)*VENTAS[[#This Row],[Cantidad]],VENTAS[[#This Row],[Total]])</f>
        <v>17.65</v>
      </c>
      <c r="L1036" s="14">
        <f>VENTAS[[#This Row],[Total]]-VENTAS[[#This Row],[Comisión 10%]]-VENTAS[[#This Row],[Costo SIN Comision]]</f>
        <v>7.55</v>
      </c>
      <c r="M1036" s="14"/>
    </row>
    <row r="1037" ht="20" hidden="1" customHeight="1" spans="1:13">
      <c r="A1037" s="10">
        <v>45476</v>
      </c>
      <c r="B1037" s="11"/>
      <c r="C1037" s="11"/>
      <c r="D1037" s="11" t="s">
        <v>4241</v>
      </c>
      <c r="E1037" s="11" t="s">
        <v>2390</v>
      </c>
      <c r="F1037" s="11" t="str">
        <f>IFERROR(VLOOKUP(VENTAS[[#This Row],[Código del producto Vendido]],STOCK[],5,FALSE),"-")</f>
        <v>Pullover Dazy cuello redondo Blanco</v>
      </c>
      <c r="G1037" s="11">
        <v>1</v>
      </c>
      <c r="H1037" s="14">
        <v>13</v>
      </c>
      <c r="I1037" s="14">
        <f>VENTAS[[#This Row],[Cantidad]]*VENTAS[[#This Row],[Precio Venta]]</f>
        <v>13</v>
      </c>
      <c r="J1037" s="14">
        <f>IF(VENTAS[[#This Row],[Nombre del Gestor]]&gt;1,VENTAS[[#This Row],[Total]]*10%,0)</f>
        <v>1.3</v>
      </c>
      <c r="K1037" s="14">
        <f>IFERROR(VLOOKUP(VENTAS[[#This Row],[Código del producto Vendido]],STOCK[],16,FALSE)*VENTAS[[#This Row],[Cantidad]]+VLOOKUP(VENTAS[[#This Row],[Código del producto Vendido]],STOCK[],19,FALSE)*VENTAS[[#This Row],[Cantidad]],VENTAS[[#This Row],[Total]])</f>
        <v>8.61</v>
      </c>
      <c r="L1037" s="14">
        <f>VENTAS[[#This Row],[Total]]-VENTAS[[#This Row],[Comisión 10%]]-VENTAS[[#This Row],[Costo SIN Comision]]</f>
        <v>3.09</v>
      </c>
      <c r="M1037" s="14"/>
    </row>
    <row r="1038" ht="20" hidden="1" customHeight="1" spans="1:13">
      <c r="A1038" s="10">
        <v>45476</v>
      </c>
      <c r="B1038" s="11"/>
      <c r="C1038" s="11"/>
      <c r="D1038" s="11" t="s">
        <v>4241</v>
      </c>
      <c r="E1038" s="11" t="s">
        <v>1218</v>
      </c>
      <c r="F1038" s="11" t="str">
        <f>IFERROR(VLOOKUP(VENTAS[[#This Row],[Código del producto Vendido]],STOCK[],5,FALSE),"-")</f>
        <v>Pullover negro cuello redondo</v>
      </c>
      <c r="G1038" s="11">
        <v>1</v>
      </c>
      <c r="H1038" s="14">
        <v>13</v>
      </c>
      <c r="I1038" s="14">
        <f>VENTAS[[#This Row],[Cantidad]]*VENTAS[[#This Row],[Precio Venta]]</f>
        <v>13</v>
      </c>
      <c r="J1038" s="14">
        <f>IF(VENTAS[[#This Row],[Nombre del Gestor]]&gt;1,VENTAS[[#This Row],[Total]]*10%,0)</f>
        <v>1.3</v>
      </c>
      <c r="K1038" s="14">
        <f>IFERROR(VLOOKUP(VENTAS[[#This Row],[Código del producto Vendido]],STOCK[],16,FALSE)*VENTAS[[#This Row],[Cantidad]]+VLOOKUP(VENTAS[[#This Row],[Código del producto Vendido]],STOCK[],19,FALSE)*VENTAS[[#This Row],[Cantidad]],VENTAS[[#This Row],[Total]])</f>
        <v>8.53</v>
      </c>
      <c r="L1038" s="14">
        <f>VENTAS[[#This Row],[Total]]-VENTAS[[#This Row],[Comisión 10%]]-VENTAS[[#This Row],[Costo SIN Comision]]</f>
        <v>3.17</v>
      </c>
      <c r="M1038" s="14"/>
    </row>
    <row r="1039" ht="20" hidden="1" customHeight="1" spans="1:13">
      <c r="A1039" s="10">
        <v>45476</v>
      </c>
      <c r="B1039" s="11"/>
      <c r="C1039" s="11"/>
      <c r="D1039" s="11" t="s">
        <v>4241</v>
      </c>
      <c r="E1039" s="11" t="s">
        <v>2141</v>
      </c>
      <c r="F1039" s="11" t="str">
        <f>IFERROR(VLOOKUP(VENTAS[[#This Row],[Código del producto Vendido]],STOCK[],5,FALSE),"-")</f>
        <v>Falda Bohemia de mezclilla de cintura alta con detalles de botón</v>
      </c>
      <c r="G1039" s="11">
        <v>1</v>
      </c>
      <c r="H1039" s="14">
        <v>30</v>
      </c>
      <c r="I1039" s="14">
        <f>VENTAS[[#This Row],[Cantidad]]*VENTAS[[#This Row],[Precio Venta]]</f>
        <v>30</v>
      </c>
      <c r="J1039" s="14">
        <f>IF(VENTAS[[#This Row],[Nombre del Gestor]]&gt;1,VENTAS[[#This Row],[Total]]*10%,0)</f>
        <v>3</v>
      </c>
      <c r="K1039" s="14">
        <f>IFERROR(VLOOKUP(VENTAS[[#This Row],[Código del producto Vendido]],STOCK[],16,FALSE)*VENTAS[[#This Row],[Cantidad]]+VLOOKUP(VENTAS[[#This Row],[Código del producto Vendido]],STOCK[],19,FALSE)*VENTAS[[#This Row],[Cantidad]],VENTAS[[#This Row],[Total]])</f>
        <v>7.05</v>
      </c>
      <c r="L1039" s="14">
        <f>VENTAS[[#This Row],[Total]]-VENTAS[[#This Row],[Comisión 10%]]-VENTAS[[#This Row],[Costo SIN Comision]]</f>
        <v>19.95</v>
      </c>
      <c r="M1039" s="14"/>
    </row>
    <row r="1040" ht="20" hidden="1" customHeight="1" spans="1:13">
      <c r="A1040" s="10">
        <v>45476</v>
      </c>
      <c r="B1040" s="11"/>
      <c r="C1040" s="11" t="s">
        <v>4082</v>
      </c>
      <c r="D1040" s="11" t="s">
        <v>4266</v>
      </c>
      <c r="E1040" s="11" t="s">
        <v>1688</v>
      </c>
      <c r="F1040" s="11" t="str">
        <f>IFERROR(VLOOKUP(VENTAS[[#This Row],[Código del producto Vendido]],STOCK[],5,FALSE),"-")</f>
        <v>Mono elegante con mangas de vuelo</v>
      </c>
      <c r="G1040" s="11">
        <v>1</v>
      </c>
      <c r="H1040" s="14">
        <v>30</v>
      </c>
      <c r="I1040" s="14">
        <f>VENTAS[[#This Row],[Cantidad]]*VENTAS[[#This Row],[Precio Venta]]</f>
        <v>30</v>
      </c>
      <c r="J1040" s="14">
        <f>IF(VENTAS[[#This Row],[Nombre del Gestor]]&gt;1,VENTAS[[#This Row],[Total]]*10%,0)</f>
        <v>3</v>
      </c>
      <c r="K1040" s="14">
        <f>IFERROR(VLOOKUP(VENTAS[[#This Row],[Código del producto Vendido]],STOCK[],16,FALSE)*VENTAS[[#This Row],[Cantidad]]+VLOOKUP(VENTAS[[#This Row],[Código del producto Vendido]],STOCK[],19,FALSE)*VENTAS[[#This Row],[Cantidad]],VENTAS[[#This Row],[Total]])</f>
        <v>17.8</v>
      </c>
      <c r="L1040" s="14">
        <f>VENTAS[[#This Row],[Total]]-VENTAS[[#This Row],[Comisión 10%]]-VENTAS[[#This Row],[Costo SIN Comision]]</f>
        <v>9.2</v>
      </c>
      <c r="M1040" s="14"/>
    </row>
    <row r="1041" ht="20" hidden="1" customHeight="1" spans="1:13">
      <c r="A1041" s="10">
        <v>45476</v>
      </c>
      <c r="B1041" s="11"/>
      <c r="C1041" s="11" t="s">
        <v>4292</v>
      </c>
      <c r="D1041" s="11" t="s">
        <v>4266</v>
      </c>
      <c r="E1041" s="11" t="s">
        <v>1792</v>
      </c>
      <c r="F1041" s="11" t="str">
        <f>IFERROR(VLOOKUP(VENTAS[[#This Row],[Código del producto Vendido]],STOCK[],5,FALSE),"-")</f>
        <v>Cinturón básico grueso Camel</v>
      </c>
      <c r="G1041" s="11">
        <v>1</v>
      </c>
      <c r="H1041" s="14">
        <v>10</v>
      </c>
      <c r="I1041" s="14">
        <f>VENTAS[[#This Row],[Cantidad]]*VENTAS[[#This Row],[Precio Venta]]</f>
        <v>10</v>
      </c>
      <c r="J1041" s="14">
        <f>IF(VENTAS[[#This Row],[Nombre del Gestor]]&gt;1,VENTAS[[#This Row],[Total]]*10%,0)</f>
        <v>1</v>
      </c>
      <c r="K1041" s="14">
        <f>IFERROR(VLOOKUP(VENTAS[[#This Row],[Código del producto Vendido]],STOCK[],16,FALSE)*VENTAS[[#This Row],[Cantidad]]+VLOOKUP(VENTAS[[#This Row],[Código del producto Vendido]],STOCK[],19,FALSE)*VENTAS[[#This Row],[Cantidad]],VENTAS[[#This Row],[Total]])</f>
        <v>3.76470588235294</v>
      </c>
      <c r="L1041" s="14">
        <f>VENTAS[[#This Row],[Total]]-VENTAS[[#This Row],[Comisión 10%]]-VENTAS[[#This Row],[Costo SIN Comision]]</f>
        <v>5.23529411764706</v>
      </c>
      <c r="M1041" s="14"/>
    </row>
    <row r="1042" ht="20" hidden="1" customHeight="1" spans="1:13">
      <c r="A1042" s="10">
        <v>45480</v>
      </c>
      <c r="B1042" s="11"/>
      <c r="C1042" s="11"/>
      <c r="D1042" s="11" t="s">
        <v>4241</v>
      </c>
      <c r="E1042" s="11" t="s">
        <v>1320</v>
      </c>
      <c r="F1042" s="11" t="str">
        <f>IFERROR(VLOOKUP(VENTAS[[#This Row],[Código del producto Vendido]],STOCK[],5,FALSE),"-")</f>
        <v>Blazer Carmelita oscuro (hacer foto)</v>
      </c>
      <c r="G1042" s="11">
        <v>1</v>
      </c>
      <c r="H1042" s="14">
        <v>40</v>
      </c>
      <c r="I1042" s="14">
        <f>VENTAS[[#This Row],[Cantidad]]*VENTAS[[#This Row],[Precio Venta]]</f>
        <v>40</v>
      </c>
      <c r="J1042" s="14">
        <f>IF(VENTAS[[#This Row],[Nombre del Gestor]]&gt;1,VENTAS[[#This Row],[Total]]*10%,0)</f>
        <v>4</v>
      </c>
      <c r="K1042" s="14">
        <f>IFERROR(VLOOKUP(VENTAS[[#This Row],[Código del producto Vendido]],STOCK[],16,FALSE)*VENTAS[[#This Row],[Cantidad]]+VLOOKUP(VENTAS[[#This Row],[Código del producto Vendido]],STOCK[],19,FALSE)*VENTAS[[#This Row],[Cantidad]],VENTAS[[#This Row],[Total]])</f>
        <v>24.75</v>
      </c>
      <c r="L1042" s="14">
        <f>VENTAS[[#This Row],[Total]]-VENTAS[[#This Row],[Comisión 10%]]-VENTAS[[#This Row],[Costo SIN Comision]]</f>
        <v>11.25</v>
      </c>
      <c r="M1042" s="14"/>
    </row>
    <row r="1043" ht="20" hidden="1" customHeight="1" spans="1:13">
      <c r="A1043" s="10">
        <v>45480</v>
      </c>
      <c r="B1043" s="11"/>
      <c r="C1043" s="11"/>
      <c r="D1043" s="11" t="s">
        <v>4241</v>
      </c>
      <c r="E1043" s="11" t="s">
        <v>1869</v>
      </c>
      <c r="F1043" s="11" t="str">
        <f>IFERROR(VLOOKUP(VENTAS[[#This Row],[Código del producto Vendido]],STOCK[],5,FALSE),"-")</f>
        <v>Blazer entallado</v>
      </c>
      <c r="G1043" s="11">
        <v>1</v>
      </c>
      <c r="H1043" s="14">
        <v>40</v>
      </c>
      <c r="I1043" s="14">
        <f>VENTAS[[#This Row],[Cantidad]]*VENTAS[[#This Row],[Precio Venta]]</f>
        <v>40</v>
      </c>
      <c r="J1043" s="14">
        <f>IF(VENTAS[[#This Row],[Nombre del Gestor]]&gt;1,VENTAS[[#This Row],[Total]]*10%,0)</f>
        <v>4</v>
      </c>
      <c r="K1043" s="14">
        <f>IFERROR(VLOOKUP(VENTAS[[#This Row],[Código del producto Vendido]],STOCK[],16,FALSE)*VENTAS[[#This Row],[Cantidad]]+VLOOKUP(VENTAS[[#This Row],[Código del producto Vendido]],STOCK[],19,FALSE)*VENTAS[[#This Row],[Cantidad]],VENTAS[[#This Row],[Total]])</f>
        <v>24.29</v>
      </c>
      <c r="L1043" s="14">
        <f>VENTAS[[#This Row],[Total]]-VENTAS[[#This Row],[Comisión 10%]]-VENTAS[[#This Row],[Costo SIN Comision]]</f>
        <v>11.71</v>
      </c>
      <c r="M1043" s="14"/>
    </row>
    <row r="1044" ht="20" hidden="1" customHeight="1" spans="1:13">
      <c r="A1044" s="10">
        <v>45480</v>
      </c>
      <c r="B1044" s="11"/>
      <c r="C1044" s="11"/>
      <c r="D1044" s="11" t="s">
        <v>4241</v>
      </c>
      <c r="E1044" s="11" t="s">
        <v>627</v>
      </c>
      <c r="F1044" s="11" t="str">
        <f>IFERROR(VLOOKUP(VENTAS[[#This Row],[Código del producto Vendido]],STOCK[],5,FALSE),"-")</f>
        <v>Vestido vaporoso</v>
      </c>
      <c r="G1044" s="11">
        <v>1</v>
      </c>
      <c r="H1044" s="14">
        <v>17</v>
      </c>
      <c r="I1044" s="14">
        <f>VENTAS[[#This Row],[Cantidad]]*VENTAS[[#This Row],[Precio Venta]]</f>
        <v>17</v>
      </c>
      <c r="J1044" s="14">
        <f>IF(VENTAS[[#This Row],[Nombre del Gestor]]&gt;1,VENTAS[[#This Row],[Total]]*10%,0)</f>
        <v>1.7</v>
      </c>
      <c r="K1044" s="14">
        <f>IFERROR(VLOOKUP(VENTAS[[#This Row],[Código del producto Vendido]],STOCK[],16,FALSE)*VENTAS[[#This Row],[Cantidad]]+VLOOKUP(VENTAS[[#This Row],[Código del producto Vendido]],STOCK[],19,FALSE)*VENTAS[[#This Row],[Cantidad]],VENTAS[[#This Row],[Total]])</f>
        <v>10.7222222222222</v>
      </c>
      <c r="L1044" s="14">
        <f>VENTAS[[#This Row],[Total]]-VENTAS[[#This Row],[Comisión 10%]]-VENTAS[[#This Row],[Costo SIN Comision]]</f>
        <v>4.57777777777778</v>
      </c>
      <c r="M1044" s="14"/>
    </row>
    <row r="1045" ht="20" hidden="1" customHeight="1" spans="1:13">
      <c r="A1045" s="10">
        <v>45476</v>
      </c>
      <c r="B1045" s="11"/>
      <c r="C1045" s="11"/>
      <c r="D1045" s="11" t="s">
        <v>4266</v>
      </c>
      <c r="E1045" s="11" t="s">
        <v>2359</v>
      </c>
      <c r="F1045" s="11" t="str">
        <f>IFERROR(VLOOKUP(VENTAS[[#This Row],[Código del producto Vendido]],STOCK[],5,FALSE),"-")</f>
        <v>Espejuelos rectangulares unisex</v>
      </c>
      <c r="G1045" s="11">
        <v>1</v>
      </c>
      <c r="H1045" s="14">
        <v>10</v>
      </c>
      <c r="I1045" s="14">
        <f>VENTAS[[#This Row],[Cantidad]]*VENTAS[[#This Row],[Precio Venta]]</f>
        <v>10</v>
      </c>
      <c r="J1045" s="14">
        <f>IF(VENTAS[[#This Row],[Nombre del Gestor]]&gt;1,VENTAS[[#This Row],[Total]]*10%,0)</f>
        <v>1</v>
      </c>
      <c r="K1045" s="14">
        <f>IFERROR(VLOOKUP(VENTAS[[#This Row],[Código del producto Vendido]],STOCK[],16,FALSE)*VENTAS[[#This Row],[Cantidad]]+VLOOKUP(VENTAS[[#This Row],[Código del producto Vendido]],STOCK[],19,FALSE)*VENTAS[[#This Row],[Cantidad]],VENTAS[[#This Row],[Total]])</f>
        <v>6.33125</v>
      </c>
      <c r="L1045" s="14">
        <f>VENTAS[[#This Row],[Total]]-VENTAS[[#This Row],[Comisión 10%]]-VENTAS[[#This Row],[Costo SIN Comision]]</f>
        <v>2.66875</v>
      </c>
      <c r="M1045" s="14"/>
    </row>
    <row r="1046" ht="20" hidden="1" customHeight="1" spans="1:13">
      <c r="A1046" s="10">
        <v>45476</v>
      </c>
      <c r="B1046" s="11"/>
      <c r="C1046" s="11"/>
      <c r="D1046" s="11" t="s">
        <v>4266</v>
      </c>
      <c r="E1046" s="11" t="s">
        <v>202</v>
      </c>
      <c r="F1046" s="11" t="str">
        <f>IFERROR(VLOOKUP(VENTAS[[#This Row],[Código del producto Vendido]],STOCK[],5,FALSE),"-")</f>
        <v>Vestido moca ajustado</v>
      </c>
      <c r="G1046" s="11">
        <v>1</v>
      </c>
      <c r="H1046" s="14">
        <v>18</v>
      </c>
      <c r="I1046" s="14">
        <f>VENTAS[[#This Row],[Cantidad]]*VENTAS[[#This Row],[Precio Venta]]</f>
        <v>18</v>
      </c>
      <c r="J1046" s="14">
        <f>IF(VENTAS[[#This Row],[Nombre del Gestor]]&gt;1,VENTAS[[#This Row],[Total]]*10%,0)</f>
        <v>1.8</v>
      </c>
      <c r="K1046" s="14">
        <f>IFERROR(VLOOKUP(VENTAS[[#This Row],[Código del producto Vendido]],STOCK[],16,FALSE)*VENTAS[[#This Row],[Cantidad]]+VLOOKUP(VENTAS[[#This Row],[Código del producto Vendido]],STOCK[],19,FALSE)*VENTAS[[#This Row],[Cantidad]],VENTAS[[#This Row],[Total]])</f>
        <v>12.5155555555556</v>
      </c>
      <c r="L1046" s="14">
        <f>VENTAS[[#This Row],[Total]]-VENTAS[[#This Row],[Comisión 10%]]-VENTAS[[#This Row],[Costo SIN Comision]]</f>
        <v>3.6844444444444</v>
      </c>
      <c r="M1046" s="14"/>
    </row>
    <row r="1047" ht="20" hidden="1" customHeight="1" spans="1:13">
      <c r="A1047" s="10">
        <v>45479</v>
      </c>
      <c r="B1047" s="11"/>
      <c r="C1047" s="11"/>
      <c r="D1047" s="11" t="s">
        <v>4266</v>
      </c>
      <c r="E1047" s="11" t="s">
        <v>2368</v>
      </c>
      <c r="F1047" s="11" t="str">
        <f>IFERROR(VLOOKUP(VENTAS[[#This Row],[Código del producto Vendido]],STOCK[],5,FALSE),"-")</f>
        <v>Sombrero de protección Verano fashionista</v>
      </c>
      <c r="G1047" s="11">
        <v>1</v>
      </c>
      <c r="H1047" s="14">
        <v>15</v>
      </c>
      <c r="I1047" s="14">
        <f>VENTAS[[#This Row],[Cantidad]]*VENTAS[[#This Row],[Precio Venta]]</f>
        <v>15</v>
      </c>
      <c r="J1047" s="14">
        <f>IF(VENTAS[[#This Row],[Nombre del Gestor]]&gt;1,VENTAS[[#This Row],[Total]]*10%,0)</f>
        <v>1.5</v>
      </c>
      <c r="K1047" s="14">
        <f>IFERROR(VLOOKUP(VENTAS[[#This Row],[Código del producto Vendido]],STOCK[],16,FALSE)*VENTAS[[#This Row],[Cantidad]]+VLOOKUP(VENTAS[[#This Row],[Código del producto Vendido]],STOCK[],19,FALSE)*VENTAS[[#This Row],[Cantidad]],VENTAS[[#This Row],[Total]])</f>
        <v>8.551875</v>
      </c>
      <c r="L1047" s="14">
        <f>VENTAS[[#This Row],[Total]]-VENTAS[[#This Row],[Comisión 10%]]-VENTAS[[#This Row],[Costo SIN Comision]]</f>
        <v>4.948125</v>
      </c>
      <c r="M1047" s="14"/>
    </row>
    <row r="1048" ht="20" hidden="1" customHeight="1" spans="1:13">
      <c r="A1048" s="10">
        <v>45478</v>
      </c>
      <c r="B1048" s="11"/>
      <c r="C1048" s="11"/>
      <c r="D1048" s="11" t="s">
        <v>4270</v>
      </c>
      <c r="E1048" s="11" t="s">
        <v>1409</v>
      </c>
      <c r="F1048" s="11" t="str">
        <f>IFERROR(VLOOKUP(VENTAS[[#This Row],[Código del producto Vendido]],STOCK[],5,FALSE),"-")</f>
        <v>Pantaloneta con abertura y bolsillos</v>
      </c>
      <c r="G1048" s="11">
        <v>1</v>
      </c>
      <c r="H1048" s="14">
        <v>23</v>
      </c>
      <c r="I1048" s="14">
        <f>VENTAS[[#This Row],[Cantidad]]*VENTAS[[#This Row],[Precio Venta]]</f>
        <v>23</v>
      </c>
      <c r="J1048" s="14">
        <f>IF(VENTAS[[#This Row],[Nombre del Gestor]]&gt;1,VENTAS[[#This Row],[Total]]*10%,0)</f>
        <v>2.3</v>
      </c>
      <c r="K1048" s="14">
        <f>IFERROR(VLOOKUP(VENTAS[[#This Row],[Código del producto Vendido]],STOCK[],16,FALSE)*VENTAS[[#This Row],[Cantidad]]+VLOOKUP(VENTAS[[#This Row],[Código del producto Vendido]],STOCK[],19,FALSE)*VENTAS[[#This Row],[Cantidad]],VENTAS[[#This Row],[Total]])</f>
        <v>14.22</v>
      </c>
      <c r="L1048" s="14">
        <f>VENTAS[[#This Row],[Total]]-VENTAS[[#This Row],[Comisión 10%]]-VENTAS[[#This Row],[Costo SIN Comision]]</f>
        <v>6.48</v>
      </c>
      <c r="M1048" s="14"/>
    </row>
    <row r="1049" ht="20" hidden="1" customHeight="1" spans="1:13">
      <c r="A1049" s="10">
        <v>45478</v>
      </c>
      <c r="B1049" s="11"/>
      <c r="C1049" s="11"/>
      <c r="D1049" s="11" t="s">
        <v>4270</v>
      </c>
      <c r="E1049" s="11" t="s">
        <v>2218</v>
      </c>
      <c r="F1049" s="11" t="str">
        <f>IFERROR(VLOOKUP(VENTAS[[#This Row],[Código del producto Vendido]],STOCK[],5,FALSE),"-")</f>
        <v>vestido Boho con tirantes de spaguetti y abertura</v>
      </c>
      <c r="G1049" s="11">
        <v>1</v>
      </c>
      <c r="H1049" s="14">
        <v>30</v>
      </c>
      <c r="I1049" s="14">
        <f>VENTAS[[#This Row],[Cantidad]]*VENTAS[[#This Row],[Precio Venta]]</f>
        <v>30</v>
      </c>
      <c r="J1049" s="14">
        <f>IF(VENTAS[[#This Row],[Nombre del Gestor]]&gt;1,VENTAS[[#This Row],[Total]]*10%,0)</f>
        <v>3</v>
      </c>
      <c r="K1049" s="14">
        <f>IFERROR(VLOOKUP(VENTAS[[#This Row],[Código del producto Vendido]],STOCK[],16,FALSE)*VENTAS[[#This Row],[Cantidad]]+VLOOKUP(VENTAS[[#This Row],[Código del producto Vendido]],STOCK[],19,FALSE)*VENTAS[[#This Row],[Cantidad]],VENTAS[[#This Row],[Total]])</f>
        <v>16.09</v>
      </c>
      <c r="L1049" s="14">
        <f>VENTAS[[#This Row],[Total]]-VENTAS[[#This Row],[Comisión 10%]]-VENTAS[[#This Row],[Costo SIN Comision]]</f>
        <v>10.91</v>
      </c>
      <c r="M1049" s="14"/>
    </row>
    <row r="1050" ht="20" hidden="1" customHeight="1" spans="1:13">
      <c r="A1050" s="10">
        <v>45478</v>
      </c>
      <c r="B1050" s="11"/>
      <c r="C1050" s="11"/>
      <c r="D1050" s="11" t="s">
        <v>4270</v>
      </c>
      <c r="E1050" s="11" t="s">
        <v>2391</v>
      </c>
      <c r="F1050" s="11" t="str">
        <f>IFERROR(VLOOKUP(VENTAS[[#This Row],[Código del producto Vendido]],STOCK[],5,FALSE),"-")</f>
        <v>Pullover Dazy cuello redondo Negro</v>
      </c>
      <c r="G1050" s="11">
        <v>1</v>
      </c>
      <c r="H1050" s="14">
        <v>13</v>
      </c>
      <c r="I1050" s="14">
        <f>VENTAS[[#This Row],[Cantidad]]*VENTAS[[#This Row],[Precio Venta]]</f>
        <v>13</v>
      </c>
      <c r="J1050" s="14">
        <f>IF(VENTAS[[#This Row],[Nombre del Gestor]]&gt;1,VENTAS[[#This Row],[Total]]*10%,0)</f>
        <v>1.3</v>
      </c>
      <c r="K1050" s="14">
        <f>IFERROR(VLOOKUP(VENTAS[[#This Row],[Código del producto Vendido]],STOCK[],16,FALSE)*VENTAS[[#This Row],[Cantidad]]+VLOOKUP(VENTAS[[#This Row],[Código del producto Vendido]],STOCK[],19,FALSE)*VENTAS[[#This Row],[Cantidad]],VENTAS[[#This Row],[Total]])</f>
        <v>7.61</v>
      </c>
      <c r="L1050" s="14">
        <f>VENTAS[[#This Row],[Total]]-VENTAS[[#This Row],[Comisión 10%]]-VENTAS[[#This Row],[Costo SIN Comision]]</f>
        <v>4.09</v>
      </c>
      <c r="M1050" s="14"/>
    </row>
    <row r="1051" ht="20" hidden="1" customHeight="1" spans="1:13">
      <c r="A1051" s="10">
        <v>45478</v>
      </c>
      <c r="B1051" s="11"/>
      <c r="C1051" s="11"/>
      <c r="D1051" s="11" t="s">
        <v>4270</v>
      </c>
      <c r="E1051" s="11" t="s">
        <v>1829</v>
      </c>
      <c r="F1051" s="11" t="str">
        <f>IFERROR(VLOOKUP(VENTAS[[#This Row],[Código del producto Vendido]],STOCK[],5,FALSE),"-")</f>
        <v>Pantalón Palazzo </v>
      </c>
      <c r="G1051" s="11">
        <v>1</v>
      </c>
      <c r="H1051" s="14">
        <v>30</v>
      </c>
      <c r="I1051" s="14">
        <f>VENTAS[[#This Row],[Cantidad]]*VENTAS[[#This Row],[Precio Venta]]</f>
        <v>30</v>
      </c>
      <c r="J1051" s="14">
        <f>IF(VENTAS[[#This Row],[Nombre del Gestor]]&gt;1,VENTAS[[#This Row],[Total]]*10%,0)</f>
        <v>3</v>
      </c>
      <c r="K1051" s="14">
        <f>IFERROR(VLOOKUP(VENTAS[[#This Row],[Código del producto Vendido]],STOCK[],16,FALSE)*VENTAS[[#This Row],[Cantidad]]+VLOOKUP(VENTAS[[#This Row],[Código del producto Vendido]],STOCK[],19,FALSE)*VENTAS[[#This Row],[Cantidad]],VENTAS[[#This Row],[Total]])</f>
        <v>16.79</v>
      </c>
      <c r="L1051" s="14">
        <f>VENTAS[[#This Row],[Total]]-VENTAS[[#This Row],[Comisión 10%]]-VENTAS[[#This Row],[Costo SIN Comision]]</f>
        <v>10.21</v>
      </c>
      <c r="M1051" s="14"/>
    </row>
    <row r="1052" ht="20" hidden="1" customHeight="1" spans="1:13">
      <c r="A1052" s="10">
        <v>45476</v>
      </c>
      <c r="B1052" s="11"/>
      <c r="C1052" s="11"/>
      <c r="D1052" s="11" t="s">
        <v>4270</v>
      </c>
      <c r="E1052" s="11" t="s">
        <v>1933</v>
      </c>
      <c r="F1052" s="11" t="str">
        <f>IFERROR(VLOOKUP(VENTAS[[#This Row],[Código del producto Vendido]],STOCK[],5,FALSE),"-")</f>
        <v>Sujetador Invisible Suave sin tirantes</v>
      </c>
      <c r="G1052" s="11">
        <v>1</v>
      </c>
      <c r="H1052" s="14">
        <v>12</v>
      </c>
      <c r="I1052" s="14">
        <f>VENTAS[[#This Row],[Cantidad]]*VENTAS[[#This Row],[Precio Venta]]</f>
        <v>12</v>
      </c>
      <c r="J1052" s="14">
        <f>IF(VENTAS[[#This Row],[Nombre del Gestor]]&gt;1,VENTAS[[#This Row],[Total]]*10%,0)</f>
        <v>1.2</v>
      </c>
      <c r="K1052" s="14">
        <f>IFERROR(VLOOKUP(VENTAS[[#This Row],[Código del producto Vendido]],STOCK[],16,FALSE)*VENTAS[[#This Row],[Cantidad]]+VLOOKUP(VENTAS[[#This Row],[Código del producto Vendido]],STOCK[],19,FALSE)*VENTAS[[#This Row],[Cantidad]],VENTAS[[#This Row],[Total]])</f>
        <v>4.97</v>
      </c>
      <c r="L1052" s="14">
        <f>VENTAS[[#This Row],[Total]]-VENTAS[[#This Row],[Comisión 10%]]-VENTAS[[#This Row],[Costo SIN Comision]]</f>
        <v>5.83</v>
      </c>
      <c r="M1052" s="14"/>
    </row>
    <row r="1053" ht="20" hidden="1" customHeight="1" spans="1:13">
      <c r="A1053" s="10">
        <v>45476</v>
      </c>
      <c r="B1053" s="11"/>
      <c r="C1053" s="11"/>
      <c r="D1053" s="11" t="s">
        <v>4270</v>
      </c>
      <c r="E1053" s="11" t="s">
        <v>1647</v>
      </c>
      <c r="F1053" s="11" t="str">
        <f>IFERROR(VLOOKUP(VENTAS[[#This Row],[Código del producto Vendido]],STOCK[],5,FALSE),"-")</f>
        <v>Mono palazzo</v>
      </c>
      <c r="G1053" s="11">
        <v>1</v>
      </c>
      <c r="H1053" s="14">
        <v>30</v>
      </c>
      <c r="I1053" s="14">
        <f>VENTAS[[#This Row],[Cantidad]]*VENTAS[[#This Row],[Precio Venta]]</f>
        <v>30</v>
      </c>
      <c r="J1053" s="14">
        <f>IF(VENTAS[[#This Row],[Nombre del Gestor]]&gt;1,VENTAS[[#This Row],[Total]]*10%,0)</f>
        <v>3</v>
      </c>
      <c r="K1053" s="14">
        <f>IFERROR(VLOOKUP(VENTAS[[#This Row],[Código del producto Vendido]],STOCK[],16,FALSE)*VENTAS[[#This Row],[Cantidad]]+VLOOKUP(VENTAS[[#This Row],[Código del producto Vendido]],STOCK[],19,FALSE)*VENTAS[[#This Row],[Cantidad]],VENTAS[[#This Row],[Total]])</f>
        <v>17.87</v>
      </c>
      <c r="L1053" s="14">
        <f>VENTAS[[#This Row],[Total]]-VENTAS[[#This Row],[Comisión 10%]]-VENTAS[[#This Row],[Costo SIN Comision]]</f>
        <v>9.13</v>
      </c>
      <c r="M1053" s="14"/>
    </row>
    <row r="1054" ht="20" hidden="1" customHeight="1" spans="1:13">
      <c r="A1054" s="10">
        <v>45476</v>
      </c>
      <c r="B1054" s="11"/>
      <c r="C1054" s="11"/>
      <c r="D1054" s="11" t="s">
        <v>4270</v>
      </c>
      <c r="E1054" s="11" t="s">
        <v>1619</v>
      </c>
      <c r="F1054" s="11" t="str">
        <f>IFERROR(VLOOKUP(VENTAS[[#This Row],[Código del producto Vendido]],STOCK[],5,FALSE),"-")</f>
        <v>Vestido Becka</v>
      </c>
      <c r="G1054" s="11">
        <v>1</v>
      </c>
      <c r="H1054" s="14">
        <v>25</v>
      </c>
      <c r="I1054" s="14">
        <f>VENTAS[[#This Row],[Cantidad]]*VENTAS[[#This Row],[Precio Venta]]</f>
        <v>25</v>
      </c>
      <c r="J1054" s="14">
        <f>IF(VENTAS[[#This Row],[Nombre del Gestor]]&gt;1,VENTAS[[#This Row],[Total]]*10%,0)</f>
        <v>2.5</v>
      </c>
      <c r="K1054" s="14">
        <f>IFERROR(VLOOKUP(VENTAS[[#This Row],[Código del producto Vendido]],STOCK[],16,FALSE)*VENTAS[[#This Row],[Cantidad]]+VLOOKUP(VENTAS[[#This Row],[Código del producto Vendido]],STOCK[],19,FALSE)*VENTAS[[#This Row],[Cantidad]],VENTAS[[#This Row],[Total]])</f>
        <v>12.4</v>
      </c>
      <c r="L1054" s="14">
        <f>VENTAS[[#This Row],[Total]]-VENTAS[[#This Row],[Comisión 10%]]-VENTAS[[#This Row],[Costo SIN Comision]]</f>
        <v>10.1</v>
      </c>
      <c r="M1054" s="14"/>
    </row>
    <row r="1055" ht="20" hidden="1" customHeight="1" spans="1:13">
      <c r="A1055" s="10">
        <v>45476</v>
      </c>
      <c r="B1055" s="11"/>
      <c r="C1055" s="11"/>
      <c r="D1055" s="11" t="s">
        <v>4270</v>
      </c>
      <c r="E1055" s="11" t="s">
        <v>2391</v>
      </c>
      <c r="F1055" s="11" t="str">
        <f>IFERROR(VLOOKUP(VENTAS[[#This Row],[Código del producto Vendido]],STOCK[],5,FALSE),"-")</f>
        <v>Pullover Dazy cuello redondo Negro</v>
      </c>
      <c r="G1055" s="11">
        <v>1</v>
      </c>
      <c r="H1055" s="14">
        <v>13</v>
      </c>
      <c r="I1055" s="14">
        <f>VENTAS[[#This Row],[Cantidad]]*VENTAS[[#This Row],[Precio Venta]]</f>
        <v>13</v>
      </c>
      <c r="J1055" s="14">
        <f>IF(VENTAS[[#This Row],[Nombre del Gestor]]&gt;1,VENTAS[[#This Row],[Total]]*10%,0)</f>
        <v>1.3</v>
      </c>
      <c r="K1055" s="14">
        <f>IFERROR(VLOOKUP(VENTAS[[#This Row],[Código del producto Vendido]],STOCK[],16,FALSE)*VENTAS[[#This Row],[Cantidad]]+VLOOKUP(VENTAS[[#This Row],[Código del producto Vendido]],STOCK[],19,FALSE)*VENTAS[[#This Row],[Cantidad]],VENTAS[[#This Row],[Total]])</f>
        <v>7.61</v>
      </c>
      <c r="L1055" s="14">
        <f>VENTAS[[#This Row],[Total]]-VENTAS[[#This Row],[Comisión 10%]]-VENTAS[[#This Row],[Costo SIN Comision]]</f>
        <v>4.09</v>
      </c>
      <c r="M1055" s="14"/>
    </row>
    <row r="1056" ht="20" hidden="1" customHeight="1" spans="1:13">
      <c r="A1056" s="10">
        <v>45476</v>
      </c>
      <c r="B1056" s="11"/>
      <c r="C1056" s="11"/>
      <c r="D1056" s="11" t="s">
        <v>4270</v>
      </c>
      <c r="E1056" s="11" t="s">
        <v>1404</v>
      </c>
      <c r="F1056" s="11" t="str">
        <f>IFERROR(VLOOKUP(VENTAS[[#This Row],[Código del producto Vendido]],STOCK[],5,FALSE),"-")</f>
        <v>Top bustier corsetero</v>
      </c>
      <c r="G1056" s="11">
        <v>1</v>
      </c>
      <c r="H1056" s="14">
        <v>10</v>
      </c>
      <c r="I1056" s="14">
        <f>VENTAS[[#This Row],[Cantidad]]*VENTAS[[#This Row],[Precio Venta]]</f>
        <v>10</v>
      </c>
      <c r="J1056" s="14">
        <f>IF(VENTAS[[#This Row],[Nombre del Gestor]]&gt;1,VENTAS[[#This Row],[Total]]*10%,0)</f>
        <v>1</v>
      </c>
      <c r="K1056" s="14">
        <f>IFERROR(VLOOKUP(VENTAS[[#This Row],[Código del producto Vendido]],STOCK[],16,FALSE)*VENTAS[[#This Row],[Cantidad]]+VLOOKUP(VENTAS[[#This Row],[Código del producto Vendido]],STOCK[],19,FALSE)*VENTAS[[#This Row],[Cantidad]],VENTAS[[#This Row],[Total]])</f>
        <v>5.5</v>
      </c>
      <c r="L1056" s="14">
        <f>VENTAS[[#This Row],[Total]]-VENTAS[[#This Row],[Comisión 10%]]-VENTAS[[#This Row],[Costo SIN Comision]]</f>
        <v>3.5</v>
      </c>
      <c r="M1056" s="14"/>
    </row>
    <row r="1057" ht="20" hidden="1" customHeight="1" spans="1:13">
      <c r="A1057" s="10">
        <v>45476</v>
      </c>
      <c r="B1057" s="11"/>
      <c r="C1057" s="11"/>
      <c r="D1057" s="11" t="s">
        <v>4270</v>
      </c>
      <c r="E1057" s="11" t="s">
        <v>1175</v>
      </c>
      <c r="F1057" s="11" t="str">
        <f>IFERROR(VLOOKUP(VENTAS[[#This Row],[Código del producto Vendido]],STOCK[],5,FALSE),"-")</f>
        <v>Vestido camisero con estampado y cinturón </v>
      </c>
      <c r="G1057" s="11">
        <v>1</v>
      </c>
      <c r="H1057" s="14">
        <v>28</v>
      </c>
      <c r="I1057" s="14">
        <f>VENTAS[[#This Row],[Cantidad]]*VENTAS[[#This Row],[Precio Venta]]</f>
        <v>28</v>
      </c>
      <c r="J1057" s="14">
        <f>IF(VENTAS[[#This Row],[Nombre del Gestor]]&gt;1,VENTAS[[#This Row],[Total]]*10%,0)</f>
        <v>2.8</v>
      </c>
      <c r="K1057" s="14">
        <f>IFERROR(VLOOKUP(VENTAS[[#This Row],[Código del producto Vendido]],STOCK[],16,FALSE)*VENTAS[[#This Row],[Cantidad]]+VLOOKUP(VENTAS[[#This Row],[Código del producto Vendido]],STOCK[],19,FALSE)*VENTAS[[#This Row],[Cantidad]],VENTAS[[#This Row],[Total]])</f>
        <v>17.65</v>
      </c>
      <c r="L1057" s="14">
        <f>VENTAS[[#This Row],[Total]]-VENTAS[[#This Row],[Comisión 10%]]-VENTAS[[#This Row],[Costo SIN Comision]]</f>
        <v>7.55</v>
      </c>
      <c r="M1057" s="14"/>
    </row>
    <row r="1058" ht="20" hidden="1" customHeight="1" spans="1:13">
      <c r="A1058" s="10">
        <v>45476</v>
      </c>
      <c r="B1058" s="11"/>
      <c r="C1058" s="11"/>
      <c r="D1058" s="11" t="s">
        <v>4270</v>
      </c>
      <c r="E1058" s="11" t="s">
        <v>1733</v>
      </c>
      <c r="F1058" s="11" t="str">
        <f>IFERROR(VLOOKUP(VENTAS[[#This Row],[Código del producto Vendido]],STOCK[],5,FALSE),"-")</f>
        <v>Chaleco de traje Crema</v>
      </c>
      <c r="G1058" s="11">
        <v>1</v>
      </c>
      <c r="H1058" s="14">
        <v>25</v>
      </c>
      <c r="I1058" s="14">
        <f>VENTAS[[#This Row],[Cantidad]]*VENTAS[[#This Row],[Precio Venta]]</f>
        <v>25</v>
      </c>
      <c r="J1058" s="14">
        <f>IF(VENTAS[[#This Row],[Nombre del Gestor]]&gt;1,VENTAS[[#This Row],[Total]]*10%,0)</f>
        <v>2.5</v>
      </c>
      <c r="K1058" s="14">
        <f>IFERROR(VLOOKUP(VENTAS[[#This Row],[Código del producto Vendido]],STOCK[],16,FALSE)*VENTAS[[#This Row],[Cantidad]]+VLOOKUP(VENTAS[[#This Row],[Código del producto Vendido]],STOCK[],19,FALSE)*VENTAS[[#This Row],[Cantidad]],VENTAS[[#This Row],[Total]])</f>
        <v>17.9411764705882</v>
      </c>
      <c r="L1058" s="14">
        <f>VENTAS[[#This Row],[Total]]-VENTAS[[#This Row],[Comisión 10%]]-VENTAS[[#This Row],[Costo SIN Comision]]</f>
        <v>4.5588235294118</v>
      </c>
      <c r="M1058" s="14"/>
    </row>
    <row r="1059" ht="20" hidden="1" customHeight="1" spans="1:13">
      <c r="A1059" s="10">
        <v>45477</v>
      </c>
      <c r="B1059" s="11"/>
      <c r="C1059" s="11"/>
      <c r="D1059" s="11" t="s">
        <v>4272</v>
      </c>
      <c r="E1059" s="11" t="s">
        <v>677</v>
      </c>
      <c r="F1059" s="11" t="str">
        <f>IFERROR(VLOOKUP(VENTAS[[#This Row],[Código del producto Vendido]],STOCK[],5,FALSE),"-")</f>
        <v>Blusa corta de manga farol</v>
      </c>
      <c r="G1059" s="11">
        <v>1</v>
      </c>
      <c r="H1059" s="14">
        <v>9</v>
      </c>
      <c r="I1059" s="14">
        <f>VENTAS[[#This Row],[Cantidad]]*VENTAS[[#This Row],[Precio Venta]]</f>
        <v>9</v>
      </c>
      <c r="J1059" s="14">
        <f>IF(VENTAS[[#This Row],[Nombre del Gestor]]&gt;1,VENTAS[[#This Row],[Total]]*10%,0)</f>
        <v>0.9</v>
      </c>
      <c r="K1059" s="14">
        <f>IFERROR(VLOOKUP(VENTAS[[#This Row],[Código del producto Vendido]],STOCK[],16,FALSE)*VENTAS[[#This Row],[Cantidad]]+VLOOKUP(VENTAS[[#This Row],[Código del producto Vendido]],STOCK[],19,FALSE)*VENTAS[[#This Row],[Cantidad]],VENTAS[[#This Row],[Total]])</f>
        <v>7.52666666666667</v>
      </c>
      <c r="L1059" s="14">
        <f>VENTAS[[#This Row],[Total]]-VENTAS[[#This Row],[Comisión 10%]]-VENTAS[[#This Row],[Costo SIN Comision]]</f>
        <v>0.57333333333333</v>
      </c>
      <c r="M1059" s="14"/>
    </row>
    <row r="1060" ht="20" hidden="1" customHeight="1" spans="1:13">
      <c r="A1060" s="10">
        <v>45476</v>
      </c>
      <c r="B1060" s="11"/>
      <c r="C1060" s="11"/>
      <c r="D1060" s="11" t="s">
        <v>4293</v>
      </c>
      <c r="E1060" s="11" t="s">
        <v>2029</v>
      </c>
      <c r="F1060" s="11" t="str">
        <f>IFERROR(VLOOKUP(VENTAS[[#This Row],[Código del producto Vendido]],STOCK[],5,FALSE),"-")</f>
        <v>Blusa de bolas cuello con lazo</v>
      </c>
      <c r="G1060" s="11">
        <v>1</v>
      </c>
      <c r="H1060" s="14">
        <v>3</v>
      </c>
      <c r="I1060" s="14">
        <f>VENTAS[[#This Row],[Cantidad]]*VENTAS[[#This Row],[Precio Venta]]</f>
        <v>3</v>
      </c>
      <c r="J1060" s="14">
        <f>IF(VENTAS[[#This Row],[Nombre del Gestor]]&gt;1,VENTAS[[#This Row],[Total]]*10%,0)</f>
        <v>0.3</v>
      </c>
      <c r="K1060" s="14">
        <f>IFERROR(VLOOKUP(VENTAS[[#This Row],[Código del producto Vendido]],STOCK[],16,FALSE)*VENTAS[[#This Row],[Cantidad]]+VLOOKUP(VENTAS[[#This Row],[Código del producto Vendido]],STOCK[],19,FALSE)*VENTAS[[#This Row],[Cantidad]],VENTAS[[#This Row],[Total]])</f>
        <v>0</v>
      </c>
      <c r="L1060" s="14">
        <f>VENTAS[[#This Row],[Total]]-VENTAS[[#This Row],[Comisión 10%]]-VENTAS[[#This Row],[Costo SIN Comision]]</f>
        <v>2.7</v>
      </c>
      <c r="M1060" s="14"/>
    </row>
    <row r="1061" ht="20" hidden="1" customHeight="1" spans="1:13">
      <c r="A1061" s="10">
        <v>45478</v>
      </c>
      <c r="B1061" s="11"/>
      <c r="C1061" s="11" t="s">
        <v>4294</v>
      </c>
      <c r="D1061" s="11"/>
      <c r="E1061" s="11" t="s">
        <v>1225</v>
      </c>
      <c r="F1061" s="11" t="str">
        <f>IFERROR(VLOOKUP(VENTAS[[#This Row],[Código del producto Vendido]],STOCK[],5,FALSE),"-")</f>
        <v>Calzado tacón negro</v>
      </c>
      <c r="G1061" s="11">
        <v>1</v>
      </c>
      <c r="H1061" s="14">
        <v>55</v>
      </c>
      <c r="I1061" s="14">
        <f>VENTAS[[#This Row],[Cantidad]]*VENTAS[[#This Row],[Precio Venta]]</f>
        <v>55</v>
      </c>
      <c r="J1061" s="14">
        <f>IF(VENTAS[[#This Row],[Nombre del Gestor]]&gt;1,VENTAS[[#This Row],[Total]]*10%,0)</f>
        <v>0</v>
      </c>
      <c r="K1061" s="14">
        <f>IFERROR(VLOOKUP(VENTAS[[#This Row],[Código del producto Vendido]],STOCK[],16,FALSE)*VENTAS[[#This Row],[Cantidad]]+VLOOKUP(VENTAS[[#This Row],[Código del producto Vendido]],STOCK[],19,FALSE)*VENTAS[[#This Row],[Cantidad]],VENTAS[[#This Row],[Total]])</f>
        <v>41.83</v>
      </c>
      <c r="L1061" s="14">
        <f>VENTAS[[#This Row],[Total]]-VENTAS[[#This Row],[Comisión 10%]]-VENTAS[[#This Row],[Costo SIN Comision]]</f>
        <v>13.17</v>
      </c>
      <c r="M1061" s="14"/>
    </row>
    <row r="1062" ht="20" hidden="1" customHeight="1" spans="1:13">
      <c r="A1062" s="10">
        <v>45474</v>
      </c>
      <c r="B1062" s="11"/>
      <c r="C1062" s="11"/>
      <c r="D1062" s="11" t="s">
        <v>4241</v>
      </c>
      <c r="E1062" s="11" t="s">
        <v>2110</v>
      </c>
      <c r="F1062" s="11" t="str">
        <f>IFERROR(VLOOKUP(VENTAS[[#This Row],[Código del producto Vendido]],STOCK[],5,FALSE),"-")</f>
        <v>The Cat TOTE bag tamaño de Gran Capacidad </v>
      </c>
      <c r="G1062" s="11">
        <v>1</v>
      </c>
      <c r="H1062" s="14">
        <v>12</v>
      </c>
      <c r="I1062" s="14">
        <f>VENTAS[[#This Row],[Cantidad]]*VENTAS[[#This Row],[Precio Venta]]</f>
        <v>12</v>
      </c>
      <c r="J1062" s="14">
        <f>IF(VENTAS[[#This Row],[Nombre del Gestor]]&gt;1,VENTAS[[#This Row],[Total]]*10%,0)</f>
        <v>1.2</v>
      </c>
      <c r="K1062" s="14">
        <f>IFERROR(VLOOKUP(VENTAS[[#This Row],[Código del producto Vendido]],STOCK[],16,FALSE)*VENTAS[[#This Row],[Cantidad]]+VLOOKUP(VENTAS[[#This Row],[Código del producto Vendido]],STOCK[],19,FALSE)*VENTAS[[#This Row],[Cantidad]],VENTAS[[#This Row],[Total]])</f>
        <v>5.58</v>
      </c>
      <c r="L1062" s="14">
        <f>VENTAS[[#This Row],[Total]]-VENTAS[[#This Row],[Comisión 10%]]-VENTAS[[#This Row],[Costo SIN Comision]]</f>
        <v>5.22</v>
      </c>
      <c r="M1062" s="14"/>
    </row>
    <row r="1063" ht="20" hidden="1" customHeight="1" spans="1:13">
      <c r="A1063" s="10">
        <v>45488</v>
      </c>
      <c r="B1063" s="11"/>
      <c r="C1063" s="11"/>
      <c r="D1063" s="11" t="s">
        <v>4085</v>
      </c>
      <c r="E1063" s="11" t="s">
        <v>2167</v>
      </c>
      <c r="F1063" s="11" t="str">
        <f>IFERROR(VLOOKUP(VENTAS[[#This Row],[Código del producto Vendido]],STOCK[],5,FALSE),"-")</f>
        <v>Bañador en color sólido sexy-elegante </v>
      </c>
      <c r="G1063" s="11">
        <v>1</v>
      </c>
      <c r="H1063" s="14">
        <v>20</v>
      </c>
      <c r="I1063" s="14">
        <f>VENTAS[[#This Row],[Cantidad]]*VENTAS[[#This Row],[Precio Venta]]</f>
        <v>20</v>
      </c>
      <c r="J1063" s="14">
        <f>IF(VENTAS[[#This Row],[Nombre del Gestor]]&gt;1,VENTAS[[#This Row],[Total]]*10%,0)</f>
        <v>2</v>
      </c>
      <c r="K1063" s="14">
        <f>IFERROR(VLOOKUP(VENTAS[[#This Row],[Código del producto Vendido]],STOCK[],16,FALSE)*VENTAS[[#This Row],[Cantidad]]+VLOOKUP(VENTAS[[#This Row],[Código del producto Vendido]],STOCK[],19,FALSE)*VENTAS[[#This Row],[Cantidad]],VENTAS[[#This Row],[Total]])</f>
        <v>8.24</v>
      </c>
      <c r="L1063" s="14">
        <f>VENTAS[[#This Row],[Total]]-VENTAS[[#This Row],[Comisión 10%]]-VENTAS[[#This Row],[Costo SIN Comision]]</f>
        <v>9.76</v>
      </c>
      <c r="M1063" s="14" t="s">
        <v>4295</v>
      </c>
    </row>
    <row r="1064" ht="20" hidden="1" customHeight="1" spans="1:13">
      <c r="A1064" s="10">
        <v>45483</v>
      </c>
      <c r="B1064" s="11"/>
      <c r="C1064" s="11"/>
      <c r="D1064" s="11" t="s">
        <v>4241</v>
      </c>
      <c r="E1064" s="11" t="s">
        <v>2186</v>
      </c>
      <c r="F1064" s="11" t="str">
        <f>IFERROR(VLOOKUP(VENTAS[[#This Row],[Código del producto Vendido]],STOCK[],5,FALSE),"-")</f>
        <v>Bikini sexy de pierna alta en tendencia</v>
      </c>
      <c r="G1064" s="11">
        <v>0</v>
      </c>
      <c r="H1064" s="14">
        <v>20</v>
      </c>
      <c r="I1064" s="14">
        <f>VENTAS[[#This Row],[Cantidad]]*VENTAS[[#This Row],[Precio Venta]]</f>
        <v>0</v>
      </c>
      <c r="J1064" s="14">
        <f>IF(VENTAS[[#This Row],[Nombre del Gestor]]&gt;1,VENTAS[[#This Row],[Total]]*10%,0)</f>
        <v>0</v>
      </c>
      <c r="K1064" s="14">
        <f>IFERROR(VLOOKUP(VENTAS[[#This Row],[Código del producto Vendido]],STOCK[],16,FALSE)*VENTAS[[#This Row],[Cantidad]]+VLOOKUP(VENTAS[[#This Row],[Código del producto Vendido]],STOCK[],19,FALSE)*VENTAS[[#This Row],[Cantidad]],VENTAS[[#This Row],[Total]])</f>
        <v>0</v>
      </c>
      <c r="L1064" s="14">
        <f>VENTAS[[#This Row],[Total]]-VENTAS[[#This Row],[Comisión 10%]]-VENTAS[[#This Row],[Costo SIN Comision]]</f>
        <v>0</v>
      </c>
      <c r="M1064" s="14"/>
    </row>
    <row r="1065" ht="20" hidden="1" customHeight="1" spans="1:13">
      <c r="A1065" s="10">
        <v>45483</v>
      </c>
      <c r="B1065" s="11"/>
      <c r="C1065" s="11"/>
      <c r="D1065" s="11" t="s">
        <v>4241</v>
      </c>
      <c r="E1065" s="11" t="s">
        <v>1909</v>
      </c>
      <c r="F1065" s="11" t="str">
        <f>IFERROR(VLOOKUP(VENTAS[[#This Row],[Código del producto Vendido]],STOCK[],5,FALSE),"-")</f>
        <v>Gafas de Sol Retro Blanco</v>
      </c>
      <c r="G1065" s="11">
        <v>1</v>
      </c>
      <c r="H1065" s="14">
        <v>8</v>
      </c>
      <c r="I1065" s="14">
        <f>VENTAS[[#This Row],[Cantidad]]*VENTAS[[#This Row],[Precio Venta]]</f>
        <v>8</v>
      </c>
      <c r="J1065" s="14">
        <f>IF(VENTAS[[#This Row],[Nombre del Gestor]]&gt;1,VENTAS[[#This Row],[Total]]*10%,0)</f>
        <v>0.8</v>
      </c>
      <c r="K1065" s="14">
        <f>IFERROR(VLOOKUP(VENTAS[[#This Row],[Código del producto Vendido]],STOCK[],16,FALSE)*VENTAS[[#This Row],[Cantidad]]+VLOOKUP(VENTAS[[#This Row],[Código del producto Vendido]],STOCK[],19,FALSE)*VENTAS[[#This Row],[Cantidad]],VENTAS[[#This Row],[Total]])</f>
        <v>4.45</v>
      </c>
      <c r="L1065" s="14">
        <f>VENTAS[[#This Row],[Total]]-VENTAS[[#This Row],[Comisión 10%]]-VENTAS[[#This Row],[Costo SIN Comision]]</f>
        <v>2.75</v>
      </c>
      <c r="M1065" s="14"/>
    </row>
    <row r="1066" ht="20" hidden="1" customHeight="1" spans="1:13">
      <c r="A1066" s="10">
        <v>45483</v>
      </c>
      <c r="B1066" s="11"/>
      <c r="C1066" s="11"/>
      <c r="D1066" s="11" t="s">
        <v>4241</v>
      </c>
      <c r="E1066" s="11" t="s">
        <v>2421</v>
      </c>
      <c r="F1066" s="11" t="str">
        <f>IFERROR(VLOOKUP(VENTAS[[#This Row],[Código del producto Vendido]],STOCK[],5,FALSE),"-")</f>
        <v>Camisa blanca en mezcla de algodón</v>
      </c>
      <c r="G1066" s="11">
        <v>1</v>
      </c>
      <c r="H1066" s="14">
        <v>22</v>
      </c>
      <c r="I1066" s="14">
        <f>VENTAS[[#This Row],[Cantidad]]*VENTAS[[#This Row],[Precio Venta]]</f>
        <v>22</v>
      </c>
      <c r="J1066" s="14">
        <f>IF(VENTAS[[#This Row],[Nombre del Gestor]]&gt;1,VENTAS[[#This Row],[Total]]*10%,0)</f>
        <v>2.2</v>
      </c>
      <c r="K1066" s="14">
        <f>IFERROR(VLOOKUP(VENTAS[[#This Row],[Código del producto Vendido]],STOCK[],16,FALSE)*VENTAS[[#This Row],[Cantidad]]+VLOOKUP(VENTAS[[#This Row],[Código del producto Vendido]],STOCK[],19,FALSE)*VENTAS[[#This Row],[Cantidad]],VENTAS[[#This Row],[Total]])</f>
        <v>17.7808108108108</v>
      </c>
      <c r="L1066" s="14">
        <f>VENTAS[[#This Row],[Total]]-VENTAS[[#This Row],[Comisión 10%]]-VENTAS[[#This Row],[Costo SIN Comision]]</f>
        <v>2.0191891891892</v>
      </c>
      <c r="M1066" s="14"/>
    </row>
    <row r="1067" ht="20" hidden="1" customHeight="1" spans="1:13">
      <c r="A1067" s="10">
        <v>45484</v>
      </c>
      <c r="B1067" s="11"/>
      <c r="C1067" s="11"/>
      <c r="D1067" s="11" t="s">
        <v>4241</v>
      </c>
      <c r="E1067" s="11" t="s">
        <v>604</v>
      </c>
      <c r="F1067" s="11" t="str">
        <f>IFERROR(VLOOKUP(VENTAS[[#This Row],[Código del producto Vendido]],STOCK[],5,FALSE),"-")</f>
        <v>Vestido floral de mangas farol</v>
      </c>
      <c r="G1067" s="11">
        <v>1</v>
      </c>
      <c r="H1067" s="14">
        <v>20</v>
      </c>
      <c r="I1067" s="14">
        <f>VENTAS[[#This Row],[Cantidad]]*VENTAS[[#This Row],[Precio Venta]]</f>
        <v>20</v>
      </c>
      <c r="J1067" s="14">
        <f>IF(VENTAS[[#This Row],[Nombre del Gestor]]&gt;1,VENTAS[[#This Row],[Total]]*10%,0)</f>
        <v>2</v>
      </c>
      <c r="K1067" s="14">
        <f>IFERROR(VLOOKUP(VENTAS[[#This Row],[Código del producto Vendido]],STOCK[],16,FALSE)*VENTAS[[#This Row],[Cantidad]]+VLOOKUP(VENTAS[[#This Row],[Código del producto Vendido]],STOCK[],19,FALSE)*VENTAS[[#This Row],[Cantidad]],VENTAS[[#This Row],[Total]])</f>
        <v>10.7222222222222</v>
      </c>
      <c r="L1067" s="14">
        <f>VENTAS[[#This Row],[Total]]-VENTAS[[#This Row],[Comisión 10%]]-VENTAS[[#This Row],[Costo SIN Comision]]</f>
        <v>7.27777777777778</v>
      </c>
      <c r="M1067" s="14"/>
    </row>
    <row r="1068" ht="20" hidden="1" customHeight="1" spans="1:13">
      <c r="A1068" s="10">
        <v>45485</v>
      </c>
      <c r="B1068" s="11"/>
      <c r="C1068" s="11"/>
      <c r="D1068" s="11" t="s">
        <v>4241</v>
      </c>
      <c r="E1068" s="11" t="s">
        <v>1165</v>
      </c>
      <c r="F1068" s="11" t="str">
        <f>IFERROR(VLOOKUP(VENTAS[[#This Row],[Código del producto Vendido]],STOCK[],5,FALSE),"-")</f>
        <v>Short de mezclilla con doblez (no elastiza)</v>
      </c>
      <c r="G1068" s="11">
        <v>1</v>
      </c>
      <c r="H1068" s="14">
        <v>20</v>
      </c>
      <c r="I1068" s="14">
        <f>VENTAS[[#This Row],[Cantidad]]*VENTAS[[#This Row],[Precio Venta]]</f>
        <v>20</v>
      </c>
      <c r="J1068" s="14">
        <f>IF(VENTAS[[#This Row],[Nombre del Gestor]]&gt;1,VENTAS[[#This Row],[Total]]*10%,0)</f>
        <v>2</v>
      </c>
      <c r="K1068" s="14">
        <f>IFERROR(VLOOKUP(VENTAS[[#This Row],[Código del producto Vendido]],STOCK[],16,FALSE)*VENTAS[[#This Row],[Cantidad]]+VLOOKUP(VENTAS[[#This Row],[Código del producto Vendido]],STOCK[],19,FALSE)*VENTAS[[#This Row],[Cantidad]],VENTAS[[#This Row],[Total]])</f>
        <v>14.29</v>
      </c>
      <c r="L1068" s="14">
        <f>VENTAS[[#This Row],[Total]]-VENTAS[[#This Row],[Comisión 10%]]-VENTAS[[#This Row],[Costo SIN Comision]]</f>
        <v>3.71</v>
      </c>
      <c r="M1068" s="14"/>
    </row>
    <row r="1069" ht="20" hidden="1" customHeight="1" spans="1:13">
      <c r="A1069" s="10">
        <v>45485</v>
      </c>
      <c r="B1069" s="11"/>
      <c r="C1069" s="11"/>
      <c r="D1069" s="11" t="s">
        <v>4241</v>
      </c>
      <c r="E1069" s="11"/>
      <c r="F1069" s="11" t="s">
        <v>4296</v>
      </c>
      <c r="G1069" s="11">
        <v>1</v>
      </c>
      <c r="H1069" s="14">
        <v>25</v>
      </c>
      <c r="I1069" s="14">
        <f>VENTAS[[#This Row],[Cantidad]]*VENTAS[[#This Row],[Precio Venta]]</f>
        <v>25</v>
      </c>
      <c r="J1069" s="14">
        <f>IF(VENTAS[[#This Row],[Nombre del Gestor]]&gt;1,VENTAS[[#This Row],[Total]]*10%,0)</f>
        <v>2.5</v>
      </c>
      <c r="K1069" s="14">
        <f>IFERROR(VLOOKUP(VENTAS[[#This Row],[Código del producto Vendido]],STOCK[],16,FALSE)*VENTAS[[#This Row],[Cantidad]]+VLOOKUP(VENTAS[[#This Row],[Código del producto Vendido]],STOCK[],19,FALSE)*VENTAS[[#This Row],[Cantidad]],VENTAS[[#This Row],[Total]])</f>
        <v>25</v>
      </c>
      <c r="L1069" s="14">
        <f>VENTAS[[#This Row],[Total]]-VENTAS[[#This Row],[Comisión 10%]]-VENTAS[[#This Row],[Costo SIN Comision]]</f>
        <v>-2.5</v>
      </c>
      <c r="M1069" s="14"/>
    </row>
    <row r="1070" ht="20" hidden="1" customHeight="1" spans="1:13">
      <c r="A1070" s="10">
        <v>45485</v>
      </c>
      <c r="B1070" s="11"/>
      <c r="C1070" s="11"/>
      <c r="D1070" s="11" t="s">
        <v>4241</v>
      </c>
      <c r="E1070" s="11" t="s">
        <v>2184</v>
      </c>
      <c r="F1070" s="11" t="str">
        <f>IFERROR(VLOOKUP(VENTAS[[#This Row],[Código del producto Vendido]],STOCK[],5,FALSE),"-")</f>
        <v>Bikini sexy de pierna alta en tendencia</v>
      </c>
      <c r="G1070" s="11">
        <v>1</v>
      </c>
      <c r="H1070" s="14">
        <v>20</v>
      </c>
      <c r="I1070" s="14">
        <f>VENTAS[[#This Row],[Cantidad]]*VENTAS[[#This Row],[Precio Venta]]</f>
        <v>20</v>
      </c>
      <c r="J1070" s="14">
        <f>IF(VENTAS[[#This Row],[Nombre del Gestor]]&gt;1,VENTAS[[#This Row],[Total]]*10%,0)</f>
        <v>2</v>
      </c>
      <c r="K1070" s="14">
        <f>IFERROR(VLOOKUP(VENTAS[[#This Row],[Código del producto Vendido]],STOCK[],16,FALSE)*VENTAS[[#This Row],[Cantidad]]+VLOOKUP(VENTAS[[#This Row],[Código del producto Vendido]],STOCK[],19,FALSE)*VENTAS[[#This Row],[Cantidad]],VENTAS[[#This Row],[Total]])</f>
        <v>6.62</v>
      </c>
      <c r="L1070" s="14">
        <f>VENTAS[[#This Row],[Total]]-VENTAS[[#This Row],[Comisión 10%]]-VENTAS[[#This Row],[Costo SIN Comision]]</f>
        <v>11.38</v>
      </c>
      <c r="M1070" s="14"/>
    </row>
    <row r="1071" ht="20" hidden="1" customHeight="1" spans="1:13">
      <c r="A1071" s="10">
        <v>45485</v>
      </c>
      <c r="B1071" s="11"/>
      <c r="C1071" s="11"/>
      <c r="D1071" s="11" t="s">
        <v>4241</v>
      </c>
      <c r="E1071" s="11" t="s">
        <v>2315</v>
      </c>
      <c r="F1071" s="11" t="str">
        <f>IFERROR(VLOOKUP(VENTAS[[#This Row],[Código del producto Vendido]],STOCK[],5,FALSE),"-")</f>
        <v>Blusa Vacaciones con lazo delantero</v>
      </c>
      <c r="G1071" s="11">
        <v>1</v>
      </c>
      <c r="H1071" s="14">
        <v>15</v>
      </c>
      <c r="I1071" s="14">
        <f>VENTAS[[#This Row],[Cantidad]]*VENTAS[[#This Row],[Precio Venta]]</f>
        <v>15</v>
      </c>
      <c r="J1071" s="14">
        <f>IF(VENTAS[[#This Row],[Nombre del Gestor]]&gt;1,VENTAS[[#This Row],[Total]]*10%,0)</f>
        <v>1.5</v>
      </c>
      <c r="K1071" s="14">
        <f>IFERROR(VLOOKUP(VENTAS[[#This Row],[Código del producto Vendido]],STOCK[],16,FALSE)*VENTAS[[#This Row],[Cantidad]]+VLOOKUP(VENTAS[[#This Row],[Código del producto Vendido]],STOCK[],19,FALSE)*VENTAS[[#This Row],[Cantidad]],VENTAS[[#This Row],[Total]])</f>
        <v>8.733125</v>
      </c>
      <c r="L1071" s="14">
        <f>VENTAS[[#This Row],[Total]]-VENTAS[[#This Row],[Comisión 10%]]-VENTAS[[#This Row],[Costo SIN Comision]]</f>
        <v>4.766875</v>
      </c>
      <c r="M1071" s="14"/>
    </row>
    <row r="1072" ht="20" hidden="1" customHeight="1" spans="1:13">
      <c r="A1072" s="10">
        <v>45485</v>
      </c>
      <c r="B1072" s="11"/>
      <c r="C1072" s="11"/>
      <c r="D1072" s="11" t="s">
        <v>4241</v>
      </c>
      <c r="E1072" s="11" t="s">
        <v>2313</v>
      </c>
      <c r="F1072" s="11" t="str">
        <f>IFERROR(VLOOKUP(VENTAS[[#This Row],[Código del producto Vendido]],STOCK[],5,FALSE),"-")</f>
        <v>Blusa Vacaciones con lazo delantero</v>
      </c>
      <c r="G1072" s="11">
        <v>1</v>
      </c>
      <c r="H1072" s="14">
        <v>15</v>
      </c>
      <c r="I1072" s="14">
        <f>VENTAS[[#This Row],[Cantidad]]*VENTAS[[#This Row],[Precio Venta]]</f>
        <v>15</v>
      </c>
      <c r="J1072" s="14">
        <f>IF(VENTAS[[#This Row],[Nombre del Gestor]]&gt;1,VENTAS[[#This Row],[Total]]*10%,0)</f>
        <v>1.5</v>
      </c>
      <c r="K1072" s="14">
        <f>IFERROR(VLOOKUP(VENTAS[[#This Row],[Código del producto Vendido]],STOCK[],16,FALSE)*VENTAS[[#This Row],[Cantidad]]+VLOOKUP(VENTAS[[#This Row],[Código del producto Vendido]],STOCK[],19,FALSE)*VENTAS[[#This Row],[Cantidad]],VENTAS[[#This Row],[Total]])</f>
        <v>8.733125</v>
      </c>
      <c r="L1072" s="14">
        <f>VENTAS[[#This Row],[Total]]-VENTAS[[#This Row],[Comisión 10%]]-VENTAS[[#This Row],[Costo SIN Comision]]</f>
        <v>4.766875</v>
      </c>
      <c r="M1072" s="14"/>
    </row>
    <row r="1073" ht="20" hidden="1" customHeight="1" spans="1:13">
      <c r="A1073" s="10">
        <v>45486</v>
      </c>
      <c r="B1073" s="11"/>
      <c r="C1073" s="11"/>
      <c r="D1073" s="11" t="s">
        <v>4241</v>
      </c>
      <c r="E1073" s="11" t="s">
        <v>2186</v>
      </c>
      <c r="F1073" s="11" t="str">
        <f>IFERROR(VLOOKUP(VENTAS[[#This Row],[Código del producto Vendido]],STOCK[],5,FALSE),"-")</f>
        <v>Bikini sexy de pierna alta en tendencia</v>
      </c>
      <c r="G1073" s="11">
        <v>1</v>
      </c>
      <c r="H1073" s="14">
        <v>20</v>
      </c>
      <c r="I1073" s="14">
        <f>VENTAS[[#This Row],[Cantidad]]*VENTAS[[#This Row],[Precio Venta]]</f>
        <v>20</v>
      </c>
      <c r="J1073" s="14">
        <f>IF(VENTAS[[#This Row],[Nombre del Gestor]]&gt;1,VENTAS[[#This Row],[Total]]*10%,0)</f>
        <v>2</v>
      </c>
      <c r="K1073" s="14">
        <f>IFERROR(VLOOKUP(VENTAS[[#This Row],[Código del producto Vendido]],STOCK[],16,FALSE)*VENTAS[[#This Row],[Cantidad]]+VLOOKUP(VENTAS[[#This Row],[Código del producto Vendido]],STOCK[],19,FALSE)*VENTAS[[#This Row],[Cantidad]],VENTAS[[#This Row],[Total]])</f>
        <v>6.62</v>
      </c>
      <c r="L1073" s="14">
        <f>VENTAS[[#This Row],[Total]]-VENTAS[[#This Row],[Comisión 10%]]-VENTAS[[#This Row],[Costo SIN Comision]]</f>
        <v>11.38</v>
      </c>
      <c r="M1073" s="14"/>
    </row>
    <row r="1074" ht="20" hidden="1" customHeight="1" spans="1:13">
      <c r="A1074" s="10">
        <v>45487</v>
      </c>
      <c r="B1074" s="11"/>
      <c r="C1074" s="11"/>
      <c r="D1074" s="11" t="s">
        <v>4241</v>
      </c>
      <c r="E1074" s="11" t="s">
        <v>2176</v>
      </c>
      <c r="F1074" s="11" t="str">
        <f>IFERROR(VLOOKUP(VENTAS[[#This Row],[Código del producto Vendido]],STOCK[],5,FALSE),"-")</f>
        <v>Set de bikini 2 piezas estampado de colores con adorno de aro</v>
      </c>
      <c r="G1074" s="11">
        <v>1</v>
      </c>
      <c r="H1074" s="14">
        <v>18</v>
      </c>
      <c r="I1074" s="14">
        <f>VENTAS[[#This Row],[Cantidad]]*VENTAS[[#This Row],[Precio Venta]]</f>
        <v>18</v>
      </c>
      <c r="J1074" s="14">
        <f>IF(VENTAS[[#This Row],[Nombre del Gestor]]&gt;1,VENTAS[[#This Row],[Total]]*10%,0)</f>
        <v>1.8</v>
      </c>
      <c r="K1074" s="14">
        <f>IFERROR(VLOOKUP(VENTAS[[#This Row],[Código del producto Vendido]],STOCK[],16,FALSE)*VENTAS[[#This Row],[Cantidad]]+VLOOKUP(VENTAS[[#This Row],[Código del producto Vendido]],STOCK[],19,FALSE)*VENTAS[[#This Row],[Cantidad]],VENTAS[[#This Row],[Total]])</f>
        <v>4.43</v>
      </c>
      <c r="L1074" s="14">
        <f>VENTAS[[#This Row],[Total]]-VENTAS[[#This Row],[Comisión 10%]]-VENTAS[[#This Row],[Costo SIN Comision]]</f>
        <v>11.77</v>
      </c>
      <c r="M1074" s="14"/>
    </row>
    <row r="1075" ht="20" hidden="1" customHeight="1" spans="1:13">
      <c r="A1075" s="10">
        <v>45487</v>
      </c>
      <c r="B1075" s="11"/>
      <c r="C1075" s="11"/>
      <c r="D1075" s="11" t="s">
        <v>4241</v>
      </c>
      <c r="E1075" s="11" t="s">
        <v>2208</v>
      </c>
      <c r="F1075" s="11" t="str">
        <f>IFERROR(VLOOKUP(VENTAS[[#This Row],[Código del producto Vendido]],STOCK[],5,FALSE),"-")</f>
        <v>Bolso TOTE arcoíris trending </v>
      </c>
      <c r="G1075" s="11">
        <v>1</v>
      </c>
      <c r="H1075" s="14">
        <v>12</v>
      </c>
      <c r="I1075" s="14">
        <f>VENTAS[[#This Row],[Cantidad]]*VENTAS[[#This Row],[Precio Venta]]</f>
        <v>12</v>
      </c>
      <c r="J1075" s="14">
        <f>IF(VENTAS[[#This Row],[Nombre del Gestor]]&gt;1,VENTAS[[#This Row],[Total]]*10%,0)</f>
        <v>1.2</v>
      </c>
      <c r="K1075" s="14">
        <f>IFERROR(VLOOKUP(VENTAS[[#This Row],[Código del producto Vendido]],STOCK[],16,FALSE)*VENTAS[[#This Row],[Cantidad]]+VLOOKUP(VENTAS[[#This Row],[Código del producto Vendido]],STOCK[],19,FALSE)*VENTAS[[#This Row],[Cantidad]],VENTAS[[#This Row],[Total]])</f>
        <v>5.84</v>
      </c>
      <c r="L1075" s="14">
        <f>VENTAS[[#This Row],[Total]]-VENTAS[[#This Row],[Comisión 10%]]-VENTAS[[#This Row],[Costo SIN Comision]]</f>
        <v>4.96</v>
      </c>
      <c r="M1075" s="14"/>
    </row>
    <row r="1076" ht="20" hidden="1" customHeight="1" spans="1:13">
      <c r="A1076" s="10">
        <v>45487</v>
      </c>
      <c r="B1076" s="11"/>
      <c r="C1076" s="11"/>
      <c r="D1076" s="11" t="s">
        <v>4241</v>
      </c>
      <c r="E1076" s="11" t="s">
        <v>1898</v>
      </c>
      <c r="F1076" s="11" t="str">
        <f>IFERROR(VLOOKUP(VENTAS[[#This Row],[Código del producto Vendido]],STOCK[],5,FALSE),"-")</f>
        <v>Bolso mochila estampado</v>
      </c>
      <c r="G1076" s="11">
        <v>1</v>
      </c>
      <c r="H1076" s="14">
        <v>25</v>
      </c>
      <c r="I1076" s="14">
        <f>VENTAS[[#This Row],[Cantidad]]*VENTAS[[#This Row],[Precio Venta]]</f>
        <v>25</v>
      </c>
      <c r="J1076" s="14">
        <f>IF(VENTAS[[#This Row],[Nombre del Gestor]]&gt;1,VENTAS[[#This Row],[Total]]*10%,0)</f>
        <v>2.5</v>
      </c>
      <c r="K1076" s="14">
        <f>IFERROR(VLOOKUP(VENTAS[[#This Row],[Código del producto Vendido]],STOCK[],16,FALSE)*VENTAS[[#This Row],[Cantidad]]+VLOOKUP(VENTAS[[#This Row],[Código del producto Vendido]],STOCK[],19,FALSE)*VENTAS[[#This Row],[Cantidad]],VENTAS[[#This Row],[Total]])</f>
        <v>12.62</v>
      </c>
      <c r="L1076" s="14">
        <f>VENTAS[[#This Row],[Total]]-VENTAS[[#This Row],[Comisión 10%]]-VENTAS[[#This Row],[Costo SIN Comision]]</f>
        <v>9.88</v>
      </c>
      <c r="M1076" s="14"/>
    </row>
    <row r="1077" ht="20" hidden="1" customHeight="1" spans="1:13">
      <c r="A1077" s="10">
        <v>45487</v>
      </c>
      <c r="B1077" s="11"/>
      <c r="C1077" s="11"/>
      <c r="D1077" s="11" t="s">
        <v>4266</v>
      </c>
      <c r="E1077" s="11" t="s">
        <v>1656</v>
      </c>
      <c r="F1077" s="11" t="str">
        <f>IFERROR(VLOOKUP(VENTAS[[#This Row],[Código del producto Vendido]],STOCK[],5,FALSE),"-")</f>
        <v>Vestido margarita</v>
      </c>
      <c r="G1077" s="11">
        <v>1</v>
      </c>
      <c r="H1077" s="14">
        <v>28</v>
      </c>
      <c r="I1077" s="14">
        <f>VENTAS[[#This Row],[Cantidad]]*VENTAS[[#This Row],[Precio Venta]]</f>
        <v>28</v>
      </c>
      <c r="J1077" s="14">
        <f>IF(VENTAS[[#This Row],[Nombre del Gestor]]&gt;1,VENTAS[[#This Row],[Total]]*10%,0)</f>
        <v>2.8</v>
      </c>
      <c r="K1077" s="14">
        <f>IFERROR(VLOOKUP(VENTAS[[#This Row],[Código del producto Vendido]],STOCK[],16,FALSE)*VENTAS[[#This Row],[Cantidad]]+VLOOKUP(VENTAS[[#This Row],[Código del producto Vendido]],STOCK[],19,FALSE)*VENTAS[[#This Row],[Cantidad]],VENTAS[[#This Row],[Total]])</f>
        <v>15.05</v>
      </c>
      <c r="L1077" s="14">
        <f>VENTAS[[#This Row],[Total]]-VENTAS[[#This Row],[Comisión 10%]]-VENTAS[[#This Row],[Costo SIN Comision]]</f>
        <v>10.15</v>
      </c>
      <c r="M1077" s="14"/>
    </row>
    <row r="1078" ht="20" hidden="1" customHeight="1" spans="1:13">
      <c r="A1078" s="10">
        <v>45487</v>
      </c>
      <c r="B1078" s="11"/>
      <c r="C1078" s="11"/>
      <c r="D1078" s="11" t="s">
        <v>4266</v>
      </c>
      <c r="E1078" s="11" t="s">
        <v>2211</v>
      </c>
      <c r="F1078" s="11" t="str">
        <f>IFERROR(VLOOKUP(VENTAS[[#This Row],[Código del producto Vendido]],STOCK[],5,FALSE),"-")</f>
        <v>Vestido Resorte estampado bohemio</v>
      </c>
      <c r="G1078" s="11">
        <v>1</v>
      </c>
      <c r="H1078" s="14">
        <v>35</v>
      </c>
      <c r="I1078" s="14">
        <f>VENTAS[[#This Row],[Cantidad]]*VENTAS[[#This Row],[Precio Venta]]</f>
        <v>35</v>
      </c>
      <c r="J1078" s="14">
        <f>IF(VENTAS[[#This Row],[Nombre del Gestor]]&gt;1,VENTAS[[#This Row],[Total]]*10%,0)</f>
        <v>3.5</v>
      </c>
      <c r="K1078" s="14">
        <f>IFERROR(VLOOKUP(VENTAS[[#This Row],[Código del producto Vendido]],STOCK[],16,FALSE)*VENTAS[[#This Row],[Cantidad]]+VLOOKUP(VENTAS[[#This Row],[Código del producto Vendido]],STOCK[],19,FALSE)*VENTAS[[#This Row],[Cantidad]],VENTAS[[#This Row],[Total]])</f>
        <v>15.39</v>
      </c>
      <c r="L1078" s="14">
        <f>VENTAS[[#This Row],[Total]]-VENTAS[[#This Row],[Comisión 10%]]-VENTAS[[#This Row],[Costo SIN Comision]]</f>
        <v>16.11</v>
      </c>
      <c r="M1078" s="14"/>
    </row>
    <row r="1079" ht="20" hidden="1" customHeight="1" spans="1:13">
      <c r="A1079" s="10">
        <v>45484</v>
      </c>
      <c r="B1079" s="11"/>
      <c r="C1079" s="11"/>
      <c r="D1079" s="11" t="s">
        <v>4266</v>
      </c>
      <c r="E1079" s="11" t="s">
        <v>1681</v>
      </c>
      <c r="F1079" s="11" t="str">
        <f>IFERROR(VLOOKUP(VENTAS[[#This Row],[Código del producto Vendido]],STOCK[],5,FALSE),"-")</f>
        <v>Vestido Frenchy</v>
      </c>
      <c r="G1079" s="11">
        <v>1</v>
      </c>
      <c r="H1079" s="14">
        <v>20</v>
      </c>
      <c r="I1079" s="14">
        <f>VENTAS[[#This Row],[Cantidad]]*VENTAS[[#This Row],[Precio Venta]]</f>
        <v>20</v>
      </c>
      <c r="J1079" s="14">
        <f>IF(VENTAS[[#This Row],[Nombre del Gestor]]&gt;1,VENTAS[[#This Row],[Total]]*10%,0)</f>
        <v>2</v>
      </c>
      <c r="K1079" s="14">
        <f>IFERROR(VLOOKUP(VENTAS[[#This Row],[Código del producto Vendido]],STOCK[],16,FALSE)*VENTAS[[#This Row],[Cantidad]]+VLOOKUP(VENTAS[[#This Row],[Código del producto Vendido]],STOCK[],19,FALSE)*VENTAS[[#This Row],[Cantidad]],VENTAS[[#This Row],[Total]])</f>
        <v>11.56</v>
      </c>
      <c r="L1079" s="14">
        <f>VENTAS[[#This Row],[Total]]-VENTAS[[#This Row],[Comisión 10%]]-VENTAS[[#This Row],[Costo SIN Comision]]</f>
        <v>6.44</v>
      </c>
      <c r="M1079" s="14"/>
    </row>
    <row r="1080" ht="20" hidden="1" customHeight="1" spans="1:13">
      <c r="A1080" s="10">
        <v>45484</v>
      </c>
      <c r="B1080" s="11"/>
      <c r="C1080" s="11"/>
      <c r="D1080" s="11" t="s">
        <v>4266</v>
      </c>
      <c r="E1080" s="11" t="s">
        <v>428</v>
      </c>
      <c r="F1080" s="11" t="str">
        <f>IFERROR(VLOOKUP(VENTAS[[#This Row],[Código del producto Vendido]],STOCK[],5,FALSE),"-")</f>
        <v>Mono Bohemio con cinturón </v>
      </c>
      <c r="G1080" s="11">
        <v>1</v>
      </c>
      <c r="H1080" s="14">
        <v>23</v>
      </c>
      <c r="I1080" s="14">
        <f>VENTAS[[#This Row],[Cantidad]]*VENTAS[[#This Row],[Precio Venta]]</f>
        <v>23</v>
      </c>
      <c r="J1080" s="14">
        <f>IF(VENTAS[[#This Row],[Nombre del Gestor]]&gt;1,VENTAS[[#This Row],[Total]]*10%,0)</f>
        <v>2.3</v>
      </c>
      <c r="K1080" s="14">
        <f>IFERROR(VLOOKUP(VENTAS[[#This Row],[Código del producto Vendido]],STOCK[],16,FALSE)*VENTAS[[#This Row],[Cantidad]]+VLOOKUP(VENTAS[[#This Row],[Código del producto Vendido]],STOCK[],19,FALSE)*VENTAS[[#This Row],[Cantidad]],VENTAS[[#This Row],[Total]])</f>
        <v>14.7022222222222</v>
      </c>
      <c r="L1080" s="14">
        <f>VENTAS[[#This Row],[Total]]-VENTAS[[#This Row],[Comisión 10%]]-VENTAS[[#This Row],[Costo SIN Comision]]</f>
        <v>5.9977777777778</v>
      </c>
      <c r="M1080" s="14"/>
    </row>
    <row r="1081" ht="20" hidden="1" customHeight="1" spans="1:13">
      <c r="A1081" s="10">
        <v>45483</v>
      </c>
      <c r="B1081" s="11"/>
      <c r="C1081" s="11"/>
      <c r="D1081" s="11" t="s">
        <v>4266</v>
      </c>
      <c r="E1081" s="11" t="s">
        <v>1818</v>
      </c>
      <c r="F1081" s="11" t="str">
        <f>IFERROR(VLOOKUP(VENTAS[[#This Row],[Código del producto Vendido]],STOCK[],5,FALSE),"-")</f>
        <v>Vestido Midi Elegante</v>
      </c>
      <c r="G1081" s="11">
        <v>1</v>
      </c>
      <c r="H1081" s="14">
        <v>22</v>
      </c>
      <c r="I1081" s="14">
        <f>VENTAS[[#This Row],[Cantidad]]*VENTAS[[#This Row],[Precio Venta]]</f>
        <v>22</v>
      </c>
      <c r="J1081" s="14">
        <f>IF(VENTAS[[#This Row],[Nombre del Gestor]]&gt;1,VENTAS[[#This Row],[Total]]*10%,0)</f>
        <v>2.2</v>
      </c>
      <c r="K1081" s="14">
        <f>IFERROR(VLOOKUP(VENTAS[[#This Row],[Código del producto Vendido]],STOCK[],16,FALSE)*VENTAS[[#This Row],[Cantidad]]+VLOOKUP(VENTAS[[#This Row],[Código del producto Vendido]],STOCK[],19,FALSE)*VENTAS[[#This Row],[Cantidad]],VENTAS[[#This Row],[Total]])</f>
        <v>10.79</v>
      </c>
      <c r="L1081" s="14">
        <f>VENTAS[[#This Row],[Total]]-VENTAS[[#This Row],[Comisión 10%]]-VENTAS[[#This Row],[Costo SIN Comision]]</f>
        <v>9.01</v>
      </c>
      <c r="M1081" s="14"/>
    </row>
    <row r="1082" ht="20" hidden="1" customHeight="1" spans="1:13">
      <c r="A1082" s="10">
        <v>45485</v>
      </c>
      <c r="B1082" s="11"/>
      <c r="C1082" s="11"/>
      <c r="D1082" s="11" t="s">
        <v>4272</v>
      </c>
      <c r="E1082" s="11" t="s">
        <v>1927</v>
      </c>
      <c r="F1082" s="11" t="str">
        <f>IFERROR(VLOOKUP(VENTAS[[#This Row],[Código del producto Vendido]],STOCK[],5,FALSE),"-")</f>
        <v>Sujetador Invisible Suave sin tirantes</v>
      </c>
      <c r="G1082" s="11">
        <v>1</v>
      </c>
      <c r="H1082" s="14">
        <v>12</v>
      </c>
      <c r="I1082" s="14">
        <f>VENTAS[[#This Row],[Cantidad]]*VENTAS[[#This Row],[Precio Venta]]</f>
        <v>12</v>
      </c>
      <c r="J1082" s="14">
        <f>IF(VENTAS[[#This Row],[Nombre del Gestor]]&gt;1,VENTAS[[#This Row],[Total]]*10%,0)</f>
        <v>1.2</v>
      </c>
      <c r="K1082" s="14">
        <f>IFERROR(VLOOKUP(VENTAS[[#This Row],[Código del producto Vendido]],STOCK[],16,FALSE)*VENTAS[[#This Row],[Cantidad]]+VLOOKUP(VENTAS[[#This Row],[Código del producto Vendido]],STOCK[],19,FALSE)*VENTAS[[#This Row],[Cantidad]],VENTAS[[#This Row],[Total]])</f>
        <v>4.97</v>
      </c>
      <c r="L1082" s="14">
        <f>VENTAS[[#This Row],[Total]]-VENTAS[[#This Row],[Comisión 10%]]-VENTAS[[#This Row],[Costo SIN Comision]]</f>
        <v>5.83</v>
      </c>
      <c r="M1082" s="14"/>
    </row>
    <row r="1083" ht="20" hidden="1" customHeight="1" spans="1:13">
      <c r="A1083" s="10">
        <v>45485</v>
      </c>
      <c r="B1083" s="11"/>
      <c r="C1083" s="11"/>
      <c r="D1083" s="11" t="s">
        <v>4272</v>
      </c>
      <c r="E1083" s="11" t="s">
        <v>1931</v>
      </c>
      <c r="F1083" s="11" t="str">
        <f>IFERROR(VLOOKUP(VENTAS[[#This Row],[Código del producto Vendido]],STOCK[],5,FALSE),"-")</f>
        <v>Sujetador Invisible Suave sin tirantes</v>
      </c>
      <c r="G1083" s="11">
        <v>1</v>
      </c>
      <c r="H1083" s="14">
        <v>12</v>
      </c>
      <c r="I1083" s="14">
        <f>VENTAS[[#This Row],[Cantidad]]*VENTAS[[#This Row],[Precio Venta]]</f>
        <v>12</v>
      </c>
      <c r="J1083" s="14">
        <f>IF(VENTAS[[#This Row],[Nombre del Gestor]]&gt;1,VENTAS[[#This Row],[Total]]*10%,0)</f>
        <v>1.2</v>
      </c>
      <c r="K1083" s="14">
        <f>IFERROR(VLOOKUP(VENTAS[[#This Row],[Código del producto Vendido]],STOCK[],16,FALSE)*VENTAS[[#This Row],[Cantidad]]+VLOOKUP(VENTAS[[#This Row],[Código del producto Vendido]],STOCK[],19,FALSE)*VENTAS[[#This Row],[Cantidad]],VENTAS[[#This Row],[Total]])</f>
        <v>4.97</v>
      </c>
      <c r="L1083" s="14">
        <f>VENTAS[[#This Row],[Total]]-VENTAS[[#This Row],[Comisión 10%]]-VENTAS[[#This Row],[Costo SIN Comision]]</f>
        <v>5.83</v>
      </c>
      <c r="M1083" s="14"/>
    </row>
    <row r="1084" ht="20" hidden="1" customHeight="1" spans="1:13">
      <c r="A1084" s="10">
        <v>45482</v>
      </c>
      <c r="B1084" s="11"/>
      <c r="C1084" s="11"/>
      <c r="D1084" s="11" t="s">
        <v>4272</v>
      </c>
      <c r="E1084" s="11" t="s">
        <v>765</v>
      </c>
      <c r="F1084" s="11" t="str">
        <f>IFERROR(VLOOKUP(VENTAS[[#This Row],[Código del producto Vendido]],STOCK[],5,FALSE),"-")</f>
        <v>Sandalias anudadas</v>
      </c>
      <c r="G1084" s="11">
        <v>1</v>
      </c>
      <c r="H1084" s="14">
        <v>27</v>
      </c>
      <c r="I1084" s="14">
        <f>VENTAS[[#This Row],[Cantidad]]*VENTAS[[#This Row],[Precio Venta]]</f>
        <v>27</v>
      </c>
      <c r="J1084" s="14">
        <f>IF(VENTAS[[#This Row],[Nombre del Gestor]]&gt;1,VENTAS[[#This Row],[Total]]*10%,0)</f>
        <v>2.7</v>
      </c>
      <c r="K1084" s="14">
        <f>IFERROR(VLOOKUP(VENTAS[[#This Row],[Código del producto Vendido]],STOCK[],16,FALSE)*VENTAS[[#This Row],[Cantidad]]+VLOOKUP(VENTAS[[#This Row],[Código del producto Vendido]],STOCK[],19,FALSE)*VENTAS[[#This Row],[Cantidad]],VENTAS[[#This Row],[Total]])</f>
        <v>18.7222222222222</v>
      </c>
      <c r="L1084" s="14">
        <f>VENTAS[[#This Row],[Total]]-VENTAS[[#This Row],[Comisión 10%]]-VENTAS[[#This Row],[Costo SIN Comision]]</f>
        <v>5.5777777777778</v>
      </c>
      <c r="M1084" s="14"/>
    </row>
    <row r="1085" ht="20" hidden="1" customHeight="1" spans="1:13">
      <c r="A1085" s="10">
        <v>45486</v>
      </c>
      <c r="B1085" s="11"/>
      <c r="C1085" s="11"/>
      <c r="D1085" s="11" t="s">
        <v>4212</v>
      </c>
      <c r="E1085" s="11" t="s">
        <v>1915</v>
      </c>
      <c r="F1085" s="11" t="str">
        <f>IFERROR(VLOOKUP(VENTAS[[#This Row],[Código del producto Vendido]],STOCK[],5,FALSE),"-")</f>
        <v>Gafas de Sol Retro Negro</v>
      </c>
      <c r="G1085" s="11">
        <v>1</v>
      </c>
      <c r="H1085" s="14">
        <v>8</v>
      </c>
      <c r="I1085" s="14">
        <f>VENTAS[[#This Row],[Cantidad]]*VENTAS[[#This Row],[Precio Venta]]</f>
        <v>8</v>
      </c>
      <c r="J1085" s="14">
        <f>IF(VENTAS[[#This Row],[Nombre del Gestor]]&gt;1,VENTAS[[#This Row],[Total]]*10%,0)</f>
        <v>0.8</v>
      </c>
      <c r="K1085" s="14">
        <f>IFERROR(VLOOKUP(VENTAS[[#This Row],[Código del producto Vendido]],STOCK[],16,FALSE)*VENTAS[[#This Row],[Cantidad]]+VLOOKUP(VENTAS[[#This Row],[Código del producto Vendido]],STOCK[],19,FALSE)*VENTAS[[#This Row],[Cantidad]],VENTAS[[#This Row],[Total]])</f>
        <v>4.86</v>
      </c>
      <c r="L1085" s="14">
        <f>VENTAS[[#This Row],[Total]]-VENTAS[[#This Row],[Comisión 10%]]-VENTAS[[#This Row],[Costo SIN Comision]]</f>
        <v>2.34</v>
      </c>
      <c r="M1085" s="14"/>
    </row>
    <row r="1086" ht="20" hidden="1" customHeight="1" spans="1:13">
      <c r="A1086" s="10">
        <v>45485</v>
      </c>
      <c r="B1086" s="11"/>
      <c r="C1086" s="11"/>
      <c r="D1086" s="11" t="s">
        <v>4270</v>
      </c>
      <c r="E1086" s="11" t="s">
        <v>1211</v>
      </c>
      <c r="F1086" s="11" t="str">
        <f>IFERROR(VLOOKUP(VENTAS[[#This Row],[Código del producto Vendido]],STOCK[],5,FALSE),"-")</f>
        <v>Falda negra con flores y abertura</v>
      </c>
      <c r="G1086" s="11">
        <v>1</v>
      </c>
      <c r="H1086" s="14">
        <v>18</v>
      </c>
      <c r="I1086" s="14">
        <f>VENTAS[[#This Row],[Cantidad]]*VENTAS[[#This Row],[Precio Venta]]</f>
        <v>18</v>
      </c>
      <c r="J1086" s="14">
        <f>IF(VENTAS[[#This Row],[Nombre del Gestor]]&gt;1,VENTAS[[#This Row],[Total]]*10%,0)</f>
        <v>1.8</v>
      </c>
      <c r="K1086" s="14">
        <f>IFERROR(VLOOKUP(VENTAS[[#This Row],[Código del producto Vendido]],STOCK[],16,FALSE)*VENTAS[[#This Row],[Cantidad]]+VLOOKUP(VENTAS[[#This Row],[Código del producto Vendido]],STOCK[],19,FALSE)*VENTAS[[#This Row],[Cantidad]],VENTAS[[#This Row],[Total]])</f>
        <v>10.77</v>
      </c>
      <c r="L1086" s="14">
        <f>VENTAS[[#This Row],[Total]]-VENTAS[[#This Row],[Comisión 10%]]-VENTAS[[#This Row],[Costo SIN Comision]]</f>
        <v>5.43</v>
      </c>
      <c r="M1086" s="14"/>
    </row>
    <row r="1087" ht="20" hidden="1" customHeight="1" spans="1:13">
      <c r="A1087" s="10">
        <v>45485</v>
      </c>
      <c r="B1087" s="11"/>
      <c r="C1087" s="11"/>
      <c r="D1087" s="11" t="s">
        <v>4270</v>
      </c>
      <c r="E1087" s="11" t="s">
        <v>814</v>
      </c>
      <c r="F1087" s="11" t="str">
        <f>IFERROR(VLOOKUP(VENTAS[[#This Row],[Código del producto Vendido]],STOCK[],5,FALSE),"-")</f>
        <v>Top de cuello asimétrico</v>
      </c>
      <c r="G1087" s="11">
        <v>1</v>
      </c>
      <c r="H1087" s="14">
        <v>10</v>
      </c>
      <c r="I1087" s="14">
        <f>VENTAS[[#This Row],[Cantidad]]*VENTAS[[#This Row],[Precio Venta]]</f>
        <v>10</v>
      </c>
      <c r="J1087" s="14">
        <f>IF(VENTAS[[#This Row],[Nombre del Gestor]]&gt;1,VENTAS[[#This Row],[Total]]*10%,0)</f>
        <v>1</v>
      </c>
      <c r="K1087" s="14">
        <f>IFERROR(VLOOKUP(VENTAS[[#This Row],[Código del producto Vendido]],STOCK[],16,FALSE)*VENTAS[[#This Row],[Cantidad]]+VLOOKUP(VENTAS[[#This Row],[Código del producto Vendido]],STOCK[],19,FALSE)*VENTAS[[#This Row],[Cantidad]],VENTAS[[#This Row],[Total]])</f>
        <v>6.22222222222222</v>
      </c>
      <c r="L1087" s="14">
        <f>VENTAS[[#This Row],[Total]]-VENTAS[[#This Row],[Comisión 10%]]-VENTAS[[#This Row],[Costo SIN Comision]]</f>
        <v>2.77777777777778</v>
      </c>
      <c r="M1087" s="14"/>
    </row>
    <row r="1088" ht="20" hidden="1" customHeight="1" spans="1:13">
      <c r="A1088" s="10">
        <v>45483</v>
      </c>
      <c r="B1088" s="11"/>
      <c r="C1088" s="11"/>
      <c r="D1088" s="11" t="s">
        <v>4270</v>
      </c>
      <c r="E1088" s="11" t="s">
        <v>2409</v>
      </c>
      <c r="F1088" s="11" t="str">
        <f>IFERROR(VLOOKUP(VENTAS[[#This Row],[Código del producto Vendido]],STOCK[],5,FALSE),"-")</f>
        <v>Pantalón de vestir de viscosa y lino (beige claro)</v>
      </c>
      <c r="G1088" s="11">
        <v>1</v>
      </c>
      <c r="H1088" s="14">
        <v>35</v>
      </c>
      <c r="I1088" s="14">
        <f>VENTAS[[#This Row],[Cantidad]]*VENTAS[[#This Row],[Precio Venta]]</f>
        <v>35</v>
      </c>
      <c r="J1088" s="14">
        <f>IF(VENTAS[[#This Row],[Nombre del Gestor]]&gt;1,VENTAS[[#This Row],[Total]]*10%,0)</f>
        <v>3.5</v>
      </c>
      <c r="K1088" s="14">
        <f>IFERROR(VLOOKUP(VENTAS[[#This Row],[Código del producto Vendido]],STOCK[],16,FALSE)*VENTAS[[#This Row],[Cantidad]]+VLOOKUP(VENTAS[[#This Row],[Código del producto Vendido]],STOCK[],19,FALSE)*VENTAS[[#This Row],[Cantidad]],VENTAS[[#This Row],[Total]])</f>
        <v>17.2520211515864</v>
      </c>
      <c r="L1088" s="14">
        <f>VENTAS[[#This Row],[Total]]-VENTAS[[#This Row],[Comisión 10%]]-VENTAS[[#This Row],[Costo SIN Comision]]</f>
        <v>14.2479788484136</v>
      </c>
      <c r="M1088" s="14"/>
    </row>
    <row r="1089" ht="20" hidden="1" customHeight="1" spans="1:13">
      <c r="A1089" s="10">
        <v>45482</v>
      </c>
      <c r="B1089" s="11"/>
      <c r="C1089" s="11"/>
      <c r="D1089" s="11" t="s">
        <v>4270</v>
      </c>
      <c r="E1089" s="11" t="s">
        <v>1856</v>
      </c>
      <c r="F1089" s="11" t="str">
        <f>IFERROR(VLOOKUP(VENTAS[[#This Row],[Código del producto Vendido]],STOCK[],5,FALSE),"-")</f>
        <v>Crossbody Bag Blanco Lacado</v>
      </c>
      <c r="G1089" s="11">
        <v>1</v>
      </c>
      <c r="H1089" s="14">
        <v>20</v>
      </c>
      <c r="I1089" s="14">
        <f>VENTAS[[#This Row],[Cantidad]]*VENTAS[[#This Row],[Precio Venta]]</f>
        <v>20</v>
      </c>
      <c r="J1089" s="14">
        <f>IF(VENTAS[[#This Row],[Nombre del Gestor]]&gt;1,VENTAS[[#This Row],[Total]]*10%,0)</f>
        <v>2</v>
      </c>
      <c r="K1089" s="14">
        <f>IFERROR(VLOOKUP(VENTAS[[#This Row],[Código del producto Vendido]],STOCK[],16,FALSE)*VENTAS[[#This Row],[Cantidad]]+VLOOKUP(VENTAS[[#This Row],[Código del producto Vendido]],STOCK[],19,FALSE)*VENTAS[[#This Row],[Cantidad]],VENTAS[[#This Row],[Total]])</f>
        <v>10.79</v>
      </c>
      <c r="L1089" s="14">
        <f>VENTAS[[#This Row],[Total]]-VENTAS[[#This Row],[Comisión 10%]]-VENTAS[[#This Row],[Costo SIN Comision]]</f>
        <v>7.21</v>
      </c>
      <c r="M1089" s="14"/>
    </row>
    <row r="1090" ht="20" hidden="1" customHeight="1" spans="1:13">
      <c r="A1090" s="10">
        <v>45481</v>
      </c>
      <c r="B1090" s="11"/>
      <c r="C1090" s="11"/>
      <c r="D1090" s="11" t="s">
        <v>4270</v>
      </c>
      <c r="E1090" s="11" t="s">
        <v>1635</v>
      </c>
      <c r="F1090" s="11" t="str">
        <f>IFERROR(VLOOKUP(VENTAS[[#This Row],[Código del producto Vendido]],STOCK[],5,FALSE),"-")</f>
        <v>Vestido Privé  </v>
      </c>
      <c r="G1090" s="11">
        <v>1</v>
      </c>
      <c r="H1090" s="14">
        <v>25</v>
      </c>
      <c r="I1090" s="14">
        <f>VENTAS[[#This Row],[Cantidad]]*VENTAS[[#This Row],[Precio Venta]]</f>
        <v>25</v>
      </c>
      <c r="J1090" s="14">
        <f>IF(VENTAS[[#This Row],[Nombre del Gestor]]&gt;1,VENTAS[[#This Row],[Total]]*10%,0)</f>
        <v>2.5</v>
      </c>
      <c r="K1090" s="14">
        <f>IFERROR(VLOOKUP(VENTAS[[#This Row],[Código del producto Vendido]],STOCK[],16,FALSE)*VENTAS[[#This Row],[Cantidad]]+VLOOKUP(VENTAS[[#This Row],[Código del producto Vendido]],STOCK[],19,FALSE)*VENTAS[[#This Row],[Cantidad]],VENTAS[[#This Row],[Total]])</f>
        <v>11.1</v>
      </c>
      <c r="L1090" s="14">
        <f>VENTAS[[#This Row],[Total]]-VENTAS[[#This Row],[Comisión 10%]]-VENTAS[[#This Row],[Costo SIN Comision]]</f>
        <v>11.4</v>
      </c>
      <c r="M1090" s="14"/>
    </row>
    <row r="1091" ht="20" hidden="1" customHeight="1" spans="1:13">
      <c r="A1091" s="10">
        <v>45474</v>
      </c>
      <c r="B1091" s="11"/>
      <c r="C1091" s="11"/>
      <c r="D1091" s="11" t="s">
        <v>4297</v>
      </c>
      <c r="E1091" s="11" t="s">
        <v>2368</v>
      </c>
      <c r="F1091" s="11" t="str">
        <f>IFERROR(VLOOKUP(VENTAS[[#This Row],[Código del producto Vendido]],STOCK[],5,FALSE),"-")</f>
        <v>Sombrero de protección Verano fashionista</v>
      </c>
      <c r="G1091" s="11">
        <v>1</v>
      </c>
      <c r="H1091" s="14">
        <v>15</v>
      </c>
      <c r="I1091" s="14">
        <f>VENTAS[[#This Row],[Cantidad]]*VENTAS[[#This Row],[Precio Venta]]</f>
        <v>15</v>
      </c>
      <c r="J1091" s="14">
        <f>IF(VENTAS[[#This Row],[Nombre del Gestor]]&gt;1,VENTAS[[#This Row],[Total]]*10%,0)</f>
        <v>1.5</v>
      </c>
      <c r="K1091" s="14">
        <f>IFERROR(VLOOKUP(VENTAS[[#This Row],[Código del producto Vendido]],STOCK[],16,FALSE)*VENTAS[[#This Row],[Cantidad]]+VLOOKUP(VENTAS[[#This Row],[Código del producto Vendido]],STOCK[],19,FALSE)*VENTAS[[#This Row],[Cantidad]],VENTAS[[#This Row],[Total]])</f>
        <v>8.551875</v>
      </c>
      <c r="L1091" s="14">
        <f>VENTAS[[#This Row],[Total]]-VENTAS[[#This Row],[Comisión 10%]]-VENTAS[[#This Row],[Costo SIN Comision]]</f>
        <v>4.948125</v>
      </c>
      <c r="M1091" s="14"/>
    </row>
    <row r="1092" ht="20" hidden="1" customHeight="1" spans="1:13">
      <c r="A1092" s="10">
        <v>45483</v>
      </c>
      <c r="B1092" s="11" t="s">
        <v>4219</v>
      </c>
      <c r="C1092" s="11" t="s">
        <v>4298</v>
      </c>
      <c r="D1092" s="11"/>
      <c r="E1092" s="11" t="s">
        <v>2179</v>
      </c>
      <c r="F1092" s="11" t="str">
        <f>IFERROR(VLOOKUP(VENTAS[[#This Row],[Código del producto Vendido]],STOCK[],5,FALSE),"-")</f>
        <v>Bikini sexy de pierna alta en tendencia</v>
      </c>
      <c r="G1092" s="11">
        <v>1</v>
      </c>
      <c r="H1092" s="14">
        <v>18</v>
      </c>
      <c r="I1092" s="14">
        <f>VENTAS[[#This Row],[Cantidad]]*VENTAS[[#This Row],[Precio Venta]]</f>
        <v>18</v>
      </c>
      <c r="J1092" s="14">
        <f>IF(VENTAS[[#This Row],[Nombre del Gestor]]&gt;1,VENTAS[[#This Row],[Total]]*10%,0)</f>
        <v>0</v>
      </c>
      <c r="K1092" s="14">
        <f>IFERROR(VLOOKUP(VENTAS[[#This Row],[Código del producto Vendido]],STOCK[],16,FALSE)*VENTAS[[#This Row],[Cantidad]]+VLOOKUP(VENTAS[[#This Row],[Código del producto Vendido]],STOCK[],19,FALSE)*VENTAS[[#This Row],[Cantidad]],VENTAS[[#This Row],[Total]])</f>
        <v>6.62</v>
      </c>
      <c r="L1092" s="14">
        <f>VENTAS[[#This Row],[Total]]-VENTAS[[#This Row],[Comisión 10%]]-VENTAS[[#This Row],[Costo SIN Comision]]</f>
        <v>11.38</v>
      </c>
      <c r="M1092" s="14"/>
    </row>
    <row r="1093" ht="20" hidden="1" customHeight="1" spans="1:13">
      <c r="A1093" s="10">
        <v>45489</v>
      </c>
      <c r="B1093" s="11"/>
      <c r="C1093" s="11"/>
      <c r="D1093" s="11" t="s">
        <v>4085</v>
      </c>
      <c r="E1093" s="11" t="s">
        <v>2141</v>
      </c>
      <c r="F1093" s="11" t="str">
        <f>IFERROR(VLOOKUP(VENTAS[[#This Row],[Código del producto Vendido]],STOCK[],5,FALSE),"-")</f>
        <v>Falda Bohemia de mezclilla de cintura alta con detalles de botón</v>
      </c>
      <c r="G1093" s="11">
        <v>1</v>
      </c>
      <c r="H1093" s="14">
        <v>30</v>
      </c>
      <c r="I1093" s="14">
        <f>VENTAS[[#This Row],[Cantidad]]*VENTAS[[#This Row],[Precio Venta]]</f>
        <v>30</v>
      </c>
      <c r="J1093" s="14">
        <f>IF(VENTAS[[#This Row],[Nombre del Gestor]]&gt;1,VENTAS[[#This Row],[Total]]*10%,0)</f>
        <v>3</v>
      </c>
      <c r="K1093" s="14">
        <f>IFERROR(VLOOKUP(VENTAS[[#This Row],[Código del producto Vendido]],STOCK[],16,FALSE)*VENTAS[[#This Row],[Cantidad]]+VLOOKUP(VENTAS[[#This Row],[Código del producto Vendido]],STOCK[],19,FALSE)*VENTAS[[#This Row],[Cantidad]],VENTAS[[#This Row],[Total]])</f>
        <v>7.05</v>
      </c>
      <c r="L1093" s="14">
        <f>VENTAS[[#This Row],[Total]]-VENTAS[[#This Row],[Comisión 10%]]-VENTAS[[#This Row],[Costo SIN Comision]]</f>
        <v>19.95</v>
      </c>
      <c r="M1093" s="14"/>
    </row>
    <row r="1094" ht="20" hidden="1" customHeight="1" spans="1:13">
      <c r="A1094" s="10">
        <v>45488</v>
      </c>
      <c r="B1094" s="11"/>
      <c r="C1094" s="11"/>
      <c r="D1094" s="11" t="s">
        <v>4270</v>
      </c>
      <c r="E1094" s="11" t="s">
        <v>1927</v>
      </c>
      <c r="F1094" s="11" t="str">
        <f>IFERROR(VLOOKUP(VENTAS[[#This Row],[Código del producto Vendido]],STOCK[],5,FALSE),"-")</f>
        <v>Sujetador Invisible Suave sin tirantes</v>
      </c>
      <c r="G1094" s="11">
        <v>1</v>
      </c>
      <c r="H1094" s="14">
        <v>12</v>
      </c>
      <c r="I1094" s="14">
        <f>VENTAS[[#This Row],[Cantidad]]*VENTAS[[#This Row],[Precio Venta]]</f>
        <v>12</v>
      </c>
      <c r="J1094" s="14">
        <f>IF(VENTAS[[#This Row],[Nombre del Gestor]]&gt;1,VENTAS[[#This Row],[Total]]*10%,0)</f>
        <v>1.2</v>
      </c>
      <c r="K1094" s="14">
        <f>IFERROR(VLOOKUP(VENTAS[[#This Row],[Código del producto Vendido]],STOCK[],16,FALSE)*VENTAS[[#This Row],[Cantidad]]+VLOOKUP(VENTAS[[#This Row],[Código del producto Vendido]],STOCK[],19,FALSE)*VENTAS[[#This Row],[Cantidad]],VENTAS[[#This Row],[Total]])</f>
        <v>4.97</v>
      </c>
      <c r="L1094" s="14">
        <f>VENTAS[[#This Row],[Total]]-VENTAS[[#This Row],[Comisión 10%]]-VENTAS[[#This Row],[Costo SIN Comision]]</f>
        <v>5.83</v>
      </c>
      <c r="M1094" s="14"/>
    </row>
    <row r="1095" ht="20" hidden="1" customHeight="1" spans="1:13">
      <c r="A1095" s="10">
        <v>45489</v>
      </c>
      <c r="B1095" s="11"/>
      <c r="C1095" s="11"/>
      <c r="D1095" s="11" t="s">
        <v>4272</v>
      </c>
      <c r="E1095" s="11" t="s">
        <v>2402</v>
      </c>
      <c r="F1095" s="11" t="str">
        <f>IFERROR(VLOOKUP(VENTAS[[#This Row],[Código del producto Vendido]],STOCK[],5,FALSE),"-")</f>
        <v>Sandalias de tiras con tacón cuadrado</v>
      </c>
      <c r="G1095" s="11">
        <v>1</v>
      </c>
      <c r="H1095" s="14">
        <v>35</v>
      </c>
      <c r="I1095" s="14">
        <f>VENTAS[[#This Row],[Cantidad]]*VENTAS[[#This Row],[Precio Venta]]</f>
        <v>35</v>
      </c>
      <c r="J1095" s="14">
        <f>IF(VENTAS[[#This Row],[Nombre del Gestor]]&gt;1,VENTAS[[#This Row],[Total]]*10%,0)</f>
        <v>3.5</v>
      </c>
      <c r="K1095" s="14">
        <f>IFERROR(VLOOKUP(VENTAS[[#This Row],[Código del producto Vendido]],STOCK[],16,FALSE)*VENTAS[[#This Row],[Cantidad]]+VLOOKUP(VENTAS[[#This Row],[Código del producto Vendido]],STOCK[],19,FALSE)*VENTAS[[#This Row],[Cantidad]],VENTAS[[#This Row],[Total]])</f>
        <v>17.2520211515864</v>
      </c>
      <c r="L1095" s="14">
        <f>VENTAS[[#This Row],[Total]]-VENTAS[[#This Row],[Comisión 10%]]-VENTAS[[#This Row],[Costo SIN Comision]]</f>
        <v>14.2479788484136</v>
      </c>
      <c r="M1095" s="14"/>
    </row>
    <row r="1096" ht="20" hidden="1" customHeight="1" spans="1:13">
      <c r="A1096" s="10" t="s">
        <v>4225</v>
      </c>
      <c r="B1096" s="11" t="s">
        <v>4219</v>
      </c>
      <c r="C1096" s="11"/>
      <c r="D1096" s="11"/>
      <c r="E1096" s="11" t="s">
        <v>919</v>
      </c>
      <c r="F1096" s="11" t="str">
        <f>IFERROR(VLOOKUP(VENTAS[[#This Row],[Código del producto Vendido]],STOCK[],5,FALSE),"-")</f>
        <v>Vestido de lunares </v>
      </c>
      <c r="G1096" s="11">
        <v>1</v>
      </c>
      <c r="H1096" s="14">
        <v>25</v>
      </c>
      <c r="I1096" s="14">
        <f>VENTAS[[#This Row],[Cantidad]]*VENTAS[[#This Row],[Precio Venta]]</f>
        <v>25</v>
      </c>
      <c r="J1096" s="14">
        <f>IF(VENTAS[[#This Row],[Nombre del Gestor]]&gt;1,VENTAS[[#This Row],[Total]]*10%,0)</f>
        <v>0</v>
      </c>
      <c r="K1096" s="14">
        <f>IFERROR(VLOOKUP(VENTAS[[#This Row],[Código del producto Vendido]],STOCK[],16,FALSE)*VENTAS[[#This Row],[Cantidad]]+VLOOKUP(VENTAS[[#This Row],[Código del producto Vendido]],STOCK[],19,FALSE)*VENTAS[[#This Row],[Cantidad]],VENTAS[[#This Row],[Total]])</f>
        <v>13.9113636363636</v>
      </c>
      <c r="L1096" s="14">
        <f>VENTAS[[#This Row],[Total]]-VENTAS[[#This Row],[Comisión 10%]]-VENTAS[[#This Row],[Costo SIN Comision]]</f>
        <v>11.0886363636364</v>
      </c>
      <c r="M1096" s="14"/>
    </row>
    <row r="1097" ht="20" hidden="1" customHeight="1" spans="1:13">
      <c r="A1097" s="10" t="s">
        <v>4225</v>
      </c>
      <c r="B1097" s="11" t="s">
        <v>4219</v>
      </c>
      <c r="C1097" s="11"/>
      <c r="D1097" s="11"/>
      <c r="E1097" s="11" t="s">
        <v>922</v>
      </c>
      <c r="F1097" s="11" t="str">
        <f>IFERROR(VLOOKUP(VENTAS[[#This Row],[Código del producto Vendido]],STOCK[],5,FALSE),"-")</f>
        <v>Vestido de lunares</v>
      </c>
      <c r="G1097" s="11">
        <v>1</v>
      </c>
      <c r="H1097" s="14">
        <v>25</v>
      </c>
      <c r="I1097" s="14">
        <f>VENTAS[[#This Row],[Cantidad]]*VENTAS[[#This Row],[Precio Venta]]</f>
        <v>25</v>
      </c>
      <c r="J1097" s="14">
        <f>IF(VENTAS[[#This Row],[Nombre del Gestor]]&gt;1,VENTAS[[#This Row],[Total]]*10%,0)</f>
        <v>0</v>
      </c>
      <c r="K1097" s="14">
        <f>IFERROR(VLOOKUP(VENTAS[[#This Row],[Código del producto Vendido]],STOCK[],16,FALSE)*VENTAS[[#This Row],[Cantidad]]+VLOOKUP(VENTAS[[#This Row],[Código del producto Vendido]],STOCK[],19,FALSE)*VENTAS[[#This Row],[Cantidad]],VENTAS[[#This Row],[Total]])</f>
        <v>13.9113636363636</v>
      </c>
      <c r="L1097" s="14">
        <f>VENTAS[[#This Row],[Total]]-VENTAS[[#This Row],[Comisión 10%]]-VENTAS[[#This Row],[Costo SIN Comision]]</f>
        <v>11.0886363636364</v>
      </c>
      <c r="M1097" s="14"/>
    </row>
    <row r="1098" ht="20" hidden="1" customHeight="1" spans="1:13">
      <c r="A1098" s="10">
        <v>45489</v>
      </c>
      <c r="B1098" s="11"/>
      <c r="C1098" s="11"/>
      <c r="D1098" s="11" t="s">
        <v>4241</v>
      </c>
      <c r="E1098" s="11" t="s">
        <v>2300</v>
      </c>
      <c r="F1098" s="11" t="str">
        <f>IFERROR(VLOOKUP(VENTAS[[#This Row],[Código del producto Vendido]],STOCK[],5,FALSE),"-")</f>
        <v>Vestido estampado con abertura y ajuste en cintura</v>
      </c>
      <c r="G1098" s="11">
        <v>1</v>
      </c>
      <c r="H1098" s="14">
        <v>30</v>
      </c>
      <c r="I1098" s="14">
        <f>VENTAS[[#This Row],[Cantidad]]*VENTAS[[#This Row],[Precio Venta]]</f>
        <v>30</v>
      </c>
      <c r="J1098" s="14">
        <f>IF(VENTAS[[#This Row],[Nombre del Gestor]]&gt;1,VENTAS[[#This Row],[Total]]*10%,0)</f>
        <v>3</v>
      </c>
      <c r="K1098" s="14">
        <f>IFERROR(VLOOKUP(VENTAS[[#This Row],[Código del producto Vendido]],STOCK[],16,FALSE)*VENTAS[[#This Row],[Cantidad]]+VLOOKUP(VENTAS[[#This Row],[Código del producto Vendido]],STOCK[],19,FALSE)*VENTAS[[#This Row],[Cantidad]],VENTAS[[#This Row],[Total]])</f>
        <v>17.59</v>
      </c>
      <c r="L1098" s="14">
        <f>VENTAS[[#This Row],[Total]]-VENTAS[[#This Row],[Comisión 10%]]-VENTAS[[#This Row],[Costo SIN Comision]]</f>
        <v>9.41</v>
      </c>
      <c r="M1098" s="14"/>
    </row>
    <row r="1099" ht="20" hidden="1" customHeight="1" spans="1:13">
      <c r="A1099" s="10">
        <v>45475</v>
      </c>
      <c r="B1099" s="11"/>
      <c r="C1099" s="11"/>
      <c r="D1099" s="11" t="s">
        <v>4241</v>
      </c>
      <c r="E1099" s="11" t="s">
        <v>2324</v>
      </c>
      <c r="F1099" s="11" t="str">
        <f>IFERROR(VLOOKUP(VENTAS[[#This Row],[Código del producto Vendido]],STOCK[],5,FALSE),"-")</f>
        <v>Pantalón palazzo estiloso</v>
      </c>
      <c r="G1099" s="11">
        <v>1</v>
      </c>
      <c r="H1099" s="14">
        <v>20</v>
      </c>
      <c r="I1099" s="14">
        <f>VENTAS[[#This Row],[Cantidad]]*VENTAS[[#This Row],[Precio Venta]]</f>
        <v>20</v>
      </c>
      <c r="J1099" s="14">
        <f>IF(VENTAS[[#This Row],[Nombre del Gestor]]&gt;1,VENTAS[[#This Row],[Total]]*10%,0)</f>
        <v>2</v>
      </c>
      <c r="K1099" s="14">
        <f>IFERROR(VLOOKUP(VENTAS[[#This Row],[Código del producto Vendido]],STOCK[],16,FALSE)*VENTAS[[#This Row],[Cantidad]]+VLOOKUP(VENTAS[[#This Row],[Código del producto Vendido]],STOCK[],19,FALSE)*VENTAS[[#This Row],[Cantidad]],VENTAS[[#This Row],[Total]])</f>
        <v>10.914375</v>
      </c>
      <c r="L1099" s="14">
        <f>VENTAS[[#This Row],[Total]]-VENTAS[[#This Row],[Comisión 10%]]-VENTAS[[#This Row],[Costo SIN Comision]]</f>
        <v>7.085625</v>
      </c>
      <c r="M1099" s="14"/>
    </row>
    <row r="1100" ht="20" hidden="1" customHeight="1" spans="1:13">
      <c r="A1100" s="10">
        <v>45475</v>
      </c>
      <c r="B1100" s="11"/>
      <c r="C1100" s="11"/>
      <c r="D1100" s="11" t="s">
        <v>4241</v>
      </c>
      <c r="E1100" s="11" t="s">
        <v>1274</v>
      </c>
      <c r="F1100" s="11" t="str">
        <f>IFERROR(VLOOKUP(VENTAS[[#This Row],[Código del producto Vendido]],STOCK[],5,FALSE),"-")</f>
        <v>Top de cuello V con encaje</v>
      </c>
      <c r="G1100" s="11">
        <v>1</v>
      </c>
      <c r="H1100" s="14">
        <v>12</v>
      </c>
      <c r="I1100" s="14">
        <f>VENTAS[[#This Row],[Cantidad]]*VENTAS[[#This Row],[Precio Venta]]</f>
        <v>12</v>
      </c>
      <c r="J1100" s="14">
        <f>IF(VENTAS[[#This Row],[Nombre del Gestor]]&gt;1,VENTAS[[#This Row],[Total]]*10%,0)</f>
        <v>1.2</v>
      </c>
      <c r="K1100" s="14">
        <f>IFERROR(VLOOKUP(VENTAS[[#This Row],[Código del producto Vendido]],STOCK[],16,FALSE)*VENTAS[[#This Row],[Cantidad]]+VLOOKUP(VENTAS[[#This Row],[Código del producto Vendido]],STOCK[],19,FALSE)*VENTAS[[#This Row],[Cantidad]],VENTAS[[#This Row],[Total]])</f>
        <v>7.97</v>
      </c>
      <c r="L1100" s="14">
        <f>VENTAS[[#This Row],[Total]]-VENTAS[[#This Row],[Comisión 10%]]-VENTAS[[#This Row],[Costo SIN Comision]]</f>
        <v>2.83</v>
      </c>
      <c r="M1100" s="14"/>
    </row>
    <row r="1101" ht="20" hidden="1" customHeight="1" spans="1:13">
      <c r="A1101" s="10"/>
      <c r="B1101" s="11" t="s">
        <v>4219</v>
      </c>
      <c r="C1101" s="11" t="s">
        <v>4298</v>
      </c>
      <c r="D1101" s="11"/>
      <c r="E1101" s="11" t="s">
        <v>1718</v>
      </c>
      <c r="F1101" s="11" t="str">
        <f>IFERROR(VLOOKUP(VENTAS[[#This Row],[Código del producto Vendido]],STOCK[],5,FALSE),"-")</f>
        <v>Vestido ajustado de puntos </v>
      </c>
      <c r="G1101" s="11">
        <v>1</v>
      </c>
      <c r="H1101" s="14">
        <v>28</v>
      </c>
      <c r="I1101" s="14">
        <f>VENTAS[[#This Row],[Cantidad]]*VENTAS[[#This Row],[Precio Venta]]</f>
        <v>28</v>
      </c>
      <c r="J1101" s="14">
        <f>IF(VENTAS[[#This Row],[Nombre del Gestor]]&gt;1,VENTAS[[#This Row],[Total]]*10%,0)</f>
        <v>0</v>
      </c>
      <c r="K1101" s="14">
        <f>IFERROR(VLOOKUP(VENTAS[[#This Row],[Código del producto Vendido]],STOCK[],16,FALSE)*VENTAS[[#This Row],[Cantidad]]+VLOOKUP(VENTAS[[#This Row],[Código del producto Vendido]],STOCK[],19,FALSE)*VENTAS[[#This Row],[Cantidad]],VENTAS[[#This Row],[Total]])</f>
        <v>18</v>
      </c>
      <c r="L1101" s="14">
        <f>VENTAS[[#This Row],[Total]]-VENTAS[[#This Row],[Comisión 10%]]-VENTAS[[#This Row],[Costo SIN Comision]]</f>
        <v>10</v>
      </c>
      <c r="M1101" s="14"/>
    </row>
    <row r="1102" ht="20" hidden="1" customHeight="1" spans="1:13">
      <c r="A1102" s="10"/>
      <c r="B1102" s="11" t="s">
        <v>4219</v>
      </c>
      <c r="C1102" s="11" t="s">
        <v>4298</v>
      </c>
      <c r="D1102" s="11"/>
      <c r="E1102" s="11" t="s">
        <v>1782</v>
      </c>
      <c r="F1102" s="11" t="str">
        <f>IFERROR(VLOOKUP(VENTAS[[#This Row],[Código del producto Vendido]],STOCK[],5,FALSE),"-")</f>
        <v>Cinturón de hebilla redonda</v>
      </c>
      <c r="G1102" s="11">
        <v>1</v>
      </c>
      <c r="H1102" s="14">
        <v>10</v>
      </c>
      <c r="I1102" s="14">
        <f>VENTAS[[#This Row],[Cantidad]]*VENTAS[[#This Row],[Precio Venta]]</f>
        <v>10</v>
      </c>
      <c r="J1102" s="14">
        <f>IF(VENTAS[[#This Row],[Nombre del Gestor]]&gt;1,VENTAS[[#This Row],[Total]]*10%,0)</f>
        <v>0</v>
      </c>
      <c r="K1102" s="14">
        <f>IFERROR(VLOOKUP(VENTAS[[#This Row],[Código del producto Vendido]],STOCK[],16,FALSE)*VENTAS[[#This Row],[Cantidad]]+VLOOKUP(VENTAS[[#This Row],[Código del producto Vendido]],STOCK[],19,FALSE)*VENTAS[[#This Row],[Cantidad]],VENTAS[[#This Row],[Total]])</f>
        <v>3.82352941176471</v>
      </c>
      <c r="L1102" s="14">
        <f>VENTAS[[#This Row],[Total]]-VENTAS[[#This Row],[Comisión 10%]]-VENTAS[[#This Row],[Costo SIN Comision]]</f>
        <v>6.17647058823529</v>
      </c>
      <c r="M1102" s="14"/>
    </row>
    <row r="1103" ht="20" hidden="1" customHeight="1" spans="1:13">
      <c r="A1103" s="10"/>
      <c r="B1103" s="11" t="s">
        <v>4219</v>
      </c>
      <c r="C1103" s="11" t="s">
        <v>4298</v>
      </c>
      <c r="D1103" s="11"/>
      <c r="E1103" s="11" t="s">
        <v>2368</v>
      </c>
      <c r="F1103" s="11" t="str">
        <f>IFERROR(VLOOKUP(VENTAS[[#This Row],[Código del producto Vendido]],STOCK[],5,FALSE),"-")</f>
        <v>Sombrero de protección Verano fashionista</v>
      </c>
      <c r="G1103" s="11">
        <v>1</v>
      </c>
      <c r="H1103" s="14">
        <v>15</v>
      </c>
      <c r="I1103" s="14">
        <f>VENTAS[[#This Row],[Cantidad]]*VENTAS[[#This Row],[Precio Venta]]</f>
        <v>15</v>
      </c>
      <c r="J1103" s="14">
        <f>IF(VENTAS[[#This Row],[Nombre del Gestor]]&gt;1,VENTAS[[#This Row],[Total]]*10%,0)</f>
        <v>0</v>
      </c>
      <c r="K1103" s="14">
        <f>IFERROR(VLOOKUP(VENTAS[[#This Row],[Código del producto Vendido]],STOCK[],16,FALSE)*VENTAS[[#This Row],[Cantidad]]+VLOOKUP(VENTAS[[#This Row],[Código del producto Vendido]],STOCK[],19,FALSE)*VENTAS[[#This Row],[Cantidad]],VENTAS[[#This Row],[Total]])</f>
        <v>8.551875</v>
      </c>
      <c r="L1103" s="14">
        <f>VENTAS[[#This Row],[Total]]-VENTAS[[#This Row],[Comisión 10%]]-VENTAS[[#This Row],[Costo SIN Comision]]</f>
        <v>6.448125</v>
      </c>
      <c r="M1103" s="14"/>
    </row>
    <row r="1104" ht="20" hidden="1" customHeight="1" spans="1:13">
      <c r="A1104" s="10">
        <v>45475</v>
      </c>
      <c r="B1104" s="11"/>
      <c r="C1104" s="11"/>
      <c r="D1104" s="11" t="s">
        <v>4241</v>
      </c>
      <c r="E1104" s="11" t="s">
        <v>2285</v>
      </c>
      <c r="F1104" s="11" t="str">
        <f>IFERROR(VLOOKUP(VENTAS[[#This Row],[Código del producto Vendido]],STOCK[],5,FALSE),"-")</f>
        <v>Bolso de lienzo estampado de corazón</v>
      </c>
      <c r="G1104" s="11">
        <v>1</v>
      </c>
      <c r="H1104" s="14">
        <v>12</v>
      </c>
      <c r="I1104" s="14">
        <f>VENTAS[[#This Row],[Cantidad]]*VENTAS[[#This Row],[Precio Venta]]</f>
        <v>12</v>
      </c>
      <c r="J1104" s="14">
        <f>IF(VENTAS[[#This Row],[Nombre del Gestor]]&gt;1,VENTAS[[#This Row],[Total]]*10%,0)</f>
        <v>1.2</v>
      </c>
      <c r="K1104" s="14">
        <f>IFERROR(VLOOKUP(VENTAS[[#This Row],[Código del producto Vendido]],STOCK[],16,FALSE)*VENTAS[[#This Row],[Cantidad]]+VLOOKUP(VENTAS[[#This Row],[Código del producto Vendido]],STOCK[],19,FALSE)*VENTAS[[#This Row],[Cantidad]],VENTAS[[#This Row],[Total]])</f>
        <v>4.23</v>
      </c>
      <c r="L1104" s="14">
        <f>VENTAS[[#This Row],[Total]]-VENTAS[[#This Row],[Comisión 10%]]-VENTAS[[#This Row],[Costo SIN Comision]]</f>
        <v>6.57</v>
      </c>
      <c r="M1104" s="14"/>
    </row>
    <row r="1105" ht="20" hidden="1" customHeight="1" spans="1:13">
      <c r="A1105" s="10">
        <v>45489</v>
      </c>
      <c r="B1105" s="11"/>
      <c r="C1105" s="11"/>
      <c r="D1105" s="11" t="s">
        <v>4272</v>
      </c>
      <c r="E1105" s="11" t="s">
        <v>2224</v>
      </c>
      <c r="F1105" s="11" t="str">
        <f>IFERROR(VLOOKUP(VENTAS[[#This Row],[Código del producto Vendido]],STOCK[],5,FALSE),"-")</f>
        <v>Vestido sexy cruzado de escote profundo</v>
      </c>
      <c r="G1105" s="11">
        <v>1</v>
      </c>
      <c r="H1105" s="14">
        <v>20</v>
      </c>
      <c r="I1105" s="14">
        <f>VENTAS[[#This Row],[Cantidad]]*VENTAS[[#This Row],[Precio Venta]]</f>
        <v>20</v>
      </c>
      <c r="J1105" s="14">
        <f>IF(VENTAS[[#This Row],[Nombre del Gestor]]&gt;1,VENTAS[[#This Row],[Total]]*10%,0)</f>
        <v>2</v>
      </c>
      <c r="K1105" s="14">
        <f>IFERROR(VLOOKUP(VENTAS[[#This Row],[Código del producto Vendido]],STOCK[],16,FALSE)*VENTAS[[#This Row],[Cantidad]]+VLOOKUP(VENTAS[[#This Row],[Código del producto Vendido]],STOCK[],19,FALSE)*VENTAS[[#This Row],[Cantidad]],VENTAS[[#This Row],[Total]])</f>
        <v>8.59</v>
      </c>
      <c r="L1105" s="14">
        <f>VENTAS[[#This Row],[Total]]-VENTAS[[#This Row],[Comisión 10%]]-VENTAS[[#This Row],[Costo SIN Comision]]</f>
        <v>9.41</v>
      </c>
      <c r="M1105" s="14"/>
    </row>
    <row r="1106" ht="20" hidden="1" customHeight="1" spans="1:13">
      <c r="A1106" s="10">
        <v>45489</v>
      </c>
      <c r="B1106" s="11"/>
      <c r="C1106" s="11"/>
      <c r="D1106" s="11" t="s">
        <v>4272</v>
      </c>
      <c r="E1106" s="11" t="s">
        <v>1711</v>
      </c>
      <c r="F1106" s="11" t="str">
        <f>IFERROR(VLOOKUP(VENTAS[[#This Row],[Código del producto Vendido]],STOCK[],5,FALSE),"-")</f>
        <v>Vestido Asimétrico con cuerdas</v>
      </c>
      <c r="G1106" s="11">
        <v>1</v>
      </c>
      <c r="H1106" s="14">
        <v>20</v>
      </c>
      <c r="I1106" s="14">
        <f>VENTAS[[#This Row],[Cantidad]]*VENTAS[[#This Row],[Precio Venta]]</f>
        <v>20</v>
      </c>
      <c r="J1106" s="14">
        <f>IF(VENTAS[[#This Row],[Nombre del Gestor]]&gt;1,VENTAS[[#This Row],[Total]]*10%,0)</f>
        <v>2</v>
      </c>
      <c r="K1106" s="14">
        <f>IFERROR(VLOOKUP(VENTAS[[#This Row],[Código del producto Vendido]],STOCK[],16,FALSE)*VENTAS[[#This Row],[Cantidad]]+VLOOKUP(VENTAS[[#This Row],[Código del producto Vendido]],STOCK[],19,FALSE)*VENTAS[[#This Row],[Cantidad]],VENTAS[[#This Row],[Total]])</f>
        <v>12</v>
      </c>
      <c r="L1106" s="14">
        <f>VENTAS[[#This Row],[Total]]-VENTAS[[#This Row],[Comisión 10%]]-VENTAS[[#This Row],[Costo SIN Comision]]</f>
        <v>6</v>
      </c>
      <c r="M1106" s="14"/>
    </row>
    <row r="1107" ht="20" hidden="1" customHeight="1" spans="1:13">
      <c r="A1107" s="10">
        <v>45489</v>
      </c>
      <c r="B1107" s="11"/>
      <c r="C1107" s="11" t="s">
        <v>4298</v>
      </c>
      <c r="D1107" s="11"/>
      <c r="E1107" s="11" t="s">
        <v>2425</v>
      </c>
      <c r="F1107" s="11" t="str">
        <f>IFERROR(VLOOKUP(VENTAS[[#This Row],[Código del producto Vendido]],STOCK[],5,FALSE),"-")</f>
        <v>Pantalón ancho con cordón ajustable</v>
      </c>
      <c r="G1107" s="11">
        <v>1</v>
      </c>
      <c r="H1107" s="14">
        <v>23</v>
      </c>
      <c r="I1107" s="14">
        <f>VENTAS[[#This Row],[Cantidad]]*VENTAS[[#This Row],[Precio Venta]]</f>
        <v>23</v>
      </c>
      <c r="J1107" s="14">
        <f>IF(VENTAS[[#This Row],[Nombre del Gestor]]&gt;1,VENTAS[[#This Row],[Total]]*10%,0)</f>
        <v>0</v>
      </c>
      <c r="K1107" s="14">
        <f>IFERROR(VLOOKUP(VENTAS[[#This Row],[Código del producto Vendido]],STOCK[],16,FALSE)*VENTAS[[#This Row],[Cantidad]]+VLOOKUP(VENTAS[[#This Row],[Código del producto Vendido]],STOCK[],19,FALSE)*VENTAS[[#This Row],[Cantidad]],VENTAS[[#This Row],[Total]])</f>
        <v>11.4353349001175</v>
      </c>
      <c r="L1107" s="14">
        <f>VENTAS[[#This Row],[Total]]-VENTAS[[#This Row],[Comisión 10%]]-VENTAS[[#This Row],[Costo SIN Comision]]</f>
        <v>11.5646650998825</v>
      </c>
      <c r="M1107" s="14"/>
    </row>
    <row r="1108" ht="20" hidden="1" customHeight="1" spans="1:13">
      <c r="A1108" s="10" t="s">
        <v>4225</v>
      </c>
      <c r="B1108" s="11"/>
      <c r="C1108" s="11"/>
      <c r="D1108" s="11"/>
      <c r="E1108" s="11" t="s">
        <v>2104</v>
      </c>
      <c r="F1108" s="11" t="str">
        <f>IFERROR(VLOOKUP(VENTAS[[#This Row],[Código del producto Vendido]],STOCK[],5,FALSE),"-")</f>
        <v>Sandalias de velcro</v>
      </c>
      <c r="G1108" s="11">
        <v>1</v>
      </c>
      <c r="H1108" s="14">
        <v>27</v>
      </c>
      <c r="I1108" s="14">
        <f>VENTAS[[#This Row],[Cantidad]]*VENTAS[[#This Row],[Precio Venta]]</f>
        <v>27</v>
      </c>
      <c r="J1108" s="14">
        <f>IF(VENTAS[[#This Row],[Nombre del Gestor]]&gt;1,VENTAS[[#This Row],[Total]]*10%,0)</f>
        <v>0</v>
      </c>
      <c r="K1108" s="14">
        <f>IFERROR(VLOOKUP(VENTAS[[#This Row],[Código del producto Vendido]],STOCK[],16,FALSE)*VENTAS[[#This Row],[Cantidad]]+VLOOKUP(VENTAS[[#This Row],[Código del producto Vendido]],STOCK[],19,FALSE)*VENTAS[[#This Row],[Cantidad]],VENTAS[[#This Row],[Total]])</f>
        <v>17</v>
      </c>
      <c r="L1108" s="14">
        <f>VENTAS[[#This Row],[Total]]-VENTAS[[#This Row],[Comisión 10%]]-VENTAS[[#This Row],[Costo SIN Comision]]</f>
        <v>10</v>
      </c>
      <c r="M1108" s="14"/>
    </row>
    <row r="1109" ht="20" hidden="1" customHeight="1" spans="1:13">
      <c r="A1109" s="10"/>
      <c r="B1109" s="11"/>
      <c r="C1109" s="11"/>
      <c r="D1109" s="11" t="s">
        <v>4272</v>
      </c>
      <c r="E1109" s="11" t="s">
        <v>1931</v>
      </c>
      <c r="F1109" s="11" t="str">
        <f>IFERROR(VLOOKUP(VENTAS[[#This Row],[Código del producto Vendido]],STOCK[],5,FALSE),"-")</f>
        <v>Sujetador Invisible Suave sin tirantes</v>
      </c>
      <c r="G1109" s="11">
        <v>1</v>
      </c>
      <c r="H1109" s="14">
        <v>12</v>
      </c>
      <c r="I1109" s="14">
        <f>VENTAS[[#This Row],[Cantidad]]*VENTAS[[#This Row],[Precio Venta]]</f>
        <v>12</v>
      </c>
      <c r="J1109" s="14">
        <f>IF(VENTAS[[#This Row],[Nombre del Gestor]]&gt;1,VENTAS[[#This Row],[Total]]*10%,0)</f>
        <v>1.2</v>
      </c>
      <c r="K1109" s="14">
        <f>IFERROR(VLOOKUP(VENTAS[[#This Row],[Código del producto Vendido]],STOCK[],16,FALSE)*VENTAS[[#This Row],[Cantidad]]+VLOOKUP(VENTAS[[#This Row],[Código del producto Vendido]],STOCK[],19,FALSE)*VENTAS[[#This Row],[Cantidad]],VENTAS[[#This Row],[Total]])</f>
        <v>4.97</v>
      </c>
      <c r="L1109" s="14">
        <f>VENTAS[[#This Row],[Total]]-VENTAS[[#This Row],[Comisión 10%]]-VENTAS[[#This Row],[Costo SIN Comision]]</f>
        <v>5.83</v>
      </c>
      <c r="M1109" s="14"/>
    </row>
    <row r="1110" ht="20" hidden="1" customHeight="1" spans="1:13">
      <c r="A1110" s="10">
        <v>45480</v>
      </c>
      <c r="B1110" s="11"/>
      <c r="C1110" s="11"/>
      <c r="D1110" s="11" t="s">
        <v>4286</v>
      </c>
      <c r="E1110" s="11" t="s">
        <v>1838</v>
      </c>
      <c r="F1110" s="11" t="str">
        <f>IFERROR(VLOOKUP(VENTAS[[#This Row],[Código del producto Vendido]],STOCK[],5,FALSE),"-")</f>
        <v>Maxi Vestido Bodycon </v>
      </c>
      <c r="G1110" s="11">
        <v>1</v>
      </c>
      <c r="H1110" s="14">
        <v>20</v>
      </c>
      <c r="I1110" s="14">
        <f>VENTAS[[#This Row],[Cantidad]]*VENTAS[[#This Row],[Precio Venta]]</f>
        <v>20</v>
      </c>
      <c r="J1110" s="14">
        <f>IF(VENTAS[[#This Row],[Nombre del Gestor]]&gt;1,VENTAS[[#This Row],[Total]]*10%,0)</f>
        <v>2</v>
      </c>
      <c r="K1110" s="14">
        <f>IFERROR(VLOOKUP(VENTAS[[#This Row],[Código del producto Vendido]],STOCK[],16,FALSE)*VENTAS[[#This Row],[Cantidad]]+VLOOKUP(VENTAS[[#This Row],[Código del producto Vendido]],STOCK[],19,FALSE)*VENTAS[[#This Row],[Cantidad]],VENTAS[[#This Row],[Total]])</f>
        <v>11.79</v>
      </c>
      <c r="L1110" s="14">
        <f>VENTAS[[#This Row],[Total]]-VENTAS[[#This Row],[Comisión 10%]]-VENTAS[[#This Row],[Costo SIN Comision]]</f>
        <v>6.21</v>
      </c>
      <c r="M1110" s="14"/>
    </row>
    <row r="1111" ht="20" hidden="1" customHeight="1" spans="1:13">
      <c r="A1111" s="10">
        <v>45490</v>
      </c>
      <c r="B1111" s="11"/>
      <c r="C1111" s="11"/>
      <c r="D1111" s="11" t="s">
        <v>4272</v>
      </c>
      <c r="E1111" s="11" t="s">
        <v>2388</v>
      </c>
      <c r="F1111" s="11" t="str">
        <f>IFERROR(VLOOKUP(VENTAS[[#This Row],[Código del producto Vendido]],STOCK[],5,FALSE),"-")</f>
        <v>Sandalias cruzadas de plataforma F21</v>
      </c>
      <c r="G1111" s="11">
        <v>1</v>
      </c>
      <c r="H1111" s="14">
        <v>30</v>
      </c>
      <c r="I1111" s="14">
        <f>VENTAS[[#This Row],[Cantidad]]*VENTAS[[#This Row],[Precio Venta]]</f>
        <v>30</v>
      </c>
      <c r="J1111" s="14">
        <f>IF(VENTAS[[#This Row],[Nombre del Gestor]]&gt;1,VENTAS[[#This Row],[Total]]*10%,0)</f>
        <v>3</v>
      </c>
      <c r="K1111" s="14">
        <f>IFERROR(VLOOKUP(VENTAS[[#This Row],[Código del producto Vendido]],STOCK[],16,FALSE)*VENTAS[[#This Row],[Cantidad]]+VLOOKUP(VENTAS[[#This Row],[Código del producto Vendido]],STOCK[],19,FALSE)*VENTAS[[#This Row],[Cantidad]],VENTAS[[#This Row],[Total]])</f>
        <v>12.5</v>
      </c>
      <c r="L1111" s="14">
        <f>VENTAS[[#This Row],[Total]]-VENTAS[[#This Row],[Comisión 10%]]-VENTAS[[#This Row],[Costo SIN Comision]]</f>
        <v>14.5</v>
      </c>
      <c r="M1111" s="14"/>
    </row>
    <row r="1112" ht="20" hidden="1" customHeight="1" spans="1:13">
      <c r="A1112" s="10">
        <v>45483</v>
      </c>
      <c r="B1112" s="11"/>
      <c r="C1112" s="11" t="s">
        <v>4299</v>
      </c>
      <c r="D1112" s="11" t="s">
        <v>4300</v>
      </c>
      <c r="E1112" s="11" t="s">
        <v>1237</v>
      </c>
      <c r="F1112" s="11" t="str">
        <f>IFERROR(VLOOKUP(VENTAS[[#This Row],[Código del producto Vendido]],STOCK[],5,FALSE),"-")</f>
        <v>Cinturón de hebilla dorada</v>
      </c>
      <c r="G1112" s="11">
        <v>1</v>
      </c>
      <c r="H1112" s="14">
        <v>10</v>
      </c>
      <c r="I1112" s="14">
        <f>VENTAS[[#This Row],[Cantidad]]*VENTAS[[#This Row],[Precio Venta]]</f>
        <v>10</v>
      </c>
      <c r="J1112" s="14">
        <f>IF(VENTAS[[#This Row],[Nombre del Gestor]]&gt;1,VENTAS[[#This Row],[Total]]*10%,0)</f>
        <v>1</v>
      </c>
      <c r="K1112" s="14">
        <f>IFERROR(VLOOKUP(VENTAS[[#This Row],[Código del producto Vendido]],STOCK[],16,FALSE)*VENTAS[[#This Row],[Cantidad]]+VLOOKUP(VENTAS[[#This Row],[Código del producto Vendido]],STOCK[],19,FALSE)*VENTAS[[#This Row],[Cantidad]],VENTAS[[#This Row],[Total]])</f>
        <v>5.17</v>
      </c>
      <c r="L1112" s="14">
        <f>VENTAS[[#This Row],[Total]]-VENTAS[[#This Row],[Comisión 10%]]-VENTAS[[#This Row],[Costo SIN Comision]]</f>
        <v>3.83</v>
      </c>
      <c r="M1112" s="14"/>
    </row>
    <row r="1113" ht="20" hidden="1" customHeight="1" spans="1:13">
      <c r="A1113" s="10">
        <v>45483</v>
      </c>
      <c r="B1113" s="11"/>
      <c r="C1113" s="11" t="s">
        <v>4299</v>
      </c>
      <c r="D1113" s="11" t="s">
        <v>4300</v>
      </c>
      <c r="E1113" s="11" t="s">
        <v>1243</v>
      </c>
      <c r="F1113" s="11" t="str">
        <f>IFERROR(VLOOKUP(VENTAS[[#This Row],[Código del producto Vendido]],STOCK[],5,FALSE),"-")</f>
        <v>Cinturón de hebilla dorada</v>
      </c>
      <c r="G1113" s="11">
        <v>1</v>
      </c>
      <c r="H1113" s="14">
        <v>10</v>
      </c>
      <c r="I1113" s="14">
        <f>VENTAS[[#This Row],[Cantidad]]*VENTAS[[#This Row],[Precio Venta]]</f>
        <v>10</v>
      </c>
      <c r="J1113" s="14">
        <f>IF(VENTAS[[#This Row],[Nombre del Gestor]]&gt;1,VENTAS[[#This Row],[Total]]*10%,0)</f>
        <v>1</v>
      </c>
      <c r="K1113" s="14">
        <f>IFERROR(VLOOKUP(VENTAS[[#This Row],[Código del producto Vendido]],STOCK[],16,FALSE)*VENTAS[[#This Row],[Cantidad]]+VLOOKUP(VENTAS[[#This Row],[Código del producto Vendido]],STOCK[],19,FALSE)*VENTAS[[#This Row],[Cantidad]],VENTAS[[#This Row],[Total]])</f>
        <v>4.09</v>
      </c>
      <c r="L1113" s="14">
        <f>VENTAS[[#This Row],[Total]]-VENTAS[[#This Row],[Comisión 10%]]-VENTAS[[#This Row],[Costo SIN Comision]]</f>
        <v>4.91</v>
      </c>
      <c r="M1113" s="14"/>
    </row>
    <row r="1114" ht="20" hidden="1" customHeight="1" spans="1:13">
      <c r="A1114" s="10">
        <v>45483</v>
      </c>
      <c r="B1114" s="11"/>
      <c r="C1114" s="11" t="s">
        <v>4299</v>
      </c>
      <c r="D1114" s="11" t="s">
        <v>4300</v>
      </c>
      <c r="E1114" s="11" t="s">
        <v>1399</v>
      </c>
      <c r="F1114" s="11" t="str">
        <f>IFERROR(VLOOKUP(VENTAS[[#This Row],[Código del producto Vendido]],STOCK[],5,FALSE),"-")</f>
        <v>Camiseta acanalada de bajo asimétrico blanco</v>
      </c>
      <c r="G1114" s="11">
        <v>1</v>
      </c>
      <c r="H1114" s="14">
        <v>12</v>
      </c>
      <c r="I1114" s="14">
        <f>VENTAS[[#This Row],[Cantidad]]*VENTAS[[#This Row],[Precio Venta]]</f>
        <v>12</v>
      </c>
      <c r="J1114" s="14">
        <f>IF(VENTAS[[#This Row],[Nombre del Gestor]]&gt;1,VENTAS[[#This Row],[Total]]*10%,0)</f>
        <v>1.2</v>
      </c>
      <c r="K1114" s="14">
        <f>IFERROR(VLOOKUP(VENTAS[[#This Row],[Código del producto Vendido]],STOCK[],16,FALSE)*VENTAS[[#This Row],[Cantidad]]+VLOOKUP(VENTAS[[#This Row],[Código del producto Vendido]],STOCK[],19,FALSE)*VENTAS[[#This Row],[Cantidad]],VENTAS[[#This Row],[Total]])</f>
        <v>9</v>
      </c>
      <c r="L1114" s="14">
        <f>VENTAS[[#This Row],[Total]]-VENTAS[[#This Row],[Comisión 10%]]-VENTAS[[#This Row],[Costo SIN Comision]]</f>
        <v>1.8</v>
      </c>
      <c r="M1114" s="14"/>
    </row>
    <row r="1115" ht="20" hidden="1" customHeight="1" spans="1:13">
      <c r="A1115" s="10">
        <v>45483</v>
      </c>
      <c r="B1115" s="11"/>
      <c r="C1115" s="11" t="s">
        <v>4299</v>
      </c>
      <c r="D1115" s="11" t="s">
        <v>4300</v>
      </c>
      <c r="E1115" s="11" t="s">
        <v>1400</v>
      </c>
      <c r="F1115" s="11" t="str">
        <f>IFERROR(VLOOKUP(VENTAS[[#This Row],[Código del producto Vendido]],STOCK[],5,FALSE),"-")</f>
        <v>Camiseta acanalada de bajo asimétrico naranja</v>
      </c>
      <c r="G1115" s="11">
        <v>1</v>
      </c>
      <c r="H1115" s="14">
        <v>12</v>
      </c>
      <c r="I1115" s="14">
        <f>VENTAS[[#This Row],[Cantidad]]*VENTAS[[#This Row],[Precio Venta]]</f>
        <v>12</v>
      </c>
      <c r="J1115" s="14">
        <f>IF(VENTAS[[#This Row],[Nombre del Gestor]]&gt;1,VENTAS[[#This Row],[Total]]*10%,0)</f>
        <v>1.2</v>
      </c>
      <c r="K1115" s="14">
        <f>IFERROR(VLOOKUP(VENTAS[[#This Row],[Código del producto Vendido]],STOCK[],16,FALSE)*VENTAS[[#This Row],[Cantidad]]+VLOOKUP(VENTAS[[#This Row],[Código del producto Vendido]],STOCK[],19,FALSE)*VENTAS[[#This Row],[Cantidad]],VENTAS[[#This Row],[Total]])</f>
        <v>9</v>
      </c>
      <c r="L1115" s="14">
        <f>VENTAS[[#This Row],[Total]]-VENTAS[[#This Row],[Comisión 10%]]-VENTAS[[#This Row],[Costo SIN Comision]]</f>
        <v>1.8</v>
      </c>
      <c r="M1115" s="14"/>
    </row>
    <row r="1116" ht="20" hidden="1" customHeight="1" spans="1:13">
      <c r="A1116" s="10">
        <v>45491</v>
      </c>
      <c r="B1116" s="11"/>
      <c r="C1116" s="11" t="s">
        <v>4298</v>
      </c>
      <c r="D1116" s="11"/>
      <c r="E1116" s="11" t="s">
        <v>350</v>
      </c>
      <c r="F1116" s="11" t="str">
        <f>IFERROR(VLOOKUP(VENTAS[[#This Row],[Código del producto Vendido]],STOCK[],5,FALSE),"-")</f>
        <v>Pañuelo con estampado de paisley</v>
      </c>
      <c r="G1116" s="11">
        <v>1</v>
      </c>
      <c r="H1116" s="14">
        <v>3</v>
      </c>
      <c r="I1116" s="14">
        <f>VENTAS[[#This Row],[Cantidad]]*VENTAS[[#This Row],[Precio Venta]]</f>
        <v>3</v>
      </c>
      <c r="J1116" s="14">
        <f>IF(VENTAS[[#This Row],[Nombre del Gestor]]&gt;1,VENTAS[[#This Row],[Total]]*10%,0)</f>
        <v>0</v>
      </c>
      <c r="K1116" s="14">
        <f>IFERROR(VLOOKUP(VENTAS[[#This Row],[Código del producto Vendido]],STOCK[],16,FALSE)*VENTAS[[#This Row],[Cantidad]]+VLOOKUP(VENTAS[[#This Row],[Código del producto Vendido]],STOCK[],19,FALSE)*VENTAS[[#This Row],[Cantidad]],VENTAS[[#This Row],[Total]])</f>
        <v>1.20277777777778</v>
      </c>
      <c r="L1116" s="14">
        <f>VENTAS[[#This Row],[Total]]-VENTAS[[#This Row],[Comisión 10%]]-VENTAS[[#This Row],[Costo SIN Comision]]</f>
        <v>1.79722222222222</v>
      </c>
      <c r="M1116" s="14"/>
    </row>
    <row r="1117" ht="20" hidden="1" customHeight="1" spans="1:13">
      <c r="A1117" s="10">
        <v>45492</v>
      </c>
      <c r="B1117" s="11"/>
      <c r="C1117" s="11"/>
      <c r="D1117" s="11" t="s">
        <v>4228</v>
      </c>
      <c r="E1117" s="11" t="s">
        <v>1722</v>
      </c>
      <c r="F1117" s="11" t="str">
        <f>IFERROR(VLOOKUP(VENTAS[[#This Row],[Código del producto Vendido]],STOCK[],5,FALSE),"-")</f>
        <v>Vestido ajustado en rosas</v>
      </c>
      <c r="G1117" s="11">
        <v>1</v>
      </c>
      <c r="H1117" s="14">
        <v>16</v>
      </c>
      <c r="I1117" s="14">
        <f>VENTAS[[#This Row],[Cantidad]]*VENTAS[[#This Row],[Precio Venta]]</f>
        <v>16</v>
      </c>
      <c r="J1117" s="14">
        <f>IF(VENTAS[[#This Row],[Nombre del Gestor]]&gt;1,VENTAS[[#This Row],[Total]]*10%,0)</f>
        <v>1.6</v>
      </c>
      <c r="K1117" s="14">
        <f>IFERROR(VLOOKUP(VENTAS[[#This Row],[Código del producto Vendido]],STOCK[],16,FALSE)*VENTAS[[#This Row],[Cantidad]]+VLOOKUP(VENTAS[[#This Row],[Código del producto Vendido]],STOCK[],19,FALSE)*VENTAS[[#This Row],[Cantidad]],VENTAS[[#This Row],[Total]])</f>
        <v>13</v>
      </c>
      <c r="L1117" s="14">
        <f>VENTAS[[#This Row],[Total]]-VENTAS[[#This Row],[Comisión 10%]]-VENTAS[[#This Row],[Costo SIN Comision]]</f>
        <v>1.4</v>
      </c>
      <c r="M1117" s="14"/>
    </row>
    <row r="1118" ht="20" hidden="1" customHeight="1" spans="1:13">
      <c r="A1118" s="10">
        <v>45492</v>
      </c>
      <c r="B1118" s="11"/>
      <c r="C1118" s="11"/>
      <c r="D1118" s="11" t="s">
        <v>4228</v>
      </c>
      <c r="E1118" s="11" t="s">
        <v>1913</v>
      </c>
      <c r="F1118" s="11" t="str">
        <f>IFERROR(VLOOKUP(VENTAS[[#This Row],[Código del producto Vendido]],STOCK[],5,FALSE),"-")</f>
        <v>Gafas de Sol Retro Carey</v>
      </c>
      <c r="G1118" s="11">
        <v>1</v>
      </c>
      <c r="H1118" s="14">
        <v>8</v>
      </c>
      <c r="I1118" s="14">
        <f>VENTAS[[#This Row],[Cantidad]]*VENTAS[[#This Row],[Precio Venta]]</f>
        <v>8</v>
      </c>
      <c r="J1118" s="14">
        <f>IF(VENTAS[[#This Row],[Nombre del Gestor]]&gt;1,VENTAS[[#This Row],[Total]]*10%,0)</f>
        <v>0.8</v>
      </c>
      <c r="K1118" s="14">
        <f>IFERROR(VLOOKUP(VENTAS[[#This Row],[Código del producto Vendido]],STOCK[],16,FALSE)*VENTAS[[#This Row],[Cantidad]]+VLOOKUP(VENTAS[[#This Row],[Código del producto Vendido]],STOCK[],19,FALSE)*VENTAS[[#This Row],[Cantidad]],VENTAS[[#This Row],[Total]])</f>
        <v>4.45</v>
      </c>
      <c r="L1118" s="14">
        <f>VENTAS[[#This Row],[Total]]-VENTAS[[#This Row],[Comisión 10%]]-VENTAS[[#This Row],[Costo SIN Comision]]</f>
        <v>2.75</v>
      </c>
      <c r="M1118" s="14"/>
    </row>
    <row r="1119" ht="20" hidden="1" customHeight="1" spans="1:13">
      <c r="A1119" s="10">
        <v>45492</v>
      </c>
      <c r="B1119" s="11"/>
      <c r="C1119" s="11"/>
      <c r="D1119" s="11" t="s">
        <v>4228</v>
      </c>
      <c r="E1119" s="11" t="s">
        <v>1237</v>
      </c>
      <c r="F1119" s="11" t="str">
        <f>IFERROR(VLOOKUP(VENTAS[[#This Row],[Código del producto Vendido]],STOCK[],5,FALSE),"-")</f>
        <v>Cinturón de hebilla dorada</v>
      </c>
      <c r="G1119" s="11">
        <v>1</v>
      </c>
      <c r="H1119" s="14">
        <v>10</v>
      </c>
      <c r="I1119" s="14">
        <f>VENTAS[[#This Row],[Cantidad]]*VENTAS[[#This Row],[Precio Venta]]</f>
        <v>10</v>
      </c>
      <c r="J1119" s="14">
        <f>IF(VENTAS[[#This Row],[Nombre del Gestor]]&gt;1,VENTAS[[#This Row],[Total]]*10%,0)</f>
        <v>1</v>
      </c>
      <c r="K1119" s="14">
        <f>IFERROR(VLOOKUP(VENTAS[[#This Row],[Código del producto Vendido]],STOCK[],16,FALSE)*VENTAS[[#This Row],[Cantidad]]+VLOOKUP(VENTAS[[#This Row],[Código del producto Vendido]],STOCK[],19,FALSE)*VENTAS[[#This Row],[Cantidad]],VENTAS[[#This Row],[Total]])</f>
        <v>5.17</v>
      </c>
      <c r="L1119" s="14">
        <f>VENTAS[[#This Row],[Total]]-VENTAS[[#This Row],[Comisión 10%]]-VENTAS[[#This Row],[Costo SIN Comision]]</f>
        <v>3.83</v>
      </c>
      <c r="M1119" s="14"/>
    </row>
    <row r="1120" ht="20" hidden="1" customHeight="1" spans="1:13">
      <c r="A1120" s="10">
        <v>45493</v>
      </c>
      <c r="B1120" s="11"/>
      <c r="C1120" s="11"/>
      <c r="D1120" s="11" t="s">
        <v>4272</v>
      </c>
      <c r="E1120" s="11" t="s">
        <v>1269</v>
      </c>
      <c r="F1120" s="11" t="str">
        <f>IFERROR(VLOOKUP(VENTAS[[#This Row],[Código del producto Vendido]],STOCK[],5,FALSE),"-")</f>
        <v>Top corto asimétrico </v>
      </c>
      <c r="G1120" s="11">
        <v>1</v>
      </c>
      <c r="H1120" s="14">
        <v>10</v>
      </c>
      <c r="I1120" s="14">
        <f>VENTAS[[#This Row],[Cantidad]]*VENTAS[[#This Row],[Precio Venta]]</f>
        <v>10</v>
      </c>
      <c r="J1120" s="14">
        <f>IF(VENTAS[[#This Row],[Nombre del Gestor]]&gt;1,VENTAS[[#This Row],[Total]]*10%,0)</f>
        <v>1</v>
      </c>
      <c r="K1120" s="14">
        <f>IFERROR(VLOOKUP(VENTAS[[#This Row],[Código del producto Vendido]],STOCK[],16,FALSE)*VENTAS[[#This Row],[Cantidad]]+VLOOKUP(VENTAS[[#This Row],[Código del producto Vendido]],STOCK[],19,FALSE)*VENTAS[[#This Row],[Cantidad]],VENTAS[[#This Row],[Total]])</f>
        <v>5.77</v>
      </c>
      <c r="L1120" s="14">
        <f>VENTAS[[#This Row],[Total]]-VENTAS[[#This Row],[Comisión 10%]]-VENTAS[[#This Row],[Costo SIN Comision]]</f>
        <v>3.23</v>
      </c>
      <c r="M1120" s="14"/>
    </row>
    <row r="1121" ht="20" hidden="1" customHeight="1" spans="1:13">
      <c r="A1121" s="10">
        <v>45496</v>
      </c>
      <c r="B1121" s="11"/>
      <c r="C1121" s="11"/>
      <c r="D1121" s="11" t="s">
        <v>4241</v>
      </c>
      <c r="E1121" s="11" t="s">
        <v>1898</v>
      </c>
      <c r="F1121" s="11" t="str">
        <f>IFERROR(VLOOKUP(VENTAS[[#This Row],[Código del producto Vendido]],STOCK[],5,FALSE),"-")</f>
        <v>Bolso mochila estampado</v>
      </c>
      <c r="G1121" s="11">
        <v>1</v>
      </c>
      <c r="H1121" s="14">
        <v>25</v>
      </c>
      <c r="I1121" s="14">
        <f>VENTAS[[#This Row],[Cantidad]]*VENTAS[[#This Row],[Precio Venta]]</f>
        <v>25</v>
      </c>
      <c r="J1121" s="14">
        <f>IF(VENTAS[[#This Row],[Nombre del Gestor]]&gt;1,VENTAS[[#This Row],[Total]]*10%,0)</f>
        <v>2.5</v>
      </c>
      <c r="K1121" s="14">
        <f>IFERROR(VLOOKUP(VENTAS[[#This Row],[Código del producto Vendido]],STOCK[],16,FALSE)*VENTAS[[#This Row],[Cantidad]]+VLOOKUP(VENTAS[[#This Row],[Código del producto Vendido]],STOCK[],19,FALSE)*VENTAS[[#This Row],[Cantidad]],VENTAS[[#This Row],[Total]])</f>
        <v>12.62</v>
      </c>
      <c r="L1121" s="14">
        <f>VENTAS[[#This Row],[Total]]-VENTAS[[#This Row],[Comisión 10%]]-VENTAS[[#This Row],[Costo SIN Comision]]</f>
        <v>9.88</v>
      </c>
      <c r="M1121" s="14"/>
    </row>
    <row r="1122" ht="20" hidden="1" customHeight="1" spans="1:13">
      <c r="A1122" s="10">
        <v>45496</v>
      </c>
      <c r="B1122" s="11"/>
      <c r="C1122" s="11"/>
      <c r="D1122" s="11" t="s">
        <v>4241</v>
      </c>
      <c r="E1122" s="11" t="s">
        <v>497</v>
      </c>
      <c r="F1122" s="11" t="str">
        <f>IFERROR(VLOOKUP(VENTAS[[#This Row],[Código del producto Vendido]],STOCK[],5,FALSE),"-")</f>
        <v>Bikini estampado de cebra</v>
      </c>
      <c r="G1122" s="11">
        <v>1</v>
      </c>
      <c r="H1122" s="14">
        <v>12</v>
      </c>
      <c r="I1122" s="14">
        <f>VENTAS[[#This Row],[Cantidad]]*VENTAS[[#This Row],[Precio Venta]]</f>
        <v>12</v>
      </c>
      <c r="J1122" s="14">
        <f>IF(VENTAS[[#This Row],[Nombre del Gestor]]&gt;1,VENTAS[[#This Row],[Total]]*10%,0)</f>
        <v>1.2</v>
      </c>
      <c r="K1122" s="14">
        <f>IFERROR(VLOOKUP(VENTAS[[#This Row],[Código del producto Vendido]],STOCK[],16,FALSE)*VENTAS[[#This Row],[Cantidad]]+VLOOKUP(VENTAS[[#This Row],[Código del producto Vendido]],STOCK[],19,FALSE)*VENTAS[[#This Row],[Cantidad]],VENTAS[[#This Row],[Total]])</f>
        <v>8.78722222222222</v>
      </c>
      <c r="L1122" s="14">
        <f>VENTAS[[#This Row],[Total]]-VENTAS[[#This Row],[Comisión 10%]]-VENTAS[[#This Row],[Costo SIN Comision]]</f>
        <v>2.01277777777778</v>
      </c>
      <c r="M1122" s="14"/>
    </row>
    <row r="1123" ht="20" hidden="1" customHeight="1" spans="1:13">
      <c r="A1123" s="10">
        <v>45496</v>
      </c>
      <c r="B1123" s="11"/>
      <c r="C1123" s="11"/>
      <c r="D1123" s="11" t="s">
        <v>4241</v>
      </c>
      <c r="E1123" s="11" t="s">
        <v>2404</v>
      </c>
      <c r="F1123" s="11" t="str">
        <f>IFERROR(VLOOKUP(VENTAS[[#This Row],[Código del producto Vendido]],STOCK[],5,FALSE),"-")</f>
        <v>Sandalias de tiras con tacón cuadrado</v>
      </c>
      <c r="G1123" s="11">
        <v>1</v>
      </c>
      <c r="H1123" s="14">
        <v>35</v>
      </c>
      <c r="I1123" s="14">
        <f>VENTAS[[#This Row],[Cantidad]]*VENTAS[[#This Row],[Precio Venta]]</f>
        <v>35</v>
      </c>
      <c r="J1123" s="14">
        <f>IF(VENTAS[[#This Row],[Nombre del Gestor]]&gt;1,VENTAS[[#This Row],[Total]]*10%,0)</f>
        <v>3.5</v>
      </c>
      <c r="K1123" s="14">
        <f>IFERROR(VLOOKUP(VENTAS[[#This Row],[Código del producto Vendido]],STOCK[],16,FALSE)*VENTAS[[#This Row],[Cantidad]]+VLOOKUP(VENTAS[[#This Row],[Código del producto Vendido]],STOCK[],19,FALSE)*VENTAS[[#This Row],[Cantidad]],VENTAS[[#This Row],[Total]])</f>
        <v>17.2520211515864</v>
      </c>
      <c r="L1123" s="14">
        <f>VENTAS[[#This Row],[Total]]-VENTAS[[#This Row],[Comisión 10%]]-VENTAS[[#This Row],[Costo SIN Comision]]</f>
        <v>14.2479788484136</v>
      </c>
      <c r="M1123" s="14"/>
    </row>
    <row r="1124" ht="20" hidden="1" customHeight="1" spans="1:13">
      <c r="A1124" s="10">
        <v>45499</v>
      </c>
      <c r="B1124" s="11"/>
      <c r="C1124" s="11"/>
      <c r="D1124" s="11" t="s">
        <v>4222</v>
      </c>
      <c r="E1124" s="11" t="s">
        <v>2458</v>
      </c>
      <c r="F1124" s="11" t="str">
        <f>IFERROR(VLOOKUP(VENTAS[[#This Row],[Código del producto Vendido]],STOCK[],5,FALSE),"-")</f>
        <v>Sandalias prácticas Chunky Negras</v>
      </c>
      <c r="G1124" s="11">
        <v>1</v>
      </c>
      <c r="H1124" s="14">
        <v>35</v>
      </c>
      <c r="I1124" s="14">
        <f>VENTAS[[#This Row],[Cantidad]]*VENTAS[[#This Row],[Precio Venta]]</f>
        <v>35</v>
      </c>
      <c r="J1124" s="14">
        <f>IF(VENTAS[[#This Row],[Nombre del Gestor]]&gt;1,VENTAS[[#This Row],[Total]]*10%,0)</f>
        <v>3.5</v>
      </c>
      <c r="K1124" s="14">
        <f>IFERROR(VLOOKUP(VENTAS[[#This Row],[Código del producto Vendido]],STOCK[],16,FALSE)*VENTAS[[#This Row],[Cantidad]]+VLOOKUP(VENTAS[[#This Row],[Código del producto Vendido]],STOCK[],19,FALSE)*VENTAS[[#This Row],[Cantidad]],VENTAS[[#This Row],[Total]])</f>
        <v>21.97</v>
      </c>
      <c r="L1124" s="14">
        <f>VENTAS[[#This Row],[Total]]-VENTAS[[#This Row],[Comisión 10%]]-VENTAS[[#This Row],[Costo SIN Comision]]</f>
        <v>9.53</v>
      </c>
      <c r="M1124" s="14"/>
    </row>
    <row r="1125" ht="20" hidden="1" customHeight="1" spans="1:13">
      <c r="A1125" s="10">
        <v>45483</v>
      </c>
      <c r="B1125" s="11"/>
      <c r="C1125" s="11"/>
      <c r="D1125" s="11" t="s">
        <v>4222</v>
      </c>
      <c r="E1125" s="11" t="s">
        <v>2385</v>
      </c>
      <c r="F1125" s="11" t="str">
        <f>IFERROR(VLOOKUP(VENTAS[[#This Row],[Código del producto Vendido]],STOCK[],5,FALSE),"-")</f>
        <v>Espejuelos de sol vintage clásicas aviador</v>
      </c>
      <c r="G1125" s="11">
        <v>1</v>
      </c>
      <c r="H1125" s="14">
        <v>10</v>
      </c>
      <c r="I1125" s="14">
        <f>VENTAS[[#This Row],[Cantidad]]*VENTAS[[#This Row],[Precio Venta]]</f>
        <v>10</v>
      </c>
      <c r="J1125" s="14">
        <f>IF(VENTAS[[#This Row],[Nombre del Gestor]]&gt;1,VENTAS[[#This Row],[Total]]*10%,0)</f>
        <v>1</v>
      </c>
      <c r="K1125" s="14">
        <f>IFERROR(VLOOKUP(VENTAS[[#This Row],[Código del producto Vendido]],STOCK[],16,FALSE)*VENTAS[[#This Row],[Cantidad]]+VLOOKUP(VENTAS[[#This Row],[Código del producto Vendido]],STOCK[],19,FALSE)*VENTAS[[#This Row],[Cantidad]],VENTAS[[#This Row],[Total]])</f>
        <v>4.7275</v>
      </c>
      <c r="L1125" s="14">
        <f>VENTAS[[#This Row],[Total]]-VENTAS[[#This Row],[Comisión 10%]]-VENTAS[[#This Row],[Costo SIN Comision]]</f>
        <v>4.2725</v>
      </c>
      <c r="M1125" s="14"/>
    </row>
    <row r="1126" ht="20" hidden="1" customHeight="1" spans="1:13">
      <c r="A1126" s="10">
        <v>45499</v>
      </c>
      <c r="B1126" s="11"/>
      <c r="C1126" s="11"/>
      <c r="D1126" s="11" t="s">
        <v>4241</v>
      </c>
      <c r="E1126" s="11" t="s">
        <v>1771</v>
      </c>
      <c r="F1126" s="11" t="str">
        <f>IFERROR(VLOOKUP(VENTAS[[#This Row],[Código del producto Vendido]],STOCK[],5,FALSE),"-")</f>
        <v>Kimono Dazy Elegante</v>
      </c>
      <c r="G1126" s="11">
        <v>1</v>
      </c>
      <c r="H1126" s="14">
        <v>22</v>
      </c>
      <c r="I1126" s="14">
        <f>VENTAS[[#This Row],[Cantidad]]*VENTAS[[#This Row],[Precio Venta]]</f>
        <v>22</v>
      </c>
      <c r="J1126" s="14">
        <f>IF(VENTAS[[#This Row],[Nombre del Gestor]]&gt;1,VENTAS[[#This Row],[Total]]*10%,0)</f>
        <v>2.2</v>
      </c>
      <c r="K1126" s="14">
        <f>IFERROR(VLOOKUP(VENTAS[[#This Row],[Código del producto Vendido]],STOCK[],16,FALSE)*VENTAS[[#This Row],[Cantidad]]+VLOOKUP(VENTAS[[#This Row],[Código del producto Vendido]],STOCK[],19,FALSE)*VENTAS[[#This Row],[Cantidad]],VENTAS[[#This Row],[Total]])</f>
        <v>13.3529411764706</v>
      </c>
      <c r="L1126" s="14">
        <f>VENTAS[[#This Row],[Total]]-VENTAS[[#This Row],[Comisión 10%]]-VENTAS[[#This Row],[Costo SIN Comision]]</f>
        <v>6.44705882352941</v>
      </c>
      <c r="M1126" s="14"/>
    </row>
    <row r="1127" ht="20" hidden="1" customHeight="1" spans="1:13">
      <c r="A1127" s="10">
        <v>45499</v>
      </c>
      <c r="B1127" s="11"/>
      <c r="C1127" s="11" t="s">
        <v>4298</v>
      </c>
      <c r="D1127" s="11"/>
      <c r="E1127" s="11" t="s">
        <v>1745</v>
      </c>
      <c r="F1127" s="11" t="str">
        <f>IFERROR(VLOOKUP(VENTAS[[#This Row],[Código del producto Vendido]],STOCK[],5,FALSE),"-")</f>
        <v>Kimono Dazy Elegante</v>
      </c>
      <c r="G1127" s="11">
        <v>1</v>
      </c>
      <c r="H1127" s="14">
        <v>22</v>
      </c>
      <c r="I1127" s="14">
        <f>VENTAS[[#This Row],[Cantidad]]*VENTAS[[#This Row],[Precio Venta]]</f>
        <v>22</v>
      </c>
      <c r="J1127" s="14">
        <f>IF(VENTAS[[#This Row],[Nombre del Gestor]]&gt;1,VENTAS[[#This Row],[Total]]*10%,0)</f>
        <v>0</v>
      </c>
      <c r="K1127" s="14">
        <f>IFERROR(VLOOKUP(VENTAS[[#This Row],[Código del producto Vendido]],STOCK[],16,FALSE)*VENTAS[[#This Row],[Cantidad]]+VLOOKUP(VENTAS[[#This Row],[Código del producto Vendido]],STOCK[],19,FALSE)*VENTAS[[#This Row],[Cantidad]],VENTAS[[#This Row],[Total]])</f>
        <v>13.3529411764706</v>
      </c>
      <c r="L1127" s="14">
        <f>VENTAS[[#This Row],[Total]]-VENTAS[[#This Row],[Comisión 10%]]-VENTAS[[#This Row],[Costo SIN Comision]]</f>
        <v>8.64705882352941</v>
      </c>
      <c r="M1127" s="14"/>
    </row>
    <row r="1128" ht="20" hidden="1" customHeight="1" spans="1:13">
      <c r="A1128" s="10">
        <v>45497</v>
      </c>
      <c r="B1128" s="11"/>
      <c r="C1128" s="11"/>
      <c r="D1128" s="11" t="s">
        <v>4241</v>
      </c>
      <c r="E1128" s="11" t="s">
        <v>2129</v>
      </c>
      <c r="F1128" s="11" t="str">
        <f>IFERROR(VLOOKUP(VENTAS[[#This Row],[Código del producto Vendido]],STOCK[],5,FALSE),"-")</f>
        <v>Set de traje de baño 3 piezas Azul metalizado</v>
      </c>
      <c r="G1128" s="11">
        <v>1</v>
      </c>
      <c r="H1128" s="14">
        <v>22</v>
      </c>
      <c r="I1128" s="14">
        <f>VENTAS[[#This Row],[Cantidad]]*VENTAS[[#This Row],[Precio Venta]]</f>
        <v>22</v>
      </c>
      <c r="J1128" s="14">
        <f>IF(VENTAS[[#This Row],[Nombre del Gestor]]&gt;1,VENTAS[[#This Row],[Total]]*10%,0)</f>
        <v>2.2</v>
      </c>
      <c r="K1128" s="14">
        <f>IFERROR(VLOOKUP(VENTAS[[#This Row],[Código del producto Vendido]],STOCK[],16,FALSE)*VENTAS[[#This Row],[Cantidad]]+VLOOKUP(VENTAS[[#This Row],[Código del producto Vendido]],STOCK[],19,FALSE)*VENTAS[[#This Row],[Cantidad]],VENTAS[[#This Row],[Total]])</f>
        <v>10.84</v>
      </c>
      <c r="L1128" s="14">
        <f>VENTAS[[#This Row],[Total]]-VENTAS[[#This Row],[Comisión 10%]]-VENTAS[[#This Row],[Costo SIN Comision]]</f>
        <v>8.96</v>
      </c>
      <c r="M1128" s="14"/>
    </row>
    <row r="1129" ht="20" hidden="1" customHeight="1" spans="1:13">
      <c r="A1129" s="10">
        <v>45497</v>
      </c>
      <c r="B1129" s="11"/>
      <c r="C1129" s="11"/>
      <c r="D1129" s="11" t="s">
        <v>4241</v>
      </c>
      <c r="E1129" s="11" t="s">
        <v>2251</v>
      </c>
      <c r="F1129" s="11" t="str">
        <f>IFERROR(VLOOKUP(VENTAS[[#This Row],[Código del producto Vendido]],STOCK[],5,FALSE),"-")</f>
        <v>Bikini de cintura alta estampado clásico</v>
      </c>
      <c r="G1129" s="11">
        <v>1</v>
      </c>
      <c r="H1129" s="14">
        <v>20</v>
      </c>
      <c r="I1129" s="14">
        <f>VENTAS[[#This Row],[Cantidad]]*VENTAS[[#This Row],[Precio Venta]]</f>
        <v>20</v>
      </c>
      <c r="J1129" s="14">
        <f>IF(VENTAS[[#This Row],[Nombre del Gestor]]&gt;1,VENTAS[[#This Row],[Total]]*10%,0)</f>
        <v>2</v>
      </c>
      <c r="K1129" s="14">
        <f>IFERROR(VLOOKUP(VENTAS[[#This Row],[Código del producto Vendido]],STOCK[],16,FALSE)*VENTAS[[#This Row],[Cantidad]]+VLOOKUP(VENTAS[[#This Row],[Código del producto Vendido]],STOCK[],19,FALSE)*VENTAS[[#This Row],[Cantidad]],VENTAS[[#This Row],[Total]])</f>
        <v>8.66</v>
      </c>
      <c r="L1129" s="14">
        <f>VENTAS[[#This Row],[Total]]-VENTAS[[#This Row],[Comisión 10%]]-VENTAS[[#This Row],[Costo SIN Comision]]</f>
        <v>9.34</v>
      </c>
      <c r="M1129" s="14"/>
    </row>
    <row r="1130" ht="20" hidden="1" customHeight="1" spans="1:13">
      <c r="A1130" s="10">
        <v>45496</v>
      </c>
      <c r="B1130" s="11"/>
      <c r="C1130" s="11"/>
      <c r="D1130" s="11" t="s">
        <v>4241</v>
      </c>
      <c r="E1130" s="11" t="s">
        <v>2371</v>
      </c>
      <c r="F1130" s="11" t="str">
        <f>IFERROR(VLOOKUP(VENTAS[[#This Row],[Código del producto Vendido]],STOCK[],5,FALSE),"-")</f>
        <v>Blusa atada al frente de estilo casual</v>
      </c>
      <c r="G1130" s="11">
        <v>1</v>
      </c>
      <c r="H1130" s="14">
        <v>17</v>
      </c>
      <c r="I1130" s="14">
        <f>VENTAS[[#This Row],[Cantidad]]*VENTAS[[#This Row],[Precio Venta]]</f>
        <v>17</v>
      </c>
      <c r="J1130" s="14">
        <f>IF(VENTAS[[#This Row],[Nombre del Gestor]]&gt;1,VENTAS[[#This Row],[Total]]*10%,0)</f>
        <v>1.7</v>
      </c>
      <c r="K1130" s="14">
        <f>IFERROR(VLOOKUP(VENTAS[[#This Row],[Código del producto Vendido]],STOCK[],16,FALSE)*VENTAS[[#This Row],[Cantidad]]+VLOOKUP(VENTAS[[#This Row],[Código del producto Vendido]],STOCK[],19,FALSE)*VENTAS[[#This Row],[Cantidad]],VENTAS[[#This Row],[Total]])</f>
        <v>10.821875</v>
      </c>
      <c r="L1130" s="14">
        <f>VENTAS[[#This Row],[Total]]-VENTAS[[#This Row],[Comisión 10%]]-VENTAS[[#This Row],[Costo SIN Comision]]</f>
        <v>4.478125</v>
      </c>
      <c r="M1130" s="14"/>
    </row>
    <row r="1131" ht="20" hidden="1" customHeight="1" spans="1:13">
      <c r="A1131" s="10">
        <v>45496</v>
      </c>
      <c r="B1131" s="11"/>
      <c r="C1131" s="11"/>
      <c r="D1131" s="11" t="s">
        <v>4241</v>
      </c>
      <c r="E1131" s="11" t="s">
        <v>2123</v>
      </c>
      <c r="F1131" s="11" t="str">
        <f>IFERROR(VLOOKUP(VENTAS[[#This Row],[Código del producto Vendido]],STOCK[],5,FALSE),"-")</f>
        <v>Set de traje de baño elegante 2 piezas con adorno en forma de V</v>
      </c>
      <c r="G1131" s="11">
        <v>1</v>
      </c>
      <c r="H1131" s="14">
        <v>25</v>
      </c>
      <c r="I1131" s="14">
        <f>VENTAS[[#This Row],[Cantidad]]*VENTAS[[#This Row],[Precio Venta]]</f>
        <v>25</v>
      </c>
      <c r="J1131" s="14">
        <f>IF(VENTAS[[#This Row],[Nombre del Gestor]]&gt;1,VENTAS[[#This Row],[Total]]*10%,0)</f>
        <v>2.5</v>
      </c>
      <c r="K1131" s="14">
        <f>IFERROR(VLOOKUP(VENTAS[[#This Row],[Código del producto Vendido]],STOCK[],16,FALSE)*VENTAS[[#This Row],[Cantidad]]+VLOOKUP(VENTAS[[#This Row],[Código del producto Vendido]],STOCK[],19,FALSE)*VENTAS[[#This Row],[Cantidad]],VENTAS[[#This Row],[Total]])</f>
        <v>11.21</v>
      </c>
      <c r="L1131" s="14">
        <f>VENTAS[[#This Row],[Total]]-VENTAS[[#This Row],[Comisión 10%]]-VENTAS[[#This Row],[Costo SIN Comision]]</f>
        <v>11.29</v>
      </c>
      <c r="M1131" s="14"/>
    </row>
    <row r="1132" ht="20" hidden="1" customHeight="1" spans="1:13">
      <c r="A1132" s="10">
        <v>45499</v>
      </c>
      <c r="B1132" s="11"/>
      <c r="C1132" s="11" t="s">
        <v>4298</v>
      </c>
      <c r="D1132" s="11"/>
      <c r="E1132" s="11" t="s">
        <v>2365</v>
      </c>
      <c r="F1132" s="11" t="str">
        <f>IFERROR(VLOOKUP(VENTAS[[#This Row],[Código del producto Vendido]],STOCK[],5,FALSE),"-")</f>
        <v>2 piezas bikini push up accesorio</v>
      </c>
      <c r="G1132" s="11">
        <v>1</v>
      </c>
      <c r="H1132" s="14">
        <v>4</v>
      </c>
      <c r="I1132" s="14">
        <f>VENTAS[[#This Row],[Cantidad]]*VENTAS[[#This Row],[Precio Venta]]</f>
        <v>4</v>
      </c>
      <c r="J1132" s="14">
        <f>IF(VENTAS[[#This Row],[Nombre del Gestor]]&gt;1,VENTAS[[#This Row],[Total]]*10%,0)</f>
        <v>0</v>
      </c>
      <c r="K1132" s="14">
        <f>IFERROR(VLOOKUP(VENTAS[[#This Row],[Código del producto Vendido]],STOCK[],16,FALSE)*VENTAS[[#This Row],[Cantidad]]+VLOOKUP(VENTAS[[#This Row],[Código del producto Vendido]],STOCK[],19,FALSE)*VENTAS[[#This Row],[Cantidad]],VENTAS[[#This Row],[Total]])</f>
        <v>3.335625</v>
      </c>
      <c r="L1132" s="14">
        <f>VENTAS[[#This Row],[Total]]-VENTAS[[#This Row],[Comisión 10%]]-VENTAS[[#This Row],[Costo SIN Comision]]</f>
        <v>0.664375</v>
      </c>
      <c r="M1132" s="14"/>
    </row>
    <row r="1133" ht="20" hidden="1" customHeight="1" spans="1:13">
      <c r="A1133" s="10">
        <v>45499</v>
      </c>
      <c r="B1133" s="11"/>
      <c r="C1133" s="11" t="s">
        <v>4298</v>
      </c>
      <c r="D1133" s="11"/>
      <c r="E1133" s="11" t="s">
        <v>2152</v>
      </c>
      <c r="F1133" s="11" t="str">
        <f>IFERROR(VLOOKUP(VENTAS[[#This Row],[Código del producto Vendido]],STOCK[],5,FALSE),"-")</f>
        <v>Set de 3 piezas de bikini con estampado floral</v>
      </c>
      <c r="G1133" s="11">
        <v>1</v>
      </c>
      <c r="H1133" s="14">
        <v>25</v>
      </c>
      <c r="I1133" s="14">
        <f>VENTAS[[#This Row],[Cantidad]]*VENTAS[[#This Row],[Precio Venta]]</f>
        <v>25</v>
      </c>
      <c r="J1133" s="14">
        <f>IF(VENTAS[[#This Row],[Nombre del Gestor]]&gt;1,VENTAS[[#This Row],[Total]]*10%,0)</f>
        <v>0</v>
      </c>
      <c r="K1133" s="14">
        <f>IFERROR(VLOOKUP(VENTAS[[#This Row],[Código del producto Vendido]],STOCK[],16,FALSE)*VENTAS[[#This Row],[Cantidad]]+VLOOKUP(VENTAS[[#This Row],[Código del producto Vendido]],STOCK[],19,FALSE)*VENTAS[[#This Row],[Cantidad]],VENTAS[[#This Row],[Total]])</f>
        <v>9.67</v>
      </c>
      <c r="L1133" s="14">
        <f>VENTAS[[#This Row],[Total]]-VENTAS[[#This Row],[Comisión 10%]]-VENTAS[[#This Row],[Costo SIN Comision]]</f>
        <v>15.33</v>
      </c>
      <c r="M1133" s="14"/>
    </row>
    <row r="1134" ht="20" hidden="1" customHeight="1" spans="1:13">
      <c r="A1134" s="10">
        <v>45498</v>
      </c>
      <c r="B1134" s="11"/>
      <c r="C1134" s="11" t="s">
        <v>4298</v>
      </c>
      <c r="D1134" s="11"/>
      <c r="E1134" s="11" t="s">
        <v>2400</v>
      </c>
      <c r="F1134" s="11" t="str">
        <f>IFERROR(VLOOKUP(VENTAS[[#This Row],[Código del producto Vendido]],STOCK[],5,FALSE),"-")</f>
        <v>Sandalias de tiras con tacón cuadrado</v>
      </c>
      <c r="G1134" s="11">
        <v>1</v>
      </c>
      <c r="H1134" s="14">
        <v>35</v>
      </c>
      <c r="I1134" s="14">
        <f>VENTAS[[#This Row],[Cantidad]]*VENTAS[[#This Row],[Precio Venta]]</f>
        <v>35</v>
      </c>
      <c r="J1134" s="14">
        <f>IF(VENTAS[[#This Row],[Nombre del Gestor]]&gt;1,VENTAS[[#This Row],[Total]]*10%,0)</f>
        <v>0</v>
      </c>
      <c r="K1134" s="14">
        <f>IFERROR(VLOOKUP(VENTAS[[#This Row],[Código del producto Vendido]],STOCK[],16,FALSE)*VENTAS[[#This Row],[Cantidad]]+VLOOKUP(VENTAS[[#This Row],[Código del producto Vendido]],STOCK[],19,FALSE)*VENTAS[[#This Row],[Cantidad]],VENTAS[[#This Row],[Total]])</f>
        <v>17.2520211515864</v>
      </c>
      <c r="L1134" s="14">
        <f>VENTAS[[#This Row],[Total]]-VENTAS[[#This Row],[Comisión 10%]]-VENTAS[[#This Row],[Costo SIN Comision]]</f>
        <v>17.7479788484136</v>
      </c>
      <c r="M1134" s="14"/>
    </row>
    <row r="1135" ht="20" hidden="1" customHeight="1" spans="1:13">
      <c r="A1135" s="10">
        <v>45498</v>
      </c>
      <c r="B1135" s="11"/>
      <c r="C1135" s="11" t="s">
        <v>4298</v>
      </c>
      <c r="D1135" s="11"/>
      <c r="E1135" s="11" t="s">
        <v>1170</v>
      </c>
      <c r="F1135" s="11" t="str">
        <f>IFERROR(VLOOKUP(VENTAS[[#This Row],[Código del producto Vendido]],STOCK[],5,FALSE),"-")</f>
        <v>Pullover Dazy cuello redondo Blanco</v>
      </c>
      <c r="G1135" s="11">
        <v>1</v>
      </c>
      <c r="H1135" s="14">
        <v>13</v>
      </c>
      <c r="I1135" s="14">
        <f>VENTAS[[#This Row],[Cantidad]]*VENTAS[[#This Row],[Precio Venta]]</f>
        <v>13</v>
      </c>
      <c r="J1135" s="14">
        <f>IF(VENTAS[[#This Row],[Nombre del Gestor]]&gt;1,VENTAS[[#This Row],[Total]]*10%,0)</f>
        <v>0</v>
      </c>
      <c r="K1135" s="14">
        <f>IFERROR(VLOOKUP(VENTAS[[#This Row],[Código del producto Vendido]],STOCK[],16,FALSE)*VENTAS[[#This Row],[Cantidad]]+VLOOKUP(VENTAS[[#This Row],[Código del producto Vendido]],STOCK[],19,FALSE)*VENTAS[[#This Row],[Cantidad]],VENTAS[[#This Row],[Total]])</f>
        <v>8.61</v>
      </c>
      <c r="L1135" s="14">
        <f>VENTAS[[#This Row],[Total]]-VENTAS[[#This Row],[Comisión 10%]]-VENTAS[[#This Row],[Costo SIN Comision]]</f>
        <v>4.39</v>
      </c>
      <c r="M1135" s="14"/>
    </row>
    <row r="1136" ht="20" hidden="1" customHeight="1" spans="1:13">
      <c r="A1136" s="10">
        <v>45498</v>
      </c>
      <c r="B1136" s="11"/>
      <c r="C1136" s="11" t="s">
        <v>4298</v>
      </c>
      <c r="D1136" s="11"/>
      <c r="E1136" s="11" t="s">
        <v>2415</v>
      </c>
      <c r="F1136" s="11" t="str">
        <f>IFERROR(VLOOKUP(VENTAS[[#This Row],[Código del producto Vendido]],STOCK[],5,FALSE),"-")</f>
        <v>Pantalón de vestir de viscosa y lino (beige claro)</v>
      </c>
      <c r="G1136" s="11">
        <v>1</v>
      </c>
      <c r="H1136" s="14">
        <v>35</v>
      </c>
      <c r="I1136" s="14">
        <f>VENTAS[[#This Row],[Cantidad]]*VENTAS[[#This Row],[Precio Venta]]</f>
        <v>35</v>
      </c>
      <c r="J1136" s="14">
        <f>IF(VENTAS[[#This Row],[Nombre del Gestor]]&gt;1,VENTAS[[#This Row],[Total]]*10%,0)</f>
        <v>0</v>
      </c>
      <c r="K1136" s="14">
        <f>IFERROR(VLOOKUP(VENTAS[[#This Row],[Código del producto Vendido]],STOCK[],16,FALSE)*VENTAS[[#This Row],[Cantidad]]+VLOOKUP(VENTAS[[#This Row],[Código del producto Vendido]],STOCK[],19,FALSE)*VENTAS[[#This Row],[Cantidad]],VENTAS[[#This Row],[Total]])</f>
        <v>17.2520211515864</v>
      </c>
      <c r="L1136" s="14">
        <f>VENTAS[[#This Row],[Total]]-VENTAS[[#This Row],[Comisión 10%]]-VENTAS[[#This Row],[Costo SIN Comision]]</f>
        <v>17.7479788484136</v>
      </c>
      <c r="M1136" s="14"/>
    </row>
    <row r="1137" ht="20" hidden="1" customHeight="1" spans="1:13">
      <c r="A1137" s="10">
        <v>45496</v>
      </c>
      <c r="B1137" s="11"/>
      <c r="C1137" s="11"/>
      <c r="D1137" s="11" t="s">
        <v>4266</v>
      </c>
      <c r="E1137" s="11" t="s">
        <v>783</v>
      </c>
      <c r="F1137" s="11" t="str">
        <f>IFERROR(VLOOKUP(VENTAS[[#This Row],[Código del producto Vendido]],STOCK[],5,FALSE),"-")</f>
        <v>Top Amarillo en tela de algodón</v>
      </c>
      <c r="G1137" s="11">
        <v>1</v>
      </c>
      <c r="H1137" s="14">
        <v>10</v>
      </c>
      <c r="I1137" s="14">
        <f>VENTAS[[#This Row],[Cantidad]]*VENTAS[[#This Row],[Precio Venta]]</f>
        <v>10</v>
      </c>
      <c r="J1137" s="14">
        <f>IF(VENTAS[[#This Row],[Nombre del Gestor]]&gt;1,VENTAS[[#This Row],[Total]]*10%,0)</f>
        <v>1</v>
      </c>
      <c r="K1137" s="14">
        <f>IFERROR(VLOOKUP(VENTAS[[#This Row],[Código del producto Vendido]],STOCK[],16,FALSE)*VENTAS[[#This Row],[Cantidad]]+VLOOKUP(VENTAS[[#This Row],[Código del producto Vendido]],STOCK[],19,FALSE)*VENTAS[[#This Row],[Cantidad]],VENTAS[[#This Row],[Total]])</f>
        <v>6.05555555555556</v>
      </c>
      <c r="L1137" s="14">
        <f>VENTAS[[#This Row],[Total]]-VENTAS[[#This Row],[Comisión 10%]]-VENTAS[[#This Row],[Costo SIN Comision]]</f>
        <v>2.94444444444444</v>
      </c>
      <c r="M1137" s="14"/>
    </row>
    <row r="1138" ht="20" hidden="1" customHeight="1" spans="1:13">
      <c r="A1138" s="10">
        <v>45496</v>
      </c>
      <c r="B1138" s="11"/>
      <c r="C1138" s="11"/>
      <c r="D1138" s="11" t="s">
        <v>4266</v>
      </c>
      <c r="E1138" s="11" t="s">
        <v>597</v>
      </c>
      <c r="F1138" s="11" t="str">
        <f>IFERROR(VLOOKUP(VENTAS[[#This Row],[Código del producto Vendido]],STOCK[],5,FALSE),"-")</f>
        <v>Top cruzado naranja</v>
      </c>
      <c r="G1138" s="11">
        <v>1</v>
      </c>
      <c r="H1138" s="14">
        <v>8</v>
      </c>
      <c r="I1138" s="14">
        <f>VENTAS[[#This Row],[Cantidad]]*VENTAS[[#This Row],[Precio Venta]]</f>
        <v>8</v>
      </c>
      <c r="J1138" s="14">
        <f>IF(VENTAS[[#This Row],[Nombre del Gestor]]&gt;1,VENTAS[[#This Row],[Total]]*10%,0)</f>
        <v>0.8</v>
      </c>
      <c r="K1138" s="14">
        <f>IFERROR(VLOOKUP(VENTAS[[#This Row],[Código del producto Vendido]],STOCK[],16,FALSE)*VENTAS[[#This Row],[Cantidad]]+VLOOKUP(VENTAS[[#This Row],[Código del producto Vendido]],STOCK[],19,FALSE)*VENTAS[[#This Row],[Cantidad]],VENTAS[[#This Row],[Total]])</f>
        <v>5.06833333333333</v>
      </c>
      <c r="L1138" s="14">
        <f>VENTAS[[#This Row],[Total]]-VENTAS[[#This Row],[Comisión 10%]]-VENTAS[[#This Row],[Costo SIN Comision]]</f>
        <v>2.13166666666667</v>
      </c>
      <c r="M1138" s="14"/>
    </row>
    <row r="1139" ht="20" hidden="1" customHeight="1" spans="1:13">
      <c r="A1139" s="10">
        <v>45496</v>
      </c>
      <c r="B1139" s="11"/>
      <c r="C1139" s="11"/>
      <c r="D1139" s="11" t="s">
        <v>4266</v>
      </c>
      <c r="E1139" s="11" t="s">
        <v>674</v>
      </c>
      <c r="F1139" s="11" t="str">
        <f>IFERROR(VLOOKUP(VENTAS[[#This Row],[Código del producto Vendido]],STOCK[],5,FALSE),"-")</f>
        <v>Top Cruzado azul</v>
      </c>
      <c r="G1139" s="11">
        <v>1</v>
      </c>
      <c r="H1139" s="14">
        <v>8</v>
      </c>
      <c r="I1139" s="14">
        <f>VENTAS[[#This Row],[Cantidad]]*VENTAS[[#This Row],[Precio Venta]]</f>
        <v>8</v>
      </c>
      <c r="J1139" s="14">
        <f>IF(VENTAS[[#This Row],[Nombre del Gestor]]&gt;1,VENTAS[[#This Row],[Total]]*10%,0)</f>
        <v>0.8</v>
      </c>
      <c r="K1139" s="14">
        <f>IFERROR(VLOOKUP(VENTAS[[#This Row],[Código del producto Vendido]],STOCK[],16,FALSE)*VENTAS[[#This Row],[Cantidad]]+VLOOKUP(VENTAS[[#This Row],[Código del producto Vendido]],STOCK[],19,FALSE)*VENTAS[[#This Row],[Cantidad]],VENTAS[[#This Row],[Total]])</f>
        <v>5.26833333333333</v>
      </c>
      <c r="L1139" s="14">
        <f>VENTAS[[#This Row],[Total]]-VENTAS[[#This Row],[Comisión 10%]]-VENTAS[[#This Row],[Costo SIN Comision]]</f>
        <v>1.93166666666667</v>
      </c>
      <c r="M1139" s="14"/>
    </row>
    <row r="1140" ht="20" hidden="1" customHeight="1" spans="1:13">
      <c r="A1140" s="10">
        <v>45495</v>
      </c>
      <c r="B1140" s="11"/>
      <c r="C1140" s="11"/>
      <c r="D1140" s="11" t="s">
        <v>4266</v>
      </c>
      <c r="E1140" s="11" t="s">
        <v>1009</v>
      </c>
      <c r="F1140" s="11" t="str">
        <f>IFERROR(VLOOKUP(VENTAS[[#This Row],[Código del producto Vendido]],STOCK[],5,FALSE),"-")</f>
        <v>Maxi Vestido con Bolsillo</v>
      </c>
      <c r="G1140" s="11">
        <v>1</v>
      </c>
      <c r="H1140" s="14">
        <v>35</v>
      </c>
      <c r="I1140" s="14">
        <f>VENTAS[[#This Row],[Cantidad]]*VENTAS[[#This Row],[Precio Venta]]</f>
        <v>35</v>
      </c>
      <c r="J1140" s="14">
        <f>IF(VENTAS[[#This Row],[Nombre del Gestor]]&gt;1,VENTAS[[#This Row],[Total]]*10%,0)</f>
        <v>3.5</v>
      </c>
      <c r="K1140" s="14">
        <f>IFERROR(VLOOKUP(VENTAS[[#This Row],[Código del producto Vendido]],STOCK[],16,FALSE)*VENTAS[[#This Row],[Cantidad]]+VLOOKUP(VENTAS[[#This Row],[Código del producto Vendido]],STOCK[],19,FALSE)*VENTAS[[#This Row],[Cantidad]],VENTAS[[#This Row],[Total]])</f>
        <v>24.7295454545455</v>
      </c>
      <c r="L1140" s="14">
        <f>VENTAS[[#This Row],[Total]]-VENTAS[[#This Row],[Comisión 10%]]-VENTAS[[#This Row],[Costo SIN Comision]]</f>
        <v>6.7704545454545</v>
      </c>
      <c r="M1140" s="14"/>
    </row>
    <row r="1141" ht="20" hidden="1" customHeight="1" spans="1:13">
      <c r="A1141" s="10">
        <v>45495</v>
      </c>
      <c r="B1141" s="11"/>
      <c r="C1141" s="11"/>
      <c r="D1141" s="11" t="s">
        <v>4266</v>
      </c>
      <c r="E1141" s="11" t="s">
        <v>330</v>
      </c>
      <c r="F1141" s="11" t="str">
        <f>IFERROR(VLOOKUP(VENTAS[[#This Row],[Código del producto Vendido]],STOCK[],5,FALSE),"-")</f>
        <v>Vestido ajustado con abertura</v>
      </c>
      <c r="G1141" s="11">
        <v>1</v>
      </c>
      <c r="H1141" s="14">
        <v>18</v>
      </c>
      <c r="I1141" s="14">
        <f>VENTAS[[#This Row],[Cantidad]]*VENTAS[[#This Row],[Precio Venta]]</f>
        <v>18</v>
      </c>
      <c r="J1141" s="14">
        <f>IF(VENTAS[[#This Row],[Nombre del Gestor]]&gt;1,VENTAS[[#This Row],[Total]]*10%,0)</f>
        <v>1.8</v>
      </c>
      <c r="K1141" s="14">
        <f>IFERROR(VLOOKUP(VENTAS[[#This Row],[Código del producto Vendido]],STOCK[],16,FALSE)*VENTAS[[#This Row],[Cantidad]]+VLOOKUP(VENTAS[[#This Row],[Código del producto Vendido]],STOCK[],19,FALSE)*VENTAS[[#This Row],[Cantidad]],VENTAS[[#This Row],[Total]])</f>
        <v>12.14</v>
      </c>
      <c r="L1141" s="14">
        <f>VENTAS[[#This Row],[Total]]-VENTAS[[#This Row],[Comisión 10%]]-VENTAS[[#This Row],[Costo SIN Comision]]</f>
        <v>4.06</v>
      </c>
      <c r="M1141" s="14"/>
    </row>
    <row r="1142" ht="20" hidden="1" customHeight="1" spans="1:13">
      <c r="A1142" s="10">
        <v>45495</v>
      </c>
      <c r="B1142" s="11"/>
      <c r="C1142" s="11"/>
      <c r="D1142" s="11" t="s">
        <v>4266</v>
      </c>
      <c r="E1142" s="11" t="s">
        <v>664</v>
      </c>
      <c r="F1142" s="11" t="str">
        <f>IFERROR(VLOOKUP(VENTAS[[#This Row],[Código del producto Vendido]],STOCK[],5,FALSE),"-")</f>
        <v>Top Cruzado negro</v>
      </c>
      <c r="G1142" s="11">
        <v>2</v>
      </c>
      <c r="H1142" s="14">
        <v>8</v>
      </c>
      <c r="I1142" s="14">
        <f>VENTAS[[#This Row],[Cantidad]]*VENTAS[[#This Row],[Precio Venta]]</f>
        <v>16</v>
      </c>
      <c r="J1142" s="14">
        <f>IF(VENTAS[[#This Row],[Nombre del Gestor]]&gt;1,VENTAS[[#This Row],[Total]]*10%,0)</f>
        <v>1.6</v>
      </c>
      <c r="K1142" s="14">
        <f>IFERROR(VLOOKUP(VENTAS[[#This Row],[Código del producto Vendido]],STOCK[],16,FALSE)*VENTAS[[#This Row],[Cantidad]]+VLOOKUP(VENTAS[[#This Row],[Código del producto Vendido]],STOCK[],19,FALSE)*VENTAS[[#This Row],[Cantidad]],VENTAS[[#This Row],[Total]])</f>
        <v>9.80333333333334</v>
      </c>
      <c r="L1142" s="14">
        <f>VENTAS[[#This Row],[Total]]-VENTAS[[#This Row],[Comisión 10%]]-VENTAS[[#This Row],[Costo SIN Comision]]</f>
        <v>4.59666666666666</v>
      </c>
      <c r="M1142" s="14"/>
    </row>
    <row r="1143" ht="20" hidden="1" customHeight="1" spans="1:13">
      <c r="A1143" s="10">
        <v>45495</v>
      </c>
      <c r="B1143" s="11"/>
      <c r="C1143" s="11"/>
      <c r="D1143" s="11" t="s">
        <v>4266</v>
      </c>
      <c r="E1143" s="11" t="s">
        <v>584</v>
      </c>
      <c r="F1143" s="11" t="str">
        <f>IFERROR(VLOOKUP(VENTAS[[#This Row],[Código del producto Vendido]],STOCK[],5,FALSE),"-")</f>
        <v>Top cruzado blanco</v>
      </c>
      <c r="G1143" s="11">
        <v>2</v>
      </c>
      <c r="H1143" s="14">
        <v>8</v>
      </c>
      <c r="I1143" s="14">
        <f>VENTAS[[#This Row],[Cantidad]]*VENTAS[[#This Row],[Precio Venta]]</f>
        <v>16</v>
      </c>
      <c r="J1143" s="14">
        <f>IF(VENTAS[[#This Row],[Nombre del Gestor]]&gt;1,VENTAS[[#This Row],[Total]]*10%,0)</f>
        <v>1.6</v>
      </c>
      <c r="K1143" s="14">
        <f>IFERROR(VLOOKUP(VENTAS[[#This Row],[Código del producto Vendido]],STOCK[],16,FALSE)*VENTAS[[#This Row],[Cantidad]]+VLOOKUP(VENTAS[[#This Row],[Código del producto Vendido]],STOCK[],19,FALSE)*VENTAS[[#This Row],[Cantidad]],VENTAS[[#This Row],[Total]])</f>
        <v>10.3866666666667</v>
      </c>
      <c r="L1143" s="14">
        <f>VENTAS[[#This Row],[Total]]-VENTAS[[#This Row],[Comisión 10%]]-VENTAS[[#This Row],[Costo SIN Comision]]</f>
        <v>4.01333333333334</v>
      </c>
      <c r="M1143" s="14"/>
    </row>
    <row r="1144" ht="20" hidden="1" customHeight="1" spans="1:13">
      <c r="A1144" s="10">
        <v>45495</v>
      </c>
      <c r="B1144" s="11"/>
      <c r="C1144" s="11"/>
      <c r="D1144" s="11" t="s">
        <v>4266</v>
      </c>
      <c r="E1144" s="11" t="s">
        <v>212</v>
      </c>
      <c r="F1144" s="11" t="str">
        <f>IFERROR(VLOOKUP(VENTAS[[#This Row],[Código del producto Vendido]],STOCK[],5,FALSE),"-")</f>
        <v>Maxi vestido con bajo floral</v>
      </c>
      <c r="G1144" s="11">
        <v>1</v>
      </c>
      <c r="H1144" s="14">
        <v>25</v>
      </c>
      <c r="I1144" s="14">
        <f>VENTAS[[#This Row],[Cantidad]]*VENTAS[[#This Row],[Precio Venta]]</f>
        <v>25</v>
      </c>
      <c r="J1144" s="14">
        <f>IF(VENTAS[[#This Row],[Nombre del Gestor]]&gt;1,VENTAS[[#This Row],[Total]]*10%,0)</f>
        <v>2.5</v>
      </c>
      <c r="K1144" s="14">
        <f>IFERROR(VLOOKUP(VENTAS[[#This Row],[Código del producto Vendido]],STOCK[],16,FALSE)*VENTAS[[#This Row],[Cantidad]]+VLOOKUP(VENTAS[[#This Row],[Código del producto Vendido]],STOCK[],19,FALSE)*VENTAS[[#This Row],[Cantidad]],VENTAS[[#This Row],[Total]])</f>
        <v>14.34</v>
      </c>
      <c r="L1144" s="14">
        <f>VENTAS[[#This Row],[Total]]-VENTAS[[#This Row],[Comisión 10%]]-VENTAS[[#This Row],[Costo SIN Comision]]</f>
        <v>8.16</v>
      </c>
      <c r="M1144" s="14"/>
    </row>
    <row r="1145" ht="20" hidden="1" customHeight="1" spans="1:13">
      <c r="A1145" s="10">
        <v>45500</v>
      </c>
      <c r="B1145" s="11"/>
      <c r="C1145" s="11" t="s">
        <v>4298</v>
      </c>
      <c r="D1145" s="11"/>
      <c r="E1145" s="11" t="s">
        <v>2480</v>
      </c>
      <c r="F1145" s="11" t="str">
        <f>IFERROR(VLOOKUP(VENTAS[[#This Row],[Código del producto Vendido]],STOCK[],5,FALSE),"-")</f>
        <v>Sandalias finas strappy rojas de tacón</v>
      </c>
      <c r="G1145" s="11">
        <v>1</v>
      </c>
      <c r="H1145" s="14">
        <v>40</v>
      </c>
      <c r="I1145" s="14">
        <f>VENTAS[[#This Row],[Cantidad]]*VENTAS[[#This Row],[Precio Venta]]</f>
        <v>40</v>
      </c>
      <c r="J1145" s="14">
        <f>IF(VENTAS[[#This Row],[Nombre del Gestor]]&gt;1,VENTAS[[#This Row],[Total]]*10%,0)</f>
        <v>0</v>
      </c>
      <c r="K1145" s="14">
        <f>IFERROR(VLOOKUP(VENTAS[[#This Row],[Código del producto Vendido]],STOCK[],16,FALSE)*VENTAS[[#This Row],[Cantidad]]+VLOOKUP(VENTAS[[#This Row],[Código del producto Vendido]],STOCK[],19,FALSE)*VENTAS[[#This Row],[Cantidad]],VENTAS[[#This Row],[Total]])</f>
        <v>20.81925</v>
      </c>
      <c r="L1145" s="14">
        <f>VENTAS[[#This Row],[Total]]-VENTAS[[#This Row],[Comisión 10%]]-VENTAS[[#This Row],[Costo SIN Comision]]</f>
        <v>19.18075</v>
      </c>
      <c r="M1145" s="14"/>
    </row>
    <row r="1146" ht="20" hidden="1" customHeight="1" spans="1:13">
      <c r="A1146" s="10">
        <v>45506</v>
      </c>
      <c r="B1146" s="11"/>
      <c r="C1146" s="11"/>
      <c r="D1146" s="11" t="s">
        <v>4222</v>
      </c>
      <c r="E1146" s="11" t="s">
        <v>2482</v>
      </c>
      <c r="F1146" s="11" t="str">
        <f>IFERROR(VLOOKUP(VENTAS[[#This Row],[Código del producto Vendido]],STOCK[],5,FALSE),"-")</f>
        <v>Sandalias finas strappy rojas de tacón</v>
      </c>
      <c r="G1146" s="11">
        <v>1</v>
      </c>
      <c r="H1146" s="14">
        <v>40</v>
      </c>
      <c r="I1146" s="14">
        <f>VENTAS[[#This Row],[Cantidad]]*VENTAS[[#This Row],[Precio Venta]]</f>
        <v>40</v>
      </c>
      <c r="J1146" s="14">
        <f>IF(VENTAS[[#This Row],[Nombre del Gestor]]&gt;1,VENTAS[[#This Row],[Total]]*10%,0)</f>
        <v>4</v>
      </c>
      <c r="K1146" s="14">
        <f>IFERROR(VLOOKUP(VENTAS[[#This Row],[Código del producto Vendido]],STOCK[],16,FALSE)*VENTAS[[#This Row],[Cantidad]]+VLOOKUP(VENTAS[[#This Row],[Código del producto Vendido]],STOCK[],19,FALSE)*VENTAS[[#This Row],[Cantidad]],VENTAS[[#This Row],[Total]])</f>
        <v>20.81925</v>
      </c>
      <c r="L1146" s="14">
        <f>VENTAS[[#This Row],[Total]]-VENTAS[[#This Row],[Comisión 10%]]-VENTAS[[#This Row],[Costo SIN Comision]]</f>
        <v>15.18075</v>
      </c>
      <c r="M1146" s="14"/>
    </row>
    <row r="1147" ht="20" hidden="1" customHeight="1" spans="1:13">
      <c r="A1147" s="10">
        <v>45507</v>
      </c>
      <c r="B1147" s="11"/>
      <c r="C1147" s="11"/>
      <c r="D1147" s="11" t="s">
        <v>4272</v>
      </c>
      <c r="E1147" s="11" t="s">
        <v>2466</v>
      </c>
      <c r="F1147" s="11" t="str">
        <f>IFERROR(VLOOKUP(VENTAS[[#This Row],[Código del producto Vendido]],STOCK[],5,FALSE),"-")</f>
        <v>Sandalias de plataforma en bloque de color</v>
      </c>
      <c r="G1147" s="11">
        <v>1</v>
      </c>
      <c r="H1147" s="14">
        <v>35</v>
      </c>
      <c r="I1147" s="14">
        <f>VENTAS[[#This Row],[Cantidad]]*VENTAS[[#This Row],[Precio Venta]]</f>
        <v>35</v>
      </c>
      <c r="J1147" s="14">
        <f>IF(VENTAS[[#This Row],[Nombre del Gestor]]&gt;1,VENTAS[[#This Row],[Total]]*10%,0)</f>
        <v>3.5</v>
      </c>
      <c r="K1147" s="14">
        <f>IFERROR(VLOOKUP(VENTAS[[#This Row],[Código del producto Vendido]],STOCK[],16,FALSE)*VENTAS[[#This Row],[Cantidad]]+VLOOKUP(VENTAS[[#This Row],[Código del producto Vendido]],STOCK[],19,FALSE)*VENTAS[[#This Row],[Cantidad]],VENTAS[[#This Row],[Total]])</f>
        <v>21.97</v>
      </c>
      <c r="L1147" s="14">
        <f>VENTAS[[#This Row],[Total]]-VENTAS[[#This Row],[Comisión 10%]]-VENTAS[[#This Row],[Costo SIN Comision]]</f>
        <v>9.53</v>
      </c>
      <c r="M1147" s="14"/>
    </row>
    <row r="1148" ht="20" hidden="1" customHeight="1" spans="1:13">
      <c r="A1148" s="10">
        <v>45506</v>
      </c>
      <c r="B1148" s="11"/>
      <c r="C1148" s="11"/>
      <c r="D1148" s="11" t="s">
        <v>4272</v>
      </c>
      <c r="E1148" s="11" t="s">
        <v>2477</v>
      </c>
      <c r="F1148" s="11" t="str">
        <f>IFERROR(VLOOKUP(VENTAS[[#This Row],[Código del producto Vendido]],STOCK[],5,FALSE),"-")</f>
        <v>Sandalias espadriles nude</v>
      </c>
      <c r="G1148" s="11">
        <v>1</v>
      </c>
      <c r="H1148" s="14">
        <v>45</v>
      </c>
      <c r="I1148" s="14">
        <f>VENTAS[[#This Row],[Cantidad]]*VENTAS[[#This Row],[Precio Venta]]</f>
        <v>45</v>
      </c>
      <c r="J1148" s="14">
        <f>IF(VENTAS[[#This Row],[Nombre del Gestor]]&gt;1,VENTAS[[#This Row],[Total]]*10%,0)</f>
        <v>4.5</v>
      </c>
      <c r="K1148" s="14">
        <f>IFERROR(VLOOKUP(VENTAS[[#This Row],[Código del producto Vendido]],STOCK[],16,FALSE)*VENTAS[[#This Row],[Cantidad]]+VLOOKUP(VENTAS[[#This Row],[Código del producto Vendido]],STOCK[],19,FALSE)*VENTAS[[#This Row],[Cantidad]],VENTAS[[#This Row],[Total]])</f>
        <v>31.9517</v>
      </c>
      <c r="L1148" s="14">
        <f>VENTAS[[#This Row],[Total]]-VENTAS[[#This Row],[Comisión 10%]]-VENTAS[[#This Row],[Costo SIN Comision]]</f>
        <v>8.5483</v>
      </c>
      <c r="M1148" s="14"/>
    </row>
    <row r="1149" ht="20" hidden="1" customHeight="1" spans="1:13">
      <c r="A1149" s="10">
        <v>45505</v>
      </c>
      <c r="B1149" s="11"/>
      <c r="C1149" s="11"/>
      <c r="D1149" s="11" t="s">
        <v>4272</v>
      </c>
      <c r="E1149" s="11" t="s">
        <v>1579</v>
      </c>
      <c r="F1149" s="11" t="str">
        <f>IFERROR(VLOOKUP(VENTAS[[#This Row],[Código del producto Vendido]],STOCK[],5,FALSE),"-")</f>
        <v>Sandalias de nudos</v>
      </c>
      <c r="G1149" s="11">
        <v>1</v>
      </c>
      <c r="H1149" s="14">
        <v>18</v>
      </c>
      <c r="I1149" s="14">
        <f>VENTAS[[#This Row],[Cantidad]]*VENTAS[[#This Row],[Precio Venta]]</f>
        <v>18</v>
      </c>
      <c r="J1149" s="14">
        <f>IF(VENTAS[[#This Row],[Nombre del Gestor]]&gt;1,VENTAS[[#This Row],[Total]]*10%,0)</f>
        <v>1.8</v>
      </c>
      <c r="K1149" s="14">
        <f>IFERROR(VLOOKUP(VENTAS[[#This Row],[Código del producto Vendido]],STOCK[],16,FALSE)*VENTAS[[#This Row],[Cantidad]]+VLOOKUP(VENTAS[[#This Row],[Código del producto Vendido]],STOCK[],19,FALSE)*VENTAS[[#This Row],[Cantidad]],VENTAS[[#This Row],[Total]])</f>
        <v>11</v>
      </c>
      <c r="L1149" s="14">
        <f>VENTAS[[#This Row],[Total]]-VENTAS[[#This Row],[Comisión 10%]]-VENTAS[[#This Row],[Costo SIN Comision]]</f>
        <v>5.2</v>
      </c>
      <c r="M1149" s="14"/>
    </row>
    <row r="1150" ht="20" hidden="1" customHeight="1" spans="1:13">
      <c r="A1150" s="10">
        <v>45507</v>
      </c>
      <c r="B1150" s="11"/>
      <c r="C1150" s="11" t="s">
        <v>4210</v>
      </c>
      <c r="D1150" s="11"/>
      <c r="E1150" s="11" t="s">
        <v>1575</v>
      </c>
      <c r="F1150" s="11" t="str">
        <f>IFERROR(VLOOKUP(VENTAS[[#This Row],[Código del producto Vendido]],STOCK[],5,FALSE),"-")</f>
        <v>Sandalias de nudos</v>
      </c>
      <c r="G1150" s="11">
        <v>1</v>
      </c>
      <c r="H1150" s="14">
        <v>18</v>
      </c>
      <c r="I1150" s="14">
        <f>VENTAS[[#This Row],[Cantidad]]*VENTAS[[#This Row],[Precio Venta]]</f>
        <v>18</v>
      </c>
      <c r="J1150" s="14">
        <f>IF(VENTAS[[#This Row],[Nombre del Gestor]]&gt;1,VENTAS[[#This Row],[Total]]*10%,0)</f>
        <v>0</v>
      </c>
      <c r="K1150" s="14">
        <f>IFERROR(VLOOKUP(VENTAS[[#This Row],[Código del producto Vendido]],STOCK[],16,FALSE)*VENTAS[[#This Row],[Cantidad]]+VLOOKUP(VENTAS[[#This Row],[Código del producto Vendido]],STOCK[],19,FALSE)*VENTAS[[#This Row],[Cantidad]],VENTAS[[#This Row],[Total]])</f>
        <v>11</v>
      </c>
      <c r="L1150" s="14">
        <f>VENTAS[[#This Row],[Total]]-VENTAS[[#This Row],[Comisión 10%]]-VENTAS[[#This Row],[Costo SIN Comision]]</f>
        <v>7</v>
      </c>
      <c r="M1150" s="14"/>
    </row>
    <row r="1151" ht="20" hidden="1" customHeight="1" spans="1:13">
      <c r="A1151" s="10">
        <v>45507</v>
      </c>
      <c r="B1151" s="11"/>
      <c r="C1151" s="11" t="s">
        <v>4301</v>
      </c>
      <c r="D1151" s="11" t="s">
        <v>4300</v>
      </c>
      <c r="E1151" s="11" t="s">
        <v>1580</v>
      </c>
      <c r="F1151" s="11" t="str">
        <f>IFERROR(VLOOKUP(VENTAS[[#This Row],[Código del producto Vendido]],STOCK[],5,FALSE),"-")</f>
        <v>Sandalias Pop </v>
      </c>
      <c r="G1151" s="11">
        <v>1</v>
      </c>
      <c r="H1151" s="14">
        <v>50</v>
      </c>
      <c r="I1151" s="14">
        <f>VENTAS[[#This Row],[Cantidad]]*VENTAS[[#This Row],[Precio Venta]]</f>
        <v>50</v>
      </c>
      <c r="J1151" s="14">
        <f>IF(VENTAS[[#This Row],[Nombre del Gestor]]&gt;1,VENTAS[[#This Row],[Total]]*10%,0)</f>
        <v>5</v>
      </c>
      <c r="K1151" s="14">
        <f>IFERROR(VLOOKUP(VENTAS[[#This Row],[Código del producto Vendido]],STOCK[],16,FALSE)*VENTAS[[#This Row],[Cantidad]]+VLOOKUP(VENTAS[[#This Row],[Código del producto Vendido]],STOCK[],19,FALSE)*VENTAS[[#This Row],[Cantidad]],VENTAS[[#This Row],[Total]])</f>
        <v>28</v>
      </c>
      <c r="L1151" s="14">
        <f>VENTAS[[#This Row],[Total]]-VENTAS[[#This Row],[Comisión 10%]]-VENTAS[[#This Row],[Costo SIN Comision]]</f>
        <v>17</v>
      </c>
      <c r="M1151" s="14"/>
    </row>
    <row r="1152" ht="20" hidden="1" customHeight="1" spans="1:13">
      <c r="A1152" s="10">
        <v>45505</v>
      </c>
      <c r="B1152" s="11"/>
      <c r="C1152" s="11" t="s">
        <v>4302</v>
      </c>
      <c r="D1152" s="11" t="s">
        <v>4212</v>
      </c>
      <c r="E1152" s="11" t="s">
        <v>1580</v>
      </c>
      <c r="F1152" s="11" t="str">
        <f>IFERROR(VLOOKUP(VENTAS[[#This Row],[Código del producto Vendido]],STOCK[],5,FALSE),"-")</f>
        <v>Sandalias Pop </v>
      </c>
      <c r="G1152" s="11">
        <v>1</v>
      </c>
      <c r="H1152" s="14">
        <v>50</v>
      </c>
      <c r="I1152" s="14">
        <f>VENTAS[[#This Row],[Cantidad]]*VENTAS[[#This Row],[Precio Venta]]</f>
        <v>50</v>
      </c>
      <c r="J1152" s="14">
        <f>IF(VENTAS[[#This Row],[Nombre del Gestor]]&gt;1,VENTAS[[#This Row],[Total]]*10%,0)</f>
        <v>5</v>
      </c>
      <c r="K1152" s="14">
        <f>IFERROR(VLOOKUP(VENTAS[[#This Row],[Código del producto Vendido]],STOCK[],16,FALSE)*VENTAS[[#This Row],[Cantidad]]+VLOOKUP(VENTAS[[#This Row],[Código del producto Vendido]],STOCK[],19,FALSE)*VENTAS[[#This Row],[Cantidad]],VENTAS[[#This Row],[Total]])</f>
        <v>28</v>
      </c>
      <c r="L1152" s="14">
        <f>VENTAS[[#This Row],[Total]]-VENTAS[[#This Row],[Comisión 10%]]-VENTAS[[#This Row],[Costo SIN Comision]]</f>
        <v>17</v>
      </c>
      <c r="M1152" s="14"/>
    </row>
    <row r="1153" ht="20" hidden="1" customHeight="1" spans="1:13">
      <c r="A1153" s="10">
        <v>45505</v>
      </c>
      <c r="B1153" s="11"/>
      <c r="C1153" s="11" t="s">
        <v>4210</v>
      </c>
      <c r="D1153" s="11"/>
      <c r="E1153" s="11" t="s">
        <v>1582</v>
      </c>
      <c r="F1153" s="11" t="str">
        <f>IFERROR(VLOOKUP(VENTAS[[#This Row],[Código del producto Vendido]],STOCK[],5,FALSE),"-")</f>
        <v>Sandalias Pop</v>
      </c>
      <c r="G1153" s="11">
        <v>1</v>
      </c>
      <c r="H1153" s="14">
        <v>0</v>
      </c>
      <c r="I1153" s="14">
        <f>VENTAS[[#This Row],[Cantidad]]*VENTAS[[#This Row],[Precio Venta]]</f>
        <v>0</v>
      </c>
      <c r="J1153" s="14">
        <f>IF(VENTAS[[#This Row],[Nombre del Gestor]]&gt;1,VENTAS[[#This Row],[Total]]*10%,0)</f>
        <v>0</v>
      </c>
      <c r="K1153" s="14">
        <f>IFERROR(VLOOKUP(VENTAS[[#This Row],[Código del producto Vendido]],STOCK[],16,FALSE)*VENTAS[[#This Row],[Cantidad]]+VLOOKUP(VENTAS[[#This Row],[Código del producto Vendido]],STOCK[],19,FALSE)*VENTAS[[#This Row],[Cantidad]],VENTAS[[#This Row],[Total]])</f>
        <v>28</v>
      </c>
      <c r="L1153" s="14">
        <f>VENTAS[[#This Row],[Total]]-VENTAS[[#This Row],[Comisión 10%]]-VENTAS[[#This Row],[Costo SIN Comision]]</f>
        <v>-28</v>
      </c>
      <c r="M1153" s="14"/>
    </row>
    <row r="1154" ht="20" hidden="1" customHeight="1" spans="1:13">
      <c r="A1154" s="10">
        <v>45506</v>
      </c>
      <c r="B1154" s="11"/>
      <c r="C1154" s="11" t="s">
        <v>4303</v>
      </c>
      <c r="D1154" s="11" t="s">
        <v>4212</v>
      </c>
      <c r="E1154" s="11" t="s">
        <v>2467</v>
      </c>
      <c r="F1154" s="11" t="str">
        <f>IFERROR(VLOOKUP(VENTAS[[#This Row],[Código del producto Vendido]],STOCK[],5,FALSE),"-")</f>
        <v>Sandalias de plataforma en bloque de color</v>
      </c>
      <c r="G1154" s="11">
        <v>1</v>
      </c>
      <c r="H1154" s="14">
        <v>35</v>
      </c>
      <c r="I1154" s="14">
        <f>VENTAS[[#This Row],[Cantidad]]*VENTAS[[#This Row],[Precio Venta]]</f>
        <v>35</v>
      </c>
      <c r="J1154" s="14">
        <f>IF(VENTAS[[#This Row],[Nombre del Gestor]]&gt;1,VENTAS[[#This Row],[Total]]*10%,0)</f>
        <v>3.5</v>
      </c>
      <c r="K1154" s="14">
        <f>IFERROR(VLOOKUP(VENTAS[[#This Row],[Código del producto Vendido]],STOCK[],16,FALSE)*VENTAS[[#This Row],[Cantidad]]+VLOOKUP(VENTAS[[#This Row],[Código del producto Vendido]],STOCK[],19,FALSE)*VENTAS[[#This Row],[Cantidad]],VENTAS[[#This Row],[Total]])</f>
        <v>21.97</v>
      </c>
      <c r="L1154" s="14">
        <f>VENTAS[[#This Row],[Total]]-VENTAS[[#This Row],[Comisión 10%]]-VENTAS[[#This Row],[Costo SIN Comision]]</f>
        <v>9.53</v>
      </c>
      <c r="M1154" s="14"/>
    </row>
    <row r="1155" ht="20" hidden="1" customHeight="1" spans="1:13">
      <c r="A1155" s="10">
        <v>45505</v>
      </c>
      <c r="B1155" s="11"/>
      <c r="C1155" s="11" t="s">
        <v>4304</v>
      </c>
      <c r="D1155" s="11" t="s">
        <v>4212</v>
      </c>
      <c r="E1155" s="11" t="s">
        <v>812</v>
      </c>
      <c r="F1155" s="11" t="str">
        <f>IFERROR(VLOOKUP(VENTAS[[#This Row],[Código del producto Vendido]],STOCK[],5,FALSE),"-")</f>
        <v>Vestido slip de espalda corrida</v>
      </c>
      <c r="G1155" s="11">
        <v>1</v>
      </c>
      <c r="H1155" s="14">
        <v>8</v>
      </c>
      <c r="I1155" s="14">
        <f>VENTAS[[#This Row],[Cantidad]]*VENTAS[[#This Row],[Precio Venta]]</f>
        <v>8</v>
      </c>
      <c r="J1155" s="14">
        <f>IF(VENTAS[[#This Row],[Nombre del Gestor]]&gt;1,VENTAS[[#This Row],[Total]]*10%,0)</f>
        <v>0.8</v>
      </c>
      <c r="K1155" s="14">
        <f>IFERROR(VLOOKUP(VENTAS[[#This Row],[Código del producto Vendido]],STOCK[],16,FALSE)*VENTAS[[#This Row],[Cantidad]]+VLOOKUP(VENTAS[[#This Row],[Código del producto Vendido]],STOCK[],19,FALSE)*VENTAS[[#This Row],[Cantidad]],VENTAS[[#This Row],[Total]])</f>
        <v>6.77777777777778</v>
      </c>
      <c r="L1155" s="14">
        <f>VENTAS[[#This Row],[Total]]-VENTAS[[#This Row],[Comisión 10%]]-VENTAS[[#This Row],[Costo SIN Comision]]</f>
        <v>0.42222222222222</v>
      </c>
      <c r="M1155" s="14"/>
    </row>
    <row r="1156" ht="20" hidden="1" customHeight="1" spans="1:13">
      <c r="A1156" s="10">
        <v>45505</v>
      </c>
      <c r="B1156" s="11"/>
      <c r="C1156" s="11" t="s">
        <v>4304</v>
      </c>
      <c r="D1156" s="11" t="s">
        <v>4212</v>
      </c>
      <c r="E1156" s="11" t="s">
        <v>648</v>
      </c>
      <c r="F1156" s="11" t="str">
        <f>IFERROR(VLOOKUP(VENTAS[[#This Row],[Código del producto Vendido]],STOCK[],5,FALSE),"-")</f>
        <v>Vestido con estampado jungla</v>
      </c>
      <c r="G1156" s="11">
        <v>1</v>
      </c>
      <c r="H1156" s="14">
        <v>13</v>
      </c>
      <c r="I1156" s="14">
        <f>VENTAS[[#This Row],[Cantidad]]*VENTAS[[#This Row],[Precio Venta]]</f>
        <v>13</v>
      </c>
      <c r="J1156" s="14">
        <f>IF(VENTAS[[#This Row],[Nombre del Gestor]]&gt;1,VENTAS[[#This Row],[Total]]*10%,0)</f>
        <v>1.3</v>
      </c>
      <c r="K1156" s="14">
        <f>IFERROR(VLOOKUP(VENTAS[[#This Row],[Código del producto Vendido]],STOCK[],16,FALSE)*VENTAS[[#This Row],[Cantidad]]+VLOOKUP(VENTAS[[#This Row],[Código del producto Vendido]],STOCK[],19,FALSE)*VENTAS[[#This Row],[Cantidad]],VENTAS[[#This Row],[Total]])</f>
        <v>10.7222222222222</v>
      </c>
      <c r="L1156" s="14">
        <f>VENTAS[[#This Row],[Total]]-VENTAS[[#This Row],[Comisión 10%]]-VENTAS[[#This Row],[Costo SIN Comision]]</f>
        <v>0.97777777777778</v>
      </c>
      <c r="M1156" s="14"/>
    </row>
    <row r="1157" ht="20" hidden="1" customHeight="1" spans="1:13">
      <c r="A1157" s="10">
        <v>45514</v>
      </c>
      <c r="B1157" s="11"/>
      <c r="C1157" s="11" t="s">
        <v>4305</v>
      </c>
      <c r="D1157" s="11" t="s">
        <v>4212</v>
      </c>
      <c r="E1157" s="11" t="s">
        <v>1862</v>
      </c>
      <c r="F1157" s="11" t="str">
        <f>IFERROR(VLOOKUP(VENTAS[[#This Row],[Código del producto Vendido]],STOCK[],5,FALSE),"-")</f>
        <v>Bolso Baguette Negro</v>
      </c>
      <c r="G1157" s="11">
        <v>1</v>
      </c>
      <c r="H1157" s="14">
        <v>25</v>
      </c>
      <c r="I1157" s="14">
        <f>VENTAS[[#This Row],[Cantidad]]*VENTAS[[#This Row],[Precio Venta]]</f>
        <v>25</v>
      </c>
      <c r="J1157" s="14">
        <f>IF(VENTAS[[#This Row],[Nombre del Gestor]]&gt;1,VENTAS[[#This Row],[Total]]*10%,0)</f>
        <v>2.5</v>
      </c>
      <c r="K1157" s="14">
        <f>IFERROR(VLOOKUP(VENTAS[[#This Row],[Código del producto Vendido]],STOCK[],16,FALSE)*VENTAS[[#This Row],[Cantidad]]+VLOOKUP(VENTAS[[#This Row],[Código del producto Vendido]],STOCK[],19,FALSE)*VENTAS[[#This Row],[Cantidad]],VENTAS[[#This Row],[Total]])</f>
        <v>15.79</v>
      </c>
      <c r="L1157" s="14">
        <f>VENTAS[[#This Row],[Total]]-VENTAS[[#This Row],[Comisión 10%]]-VENTAS[[#This Row],[Costo SIN Comision]]</f>
        <v>6.71</v>
      </c>
      <c r="M1157" s="14"/>
    </row>
    <row r="1158" ht="20" hidden="1" customHeight="1" spans="1:13">
      <c r="A1158" s="10">
        <v>45508</v>
      </c>
      <c r="B1158" s="11"/>
      <c r="C1158" s="11" t="s">
        <v>4298</v>
      </c>
      <c r="D1158" s="11"/>
      <c r="E1158" s="11" t="s">
        <v>2458</v>
      </c>
      <c r="F1158" s="11" t="str">
        <f>IFERROR(VLOOKUP(VENTAS[[#This Row],[Código del producto Vendido]],STOCK[],5,FALSE),"-")</f>
        <v>Sandalias prácticas Chunky Negras</v>
      </c>
      <c r="G1158" s="11">
        <v>1</v>
      </c>
      <c r="H1158" s="14">
        <v>35</v>
      </c>
      <c r="I1158" s="14">
        <f>VENTAS[[#This Row],[Cantidad]]*VENTAS[[#This Row],[Precio Venta]]</f>
        <v>35</v>
      </c>
      <c r="J1158" s="14">
        <f>IF(VENTAS[[#This Row],[Nombre del Gestor]]&gt;1,VENTAS[[#This Row],[Total]]*10%,0)</f>
        <v>0</v>
      </c>
      <c r="K1158" s="14">
        <f>IFERROR(VLOOKUP(VENTAS[[#This Row],[Código del producto Vendido]],STOCK[],16,FALSE)*VENTAS[[#This Row],[Cantidad]]+VLOOKUP(VENTAS[[#This Row],[Código del producto Vendido]],STOCK[],19,FALSE)*VENTAS[[#This Row],[Cantidad]],VENTAS[[#This Row],[Total]])</f>
        <v>21.97</v>
      </c>
      <c r="L1158" s="14">
        <f>VENTAS[[#This Row],[Total]]-VENTAS[[#This Row],[Comisión 10%]]-VENTAS[[#This Row],[Costo SIN Comision]]</f>
        <v>13.03</v>
      </c>
      <c r="M1158" s="14"/>
    </row>
    <row r="1159" ht="20" hidden="1" customHeight="1" spans="1:13">
      <c r="A1159" s="10">
        <v>45500</v>
      </c>
      <c r="B1159" s="11"/>
      <c r="C1159" s="11"/>
      <c r="D1159" s="11" t="s">
        <v>4266</v>
      </c>
      <c r="E1159" s="11" t="s">
        <v>2162</v>
      </c>
      <c r="F1159" s="11" t="str">
        <f>IFERROR(VLOOKUP(VENTAS[[#This Row],[Código del producto Vendido]],STOCK[],5,FALSE),"-")</f>
        <v>Bañador en color sólido sexy-elegante </v>
      </c>
      <c r="G1159" s="11">
        <v>1</v>
      </c>
      <c r="H1159" s="14">
        <v>20</v>
      </c>
      <c r="I1159" s="14">
        <f>VENTAS[[#This Row],[Cantidad]]*VENTAS[[#This Row],[Precio Venta]]</f>
        <v>20</v>
      </c>
      <c r="J1159" s="14">
        <f>IF(VENTAS[[#This Row],[Nombre del Gestor]]&gt;1,VENTAS[[#This Row],[Total]]*10%,0)</f>
        <v>2</v>
      </c>
      <c r="K1159" s="14">
        <f>IFERROR(VLOOKUP(VENTAS[[#This Row],[Código del producto Vendido]],STOCK[],16,FALSE)*VENTAS[[#This Row],[Cantidad]]+VLOOKUP(VENTAS[[#This Row],[Código del producto Vendido]],STOCK[],19,FALSE)*VENTAS[[#This Row],[Cantidad]],VENTAS[[#This Row],[Total]])</f>
        <v>8.24</v>
      </c>
      <c r="L1159" s="14">
        <f>VENTAS[[#This Row],[Total]]-VENTAS[[#This Row],[Comisión 10%]]-VENTAS[[#This Row],[Costo SIN Comision]]</f>
        <v>9.76</v>
      </c>
      <c r="M1159" s="14"/>
    </row>
    <row r="1160" ht="20" hidden="1" customHeight="1" spans="1:13">
      <c r="A1160" s="10">
        <v>45502</v>
      </c>
      <c r="B1160" s="11"/>
      <c r="C1160" s="11"/>
      <c r="D1160" s="11" t="s">
        <v>4266</v>
      </c>
      <c r="E1160" s="11" t="s">
        <v>2243</v>
      </c>
      <c r="F1160" s="11" t="str">
        <f>IFERROR(VLOOKUP(VENTAS[[#This Row],[Código del producto Vendido]],STOCK[],5,FALSE),"-")</f>
        <v>Set de traje de baño elegante 2 piezas con adorno en forma de V</v>
      </c>
      <c r="G1160" s="11">
        <v>1</v>
      </c>
      <c r="H1160" s="14">
        <v>25</v>
      </c>
      <c r="I1160" s="14">
        <f>VENTAS[[#This Row],[Cantidad]]*VENTAS[[#This Row],[Precio Venta]]</f>
        <v>25</v>
      </c>
      <c r="J1160" s="14">
        <f>IF(VENTAS[[#This Row],[Nombre del Gestor]]&gt;1,VENTAS[[#This Row],[Total]]*10%,0)</f>
        <v>2.5</v>
      </c>
      <c r="K1160" s="14">
        <f>IFERROR(VLOOKUP(VENTAS[[#This Row],[Código del producto Vendido]],STOCK[],16,FALSE)*VENTAS[[#This Row],[Cantidad]]+VLOOKUP(VENTAS[[#This Row],[Código del producto Vendido]],STOCK[],19,FALSE)*VENTAS[[#This Row],[Cantidad]],VENTAS[[#This Row],[Total]])</f>
        <v>10.79</v>
      </c>
      <c r="L1160" s="14">
        <f>VENTAS[[#This Row],[Total]]-VENTAS[[#This Row],[Comisión 10%]]-VENTAS[[#This Row],[Costo SIN Comision]]</f>
        <v>11.71</v>
      </c>
      <c r="M1160" s="14"/>
    </row>
    <row r="1161" ht="20" hidden="1" customHeight="1" spans="1:13">
      <c r="A1161" s="10">
        <v>45503</v>
      </c>
      <c r="B1161" s="11"/>
      <c r="C1161" s="11"/>
      <c r="D1161" s="11" t="s">
        <v>4266</v>
      </c>
      <c r="E1161" s="11" t="s">
        <v>2243</v>
      </c>
      <c r="F1161" s="11" t="str">
        <f>IFERROR(VLOOKUP(VENTAS[[#This Row],[Código del producto Vendido]],STOCK[],5,FALSE),"-")</f>
        <v>Set de traje de baño elegante 2 piezas con adorno en forma de V</v>
      </c>
      <c r="G1161" s="11">
        <v>1</v>
      </c>
      <c r="H1161" s="14">
        <v>25</v>
      </c>
      <c r="I1161" s="14">
        <f>VENTAS[[#This Row],[Cantidad]]*VENTAS[[#This Row],[Precio Venta]]</f>
        <v>25</v>
      </c>
      <c r="J1161" s="14">
        <f>IF(VENTAS[[#This Row],[Nombre del Gestor]]&gt;1,VENTAS[[#This Row],[Total]]*10%,0)</f>
        <v>2.5</v>
      </c>
      <c r="K1161" s="14">
        <f>IFERROR(VLOOKUP(VENTAS[[#This Row],[Código del producto Vendido]],STOCK[],16,FALSE)*VENTAS[[#This Row],[Cantidad]]+VLOOKUP(VENTAS[[#This Row],[Código del producto Vendido]],STOCK[],19,FALSE)*VENTAS[[#This Row],[Cantidad]],VENTAS[[#This Row],[Total]])</f>
        <v>10.79</v>
      </c>
      <c r="L1161" s="14">
        <f>VENTAS[[#This Row],[Total]]-VENTAS[[#This Row],[Comisión 10%]]-VENTAS[[#This Row],[Costo SIN Comision]]</f>
        <v>11.71</v>
      </c>
      <c r="M1161" s="14"/>
    </row>
    <row r="1162" ht="20" hidden="1" customHeight="1" spans="1:13">
      <c r="A1162" s="10">
        <v>45507</v>
      </c>
      <c r="B1162" s="11"/>
      <c r="C1162" s="11"/>
      <c r="D1162" s="11" t="s">
        <v>4266</v>
      </c>
      <c r="E1162" s="11" t="s">
        <v>1909</v>
      </c>
      <c r="F1162" s="11" t="str">
        <f>IFERROR(VLOOKUP(VENTAS[[#This Row],[Código del producto Vendido]],STOCK[],5,FALSE),"-")</f>
        <v>Gafas de Sol Retro Blanco</v>
      </c>
      <c r="G1162" s="11">
        <v>1</v>
      </c>
      <c r="H1162" s="14">
        <v>8</v>
      </c>
      <c r="I1162" s="14">
        <f>VENTAS[[#This Row],[Cantidad]]*VENTAS[[#This Row],[Precio Venta]]</f>
        <v>8</v>
      </c>
      <c r="J1162" s="14">
        <f>IF(VENTAS[[#This Row],[Nombre del Gestor]]&gt;1,VENTAS[[#This Row],[Total]]*10%,0)</f>
        <v>0.8</v>
      </c>
      <c r="K1162" s="14">
        <f>IFERROR(VLOOKUP(VENTAS[[#This Row],[Código del producto Vendido]],STOCK[],16,FALSE)*VENTAS[[#This Row],[Cantidad]]+VLOOKUP(VENTAS[[#This Row],[Código del producto Vendido]],STOCK[],19,FALSE)*VENTAS[[#This Row],[Cantidad]],VENTAS[[#This Row],[Total]])</f>
        <v>4.45</v>
      </c>
      <c r="L1162" s="14">
        <f>VENTAS[[#This Row],[Total]]-VENTAS[[#This Row],[Comisión 10%]]-VENTAS[[#This Row],[Costo SIN Comision]]</f>
        <v>2.75</v>
      </c>
      <c r="M1162" s="14"/>
    </row>
    <row r="1163" ht="20" hidden="1" customHeight="1" spans="1:13">
      <c r="A1163" s="10">
        <v>45507</v>
      </c>
      <c r="B1163" s="11"/>
      <c r="C1163" s="11"/>
      <c r="D1163" s="11" t="s">
        <v>4266</v>
      </c>
      <c r="E1163" s="11" t="s">
        <v>810</v>
      </c>
      <c r="F1163" s="11" t="str">
        <f>IFERROR(VLOOKUP(VENTAS[[#This Row],[Código del producto Vendido]],STOCK[],5,FALSE),"-")</f>
        <v>Bañador estampado en contraste</v>
      </c>
      <c r="G1163" s="11">
        <v>1</v>
      </c>
      <c r="H1163" s="14">
        <v>12</v>
      </c>
      <c r="I1163" s="14">
        <f>VENTAS[[#This Row],[Cantidad]]*VENTAS[[#This Row],[Precio Venta]]</f>
        <v>12</v>
      </c>
      <c r="J1163" s="14">
        <f>IF(VENTAS[[#This Row],[Nombre del Gestor]]&gt;1,VENTAS[[#This Row],[Total]]*10%,0)</f>
        <v>1.2</v>
      </c>
      <c r="K1163" s="14">
        <f>IFERROR(VLOOKUP(VENTAS[[#This Row],[Código del producto Vendido]],STOCK[],16,FALSE)*VENTAS[[#This Row],[Cantidad]]+VLOOKUP(VENTAS[[#This Row],[Código del producto Vendido]],STOCK[],19,FALSE)*VENTAS[[#This Row],[Cantidad]],VENTAS[[#This Row],[Total]])</f>
        <v>7.83333333333333</v>
      </c>
      <c r="L1163" s="14">
        <f>VENTAS[[#This Row],[Total]]-VENTAS[[#This Row],[Comisión 10%]]-VENTAS[[#This Row],[Costo SIN Comision]]</f>
        <v>2.96666666666667</v>
      </c>
      <c r="M1163" s="14"/>
    </row>
    <row r="1164" ht="20" hidden="1" customHeight="1" spans="1:13">
      <c r="A1164" s="10">
        <v>45507</v>
      </c>
      <c r="B1164" s="11"/>
      <c r="C1164" s="11"/>
      <c r="D1164" s="11" t="s">
        <v>4266</v>
      </c>
      <c r="E1164" s="11" t="s">
        <v>2202</v>
      </c>
      <c r="F1164" s="11" t="str">
        <f>IFERROR(VLOOKUP(VENTAS[[#This Row],[Código del producto Vendido]],STOCK[],5,FALSE),"-")</f>
        <v>Vestido Boho de cuello healter</v>
      </c>
      <c r="G1164" s="11">
        <v>1</v>
      </c>
      <c r="H1164" s="14">
        <v>25</v>
      </c>
      <c r="I1164" s="14">
        <f>VENTAS[[#This Row],[Cantidad]]*VENTAS[[#This Row],[Precio Venta]]</f>
        <v>25</v>
      </c>
      <c r="J1164" s="14">
        <f>IF(VENTAS[[#This Row],[Nombre del Gestor]]&gt;1,VENTAS[[#This Row],[Total]]*10%,0)</f>
        <v>2.5</v>
      </c>
      <c r="K1164" s="14">
        <f>IFERROR(VLOOKUP(VENTAS[[#This Row],[Código del producto Vendido]],STOCK[],16,FALSE)*VENTAS[[#This Row],[Cantidad]]+VLOOKUP(VENTAS[[#This Row],[Código del producto Vendido]],STOCK[],19,FALSE)*VENTAS[[#This Row],[Cantidad]],VENTAS[[#This Row],[Total]])</f>
        <v>14.99</v>
      </c>
      <c r="L1164" s="14">
        <f>VENTAS[[#This Row],[Total]]-VENTAS[[#This Row],[Comisión 10%]]-VENTAS[[#This Row],[Costo SIN Comision]]</f>
        <v>7.51</v>
      </c>
      <c r="M1164" s="14"/>
    </row>
    <row r="1165" ht="20" hidden="1" customHeight="1" spans="1:13">
      <c r="A1165" s="10">
        <v>45502</v>
      </c>
      <c r="B1165" s="11"/>
      <c r="C1165" s="11"/>
      <c r="D1165" s="11" t="s">
        <v>4266</v>
      </c>
      <c r="E1165" s="11" t="s">
        <v>411</v>
      </c>
      <c r="F1165" s="11" t="str">
        <f>IFERROR(VLOOKUP(VENTAS[[#This Row],[Código del producto Vendido]],STOCK[],5,FALSE),"-")</f>
        <v>Bikini Floral</v>
      </c>
      <c r="G1165" s="11">
        <v>1</v>
      </c>
      <c r="H1165" s="14">
        <v>25</v>
      </c>
      <c r="I1165" s="14">
        <f>VENTAS[[#This Row],[Cantidad]]*VENTAS[[#This Row],[Precio Venta]]</f>
        <v>25</v>
      </c>
      <c r="J1165" s="14">
        <f>IF(VENTAS[[#This Row],[Nombre del Gestor]]&gt;1,VENTAS[[#This Row],[Total]]*10%,0)</f>
        <v>2.5</v>
      </c>
      <c r="K1165" s="14">
        <f>IFERROR(VLOOKUP(VENTAS[[#This Row],[Código del producto Vendido]],STOCK[],16,FALSE)*VENTAS[[#This Row],[Cantidad]]+VLOOKUP(VENTAS[[#This Row],[Código del producto Vendido]],STOCK[],19,FALSE)*VENTAS[[#This Row],[Cantidad]],VENTAS[[#This Row],[Total]])</f>
        <v>13.9444444444444</v>
      </c>
      <c r="L1165" s="14">
        <f>VENTAS[[#This Row],[Total]]-VENTAS[[#This Row],[Comisión 10%]]-VENTAS[[#This Row],[Costo SIN Comision]]</f>
        <v>8.5555555555556</v>
      </c>
      <c r="M1165" s="14"/>
    </row>
    <row r="1166" ht="20" hidden="1" customHeight="1" spans="1:13">
      <c r="A1166" s="10">
        <v>45504</v>
      </c>
      <c r="B1166" s="11"/>
      <c r="C1166" s="11"/>
      <c r="D1166" s="11" t="s">
        <v>4241</v>
      </c>
      <c r="E1166" s="11" t="s">
        <v>2397</v>
      </c>
      <c r="F1166" s="11" t="str">
        <f>IFERROR(VLOOKUP(VENTAS[[#This Row],[Código del producto Vendido]],STOCK[],5,FALSE),"-")</f>
        <v>Sandalias de tiras con tacón cuadrado</v>
      </c>
      <c r="G1166" s="11">
        <v>1</v>
      </c>
      <c r="H1166" s="14">
        <v>35</v>
      </c>
      <c r="I1166" s="14">
        <f>VENTAS[[#This Row],[Cantidad]]*VENTAS[[#This Row],[Precio Venta]]</f>
        <v>35</v>
      </c>
      <c r="J1166" s="14">
        <f>IF(VENTAS[[#This Row],[Nombre del Gestor]]&gt;1,VENTAS[[#This Row],[Total]]*10%,0)</f>
        <v>3.5</v>
      </c>
      <c r="K1166" s="14">
        <f>IFERROR(VLOOKUP(VENTAS[[#This Row],[Código del producto Vendido]],STOCK[],16,FALSE)*VENTAS[[#This Row],[Cantidad]]+VLOOKUP(VENTAS[[#This Row],[Código del producto Vendido]],STOCK[],19,FALSE)*VENTAS[[#This Row],[Cantidad]],VENTAS[[#This Row],[Total]])</f>
        <v>17.2520211515864</v>
      </c>
      <c r="L1166" s="14">
        <f>VENTAS[[#This Row],[Total]]-VENTAS[[#This Row],[Comisión 10%]]-VENTAS[[#This Row],[Costo SIN Comision]]</f>
        <v>14.2479788484136</v>
      </c>
      <c r="M1166" s="14"/>
    </row>
    <row r="1167" ht="20" hidden="1" customHeight="1" spans="1:13">
      <c r="A1167" s="10">
        <v>45504</v>
      </c>
      <c r="B1167" s="11"/>
      <c r="C1167" s="11"/>
      <c r="D1167" s="11" t="s">
        <v>4272</v>
      </c>
      <c r="E1167" s="11" t="s">
        <v>2475</v>
      </c>
      <c r="F1167" s="11" t="str">
        <f>IFERROR(VLOOKUP(VENTAS[[#This Row],[Código del producto Vendido]],STOCK[],5,FALSE),"-")</f>
        <v>Sandalias espadriles nude</v>
      </c>
      <c r="G1167" s="11">
        <v>1</v>
      </c>
      <c r="H1167" s="14">
        <v>45</v>
      </c>
      <c r="I1167" s="14">
        <f>VENTAS[[#This Row],[Cantidad]]*VENTAS[[#This Row],[Precio Venta]]</f>
        <v>45</v>
      </c>
      <c r="J1167" s="14">
        <f>IF(VENTAS[[#This Row],[Nombre del Gestor]]&gt;1,VENTAS[[#This Row],[Total]]*10%,0)</f>
        <v>4.5</v>
      </c>
      <c r="K1167" s="14">
        <f>IFERROR(VLOOKUP(VENTAS[[#This Row],[Código del producto Vendido]],STOCK[],16,FALSE)*VENTAS[[#This Row],[Cantidad]]+VLOOKUP(VENTAS[[#This Row],[Código del producto Vendido]],STOCK[],19,FALSE)*VENTAS[[#This Row],[Cantidad]],VENTAS[[#This Row],[Total]])</f>
        <v>31.9517</v>
      </c>
      <c r="L1167" s="14">
        <f>VENTAS[[#This Row],[Total]]-VENTAS[[#This Row],[Comisión 10%]]-VENTAS[[#This Row],[Costo SIN Comision]]</f>
        <v>8.5483</v>
      </c>
      <c r="M1167" s="14"/>
    </row>
    <row r="1168" ht="20" hidden="1" customHeight="1" spans="1:13">
      <c r="A1168" s="10">
        <v>45507</v>
      </c>
      <c r="B1168" s="11"/>
      <c r="C1168" s="11"/>
      <c r="D1168" s="11" t="s">
        <v>4284</v>
      </c>
      <c r="E1168" s="11" t="s">
        <v>2457</v>
      </c>
      <c r="F1168" s="11" t="str">
        <f>IFERROR(VLOOKUP(VENTAS[[#This Row],[Código del producto Vendido]],STOCK[],5,FALSE),"-")</f>
        <v>Sandalias prácticas Chunky Negras</v>
      </c>
      <c r="G1168" s="11">
        <v>1</v>
      </c>
      <c r="H1168" s="14">
        <v>35</v>
      </c>
      <c r="I1168" s="14">
        <f>VENTAS[[#This Row],[Cantidad]]*VENTAS[[#This Row],[Precio Venta]]</f>
        <v>35</v>
      </c>
      <c r="J1168" s="14">
        <f>IF(VENTAS[[#This Row],[Nombre del Gestor]]&gt;1,VENTAS[[#This Row],[Total]]*10%,0)</f>
        <v>3.5</v>
      </c>
      <c r="K1168" s="14">
        <f>IFERROR(VLOOKUP(VENTAS[[#This Row],[Código del producto Vendido]],STOCK[],16,FALSE)*VENTAS[[#This Row],[Cantidad]]+VLOOKUP(VENTAS[[#This Row],[Código del producto Vendido]],STOCK[],19,FALSE)*VENTAS[[#This Row],[Cantidad]],VENTAS[[#This Row],[Total]])</f>
        <v>21.97</v>
      </c>
      <c r="L1168" s="14">
        <f>VENTAS[[#This Row],[Total]]-VENTAS[[#This Row],[Comisión 10%]]-VENTAS[[#This Row],[Costo SIN Comision]]</f>
        <v>9.53</v>
      </c>
      <c r="M1168" s="14"/>
    </row>
    <row r="1169" ht="20" hidden="1" customHeight="1" spans="1:13">
      <c r="A1169" s="10">
        <v>45500</v>
      </c>
      <c r="B1169" s="11"/>
      <c r="C1169" s="11"/>
      <c r="D1169" s="11" t="s">
        <v>4222</v>
      </c>
      <c r="E1169" s="11" t="s">
        <v>597</v>
      </c>
      <c r="F1169" s="11" t="str">
        <f>IFERROR(VLOOKUP(VENTAS[[#This Row],[Código del producto Vendido]],STOCK[],5,FALSE),"-")</f>
        <v>Top cruzado naranja</v>
      </c>
      <c r="G1169" s="11">
        <v>1</v>
      </c>
      <c r="H1169" s="14">
        <v>8</v>
      </c>
      <c r="I1169" s="14">
        <f>VENTAS[[#This Row],[Cantidad]]*VENTAS[[#This Row],[Precio Venta]]</f>
        <v>8</v>
      </c>
      <c r="J1169" s="14">
        <f>IF(VENTAS[[#This Row],[Nombre del Gestor]]&gt;1,VENTAS[[#This Row],[Total]]*10%,0)</f>
        <v>0.8</v>
      </c>
      <c r="K1169" s="14">
        <f>IFERROR(VLOOKUP(VENTAS[[#This Row],[Código del producto Vendido]],STOCK[],16,FALSE)*VENTAS[[#This Row],[Cantidad]]+VLOOKUP(VENTAS[[#This Row],[Código del producto Vendido]],STOCK[],19,FALSE)*VENTAS[[#This Row],[Cantidad]],VENTAS[[#This Row],[Total]])</f>
        <v>5.06833333333333</v>
      </c>
      <c r="L1169" s="14">
        <f>VENTAS[[#This Row],[Total]]-VENTAS[[#This Row],[Comisión 10%]]-VENTAS[[#This Row],[Costo SIN Comision]]</f>
        <v>2.13166666666667</v>
      </c>
      <c r="M1169" s="14"/>
    </row>
    <row r="1170" ht="20" hidden="1" customHeight="1" spans="1:13">
      <c r="A1170" s="10">
        <v>45500</v>
      </c>
      <c r="B1170" s="11"/>
      <c r="C1170" s="11"/>
      <c r="D1170" s="11" t="s">
        <v>4222</v>
      </c>
      <c r="E1170" s="11" t="s">
        <v>664</v>
      </c>
      <c r="F1170" s="11" t="str">
        <f>IFERROR(VLOOKUP(VENTAS[[#This Row],[Código del producto Vendido]],STOCK[],5,FALSE),"-")</f>
        <v>Top Cruzado negro</v>
      </c>
      <c r="G1170" s="11">
        <v>1</v>
      </c>
      <c r="H1170" s="14">
        <v>8</v>
      </c>
      <c r="I1170" s="14">
        <f>VENTAS[[#This Row],[Cantidad]]*VENTAS[[#This Row],[Precio Venta]]</f>
        <v>8</v>
      </c>
      <c r="J1170" s="14">
        <f>IF(VENTAS[[#This Row],[Nombre del Gestor]]&gt;1,VENTAS[[#This Row],[Total]]*10%,0)</f>
        <v>0.8</v>
      </c>
      <c r="K1170" s="14">
        <f>IFERROR(VLOOKUP(VENTAS[[#This Row],[Código del producto Vendido]],STOCK[],16,FALSE)*VENTAS[[#This Row],[Cantidad]]+VLOOKUP(VENTAS[[#This Row],[Código del producto Vendido]],STOCK[],19,FALSE)*VENTAS[[#This Row],[Cantidad]],VENTAS[[#This Row],[Total]])</f>
        <v>4.90166666666667</v>
      </c>
      <c r="L1170" s="14">
        <f>VENTAS[[#This Row],[Total]]-VENTAS[[#This Row],[Comisión 10%]]-VENTAS[[#This Row],[Costo SIN Comision]]</f>
        <v>2.29833333333333</v>
      </c>
      <c r="M1170" s="14"/>
    </row>
    <row r="1171" ht="20" hidden="1" customHeight="1" spans="1:13">
      <c r="A1171" s="10">
        <v>45511</v>
      </c>
      <c r="B1171" s="11"/>
      <c r="C1171" s="11" t="s">
        <v>4306</v>
      </c>
      <c r="D1171" s="11"/>
      <c r="E1171" s="11" t="s">
        <v>2466</v>
      </c>
      <c r="F1171" s="11" t="str">
        <f>IFERROR(VLOOKUP(VENTAS[[#This Row],[Código del producto Vendido]],STOCK[],5,FALSE),"-")</f>
        <v>Sandalias de plataforma en bloque de color</v>
      </c>
      <c r="G1171" s="11">
        <v>1</v>
      </c>
      <c r="H1171" s="14">
        <v>0</v>
      </c>
      <c r="I1171" s="14">
        <f>VENTAS[[#This Row],[Cantidad]]*VENTAS[[#This Row],[Precio Venta]]</f>
        <v>0</v>
      </c>
      <c r="J1171" s="14">
        <f>IF(VENTAS[[#This Row],[Nombre del Gestor]]&gt;1,VENTAS[[#This Row],[Total]]*10%,0)</f>
        <v>0</v>
      </c>
      <c r="K1171" s="14">
        <f>IFERROR(VLOOKUP(VENTAS[[#This Row],[Código del producto Vendido]],STOCK[],16,FALSE)*VENTAS[[#This Row],[Cantidad]]+VLOOKUP(VENTAS[[#This Row],[Código del producto Vendido]],STOCK[],19,FALSE)*VENTAS[[#This Row],[Cantidad]],VENTAS[[#This Row],[Total]])</f>
        <v>21.97</v>
      </c>
      <c r="L1171" s="14">
        <f>VENTAS[[#This Row],[Total]]-VENTAS[[#This Row],[Comisión 10%]]-VENTAS[[#This Row],[Costo SIN Comision]]</f>
        <v>-21.97</v>
      </c>
      <c r="M1171" s="14"/>
    </row>
    <row r="1172" ht="20" hidden="1" customHeight="1" spans="1:13">
      <c r="A1172" s="10">
        <v>45446</v>
      </c>
      <c r="B1172" s="11"/>
      <c r="C1172" s="11"/>
      <c r="D1172" s="11"/>
      <c r="E1172" s="11" t="s">
        <v>1825</v>
      </c>
      <c r="F1172" s="11" t="str">
        <f>IFERROR(VLOOKUP(VENTAS[[#This Row],[Código del producto Vendido]],STOCK[],5,FALSE),"-")</f>
        <v>Vestido Midi Elegante</v>
      </c>
      <c r="G1172" s="11">
        <v>1</v>
      </c>
      <c r="H1172" s="14">
        <v>22</v>
      </c>
      <c r="I1172" s="14">
        <f>VENTAS[[#This Row],[Cantidad]]*VENTAS[[#This Row],[Precio Venta]]</f>
        <v>22</v>
      </c>
      <c r="J1172" s="14">
        <f>IF(VENTAS[[#This Row],[Nombre del Gestor]]&gt;1,VENTAS[[#This Row],[Total]]*10%,0)</f>
        <v>0</v>
      </c>
      <c r="K1172" s="14">
        <f>IFERROR(VLOOKUP(VENTAS[[#This Row],[Código del producto Vendido]],STOCK[],16,FALSE)*VENTAS[[#This Row],[Cantidad]]+VLOOKUP(VENTAS[[#This Row],[Código del producto Vendido]],STOCK[],19,FALSE)*VENTAS[[#This Row],[Cantidad]],VENTAS[[#This Row],[Total]])</f>
        <v>10.79</v>
      </c>
      <c r="L1172" s="14">
        <f>VENTAS[[#This Row],[Total]]-VENTAS[[#This Row],[Comisión 10%]]-VENTAS[[#This Row],[Costo SIN Comision]]</f>
        <v>11.21</v>
      </c>
      <c r="M1172" s="14"/>
    </row>
    <row r="1173" ht="20" hidden="1" customHeight="1" spans="1:13">
      <c r="A1173" s="10">
        <v>45491</v>
      </c>
      <c r="B1173" s="11"/>
      <c r="C1173" s="11"/>
      <c r="D1173" s="11" t="s">
        <v>4241</v>
      </c>
      <c r="E1173" s="11" t="s">
        <v>1843</v>
      </c>
      <c r="F1173" s="11" t="str">
        <f>IFERROR(VLOOKUP(VENTAS[[#This Row],[Código del producto Vendido]],STOCK[],5,FALSE),"-")</f>
        <v>Maxi Vestido Bodycon </v>
      </c>
      <c r="G1173" s="11">
        <v>1</v>
      </c>
      <c r="H1173" s="14">
        <v>13</v>
      </c>
      <c r="I1173" s="14">
        <f>VENTAS[[#This Row],[Cantidad]]*VENTAS[[#This Row],[Precio Venta]]</f>
        <v>13</v>
      </c>
      <c r="J1173" s="14">
        <f>IF(VENTAS[[#This Row],[Nombre del Gestor]]&gt;1,VENTAS[[#This Row],[Total]]*10%,0)</f>
        <v>1.3</v>
      </c>
      <c r="K1173" s="14">
        <f>IFERROR(VLOOKUP(VENTAS[[#This Row],[Código del producto Vendido]],STOCK[],16,FALSE)*VENTAS[[#This Row],[Cantidad]]+VLOOKUP(VENTAS[[#This Row],[Código del producto Vendido]],STOCK[],19,FALSE)*VENTAS[[#This Row],[Cantidad]],VENTAS[[#This Row],[Total]])</f>
        <v>11.79</v>
      </c>
      <c r="L1173" s="14">
        <f>VENTAS[[#This Row],[Total]]-VENTAS[[#This Row],[Comisión 10%]]-VENTAS[[#This Row],[Costo SIN Comision]]</f>
        <v>-0.0900000000000016</v>
      </c>
      <c r="M1173" s="14"/>
    </row>
    <row r="1174" ht="20" hidden="1" customHeight="1" spans="1:13">
      <c r="A1174" s="10">
        <v>45491</v>
      </c>
      <c r="B1174" s="11"/>
      <c r="C1174" s="11"/>
      <c r="D1174" s="11" t="s">
        <v>4266</v>
      </c>
      <c r="E1174" s="11" t="s">
        <v>2132</v>
      </c>
      <c r="F1174" s="11" t="str">
        <f>IFERROR(VLOOKUP(VENTAS[[#This Row],[Código del producto Vendido]],STOCK[],5,FALSE),"-")</f>
        <v>Set Chic de conjunto de 2 piezas </v>
      </c>
      <c r="G1174" s="11">
        <v>1</v>
      </c>
      <c r="H1174" s="14">
        <v>25</v>
      </c>
      <c r="I1174" s="14">
        <f>VENTAS[[#This Row],[Cantidad]]*VENTAS[[#This Row],[Precio Venta]]</f>
        <v>25</v>
      </c>
      <c r="J1174" s="14">
        <f>IF(VENTAS[[#This Row],[Nombre del Gestor]]&gt;1,VENTAS[[#This Row],[Total]]*10%,0)</f>
        <v>2.5</v>
      </c>
      <c r="K1174" s="14">
        <f>IFERROR(VLOOKUP(VENTAS[[#This Row],[Código del producto Vendido]],STOCK[],16,FALSE)*VENTAS[[#This Row],[Cantidad]]+VLOOKUP(VENTAS[[#This Row],[Código del producto Vendido]],STOCK[],19,FALSE)*VENTAS[[#This Row],[Cantidad]],VENTAS[[#This Row],[Total]])</f>
        <v>11.79</v>
      </c>
      <c r="L1174" s="14">
        <f>VENTAS[[#This Row],[Total]]-VENTAS[[#This Row],[Comisión 10%]]-VENTAS[[#This Row],[Costo SIN Comision]]</f>
        <v>10.71</v>
      </c>
      <c r="M1174" s="14"/>
    </row>
    <row r="1175" ht="20" hidden="1" customHeight="1" spans="1:13">
      <c r="A1175" s="10">
        <v>45491</v>
      </c>
      <c r="B1175" s="11"/>
      <c r="C1175" s="11"/>
      <c r="D1175" s="11" t="s">
        <v>4266</v>
      </c>
      <c r="E1175" s="11" t="s">
        <v>2430</v>
      </c>
      <c r="F1175" s="11" t="str">
        <f>IFERROR(VLOOKUP(VENTAS[[#This Row],[Código del producto Vendido]],STOCK[],5,FALSE),"-")</f>
        <v>Pantalón ancho con cordón ajustable</v>
      </c>
      <c r="G1175" s="11">
        <v>1</v>
      </c>
      <c r="H1175" s="14">
        <v>23</v>
      </c>
      <c r="I1175" s="14">
        <f>VENTAS[[#This Row],[Cantidad]]*VENTAS[[#This Row],[Precio Venta]]</f>
        <v>23</v>
      </c>
      <c r="J1175" s="14">
        <f>IF(VENTAS[[#This Row],[Nombre del Gestor]]&gt;1,VENTAS[[#This Row],[Total]]*10%,0)</f>
        <v>2.3</v>
      </c>
      <c r="K1175" s="14">
        <f>IFERROR(VLOOKUP(VENTAS[[#This Row],[Código del producto Vendido]],STOCK[],16,FALSE)*VENTAS[[#This Row],[Cantidad]]+VLOOKUP(VENTAS[[#This Row],[Código del producto Vendido]],STOCK[],19,FALSE)*VENTAS[[#This Row],[Cantidad]],VENTAS[[#This Row],[Total]])</f>
        <v>11.4353349001175</v>
      </c>
      <c r="L1175" s="14">
        <f>VENTAS[[#This Row],[Total]]-VENTAS[[#This Row],[Comisión 10%]]-VENTAS[[#This Row],[Costo SIN Comision]]</f>
        <v>9.26466509988249</v>
      </c>
      <c r="M1175" s="14"/>
    </row>
    <row r="1176" ht="20" hidden="1" customHeight="1" spans="1:13">
      <c r="A1176" s="10">
        <v>45491</v>
      </c>
      <c r="B1176" s="11"/>
      <c r="C1176" s="11"/>
      <c r="D1176" s="11" t="s">
        <v>4266</v>
      </c>
      <c r="E1176" s="11" t="s">
        <v>587</v>
      </c>
      <c r="F1176" s="11" t="str">
        <f>IFERROR(VLOOKUP(VENTAS[[#This Row],[Código del producto Vendido]],STOCK[],5,FALSE),"-")</f>
        <v>Top cruzado blanco</v>
      </c>
      <c r="G1176" s="11">
        <v>2</v>
      </c>
      <c r="H1176" s="14">
        <v>8</v>
      </c>
      <c r="I1176" s="14">
        <f>VENTAS[[#This Row],[Cantidad]]*VENTAS[[#This Row],[Precio Venta]]</f>
        <v>16</v>
      </c>
      <c r="J1176" s="14">
        <f>IF(VENTAS[[#This Row],[Nombre del Gestor]]&gt;1,VENTAS[[#This Row],[Total]]*10%,0)</f>
        <v>1.6</v>
      </c>
      <c r="K1176" s="14">
        <f>IFERROR(VLOOKUP(VENTAS[[#This Row],[Código del producto Vendido]],STOCK[],16,FALSE)*VENTAS[[#This Row],[Cantidad]]+VLOOKUP(VENTAS[[#This Row],[Código del producto Vendido]],STOCK[],19,FALSE)*VENTAS[[#This Row],[Cantidad]],VENTAS[[#This Row],[Total]])</f>
        <v>10.3866666666667</v>
      </c>
      <c r="L1176" s="14">
        <f>VENTAS[[#This Row],[Total]]-VENTAS[[#This Row],[Comisión 10%]]-VENTAS[[#This Row],[Costo SIN Comision]]</f>
        <v>4.01333333333334</v>
      </c>
      <c r="M1176" s="14"/>
    </row>
    <row r="1177" ht="20" hidden="1" customHeight="1" spans="1:13">
      <c r="A1177" s="10">
        <v>45491</v>
      </c>
      <c r="B1177" s="11"/>
      <c r="C1177" s="11"/>
      <c r="D1177" s="11" t="s">
        <v>4266</v>
      </c>
      <c r="E1177" s="11" t="s">
        <v>679</v>
      </c>
      <c r="F1177" s="11" t="str">
        <f>IFERROR(VLOOKUP(VENTAS[[#This Row],[Código del producto Vendido]],STOCK[],5,FALSE),"-")</f>
        <v>Blusa corta de manga farol</v>
      </c>
      <c r="G1177" s="11">
        <v>1</v>
      </c>
      <c r="H1177" s="14">
        <v>9</v>
      </c>
      <c r="I1177" s="14">
        <f>VENTAS[[#This Row],[Cantidad]]*VENTAS[[#This Row],[Precio Venta]]</f>
        <v>9</v>
      </c>
      <c r="J1177" s="14">
        <f>IF(VENTAS[[#This Row],[Nombre del Gestor]]&gt;1,VENTAS[[#This Row],[Total]]*10%,0)</f>
        <v>0.9</v>
      </c>
      <c r="K1177" s="14">
        <f>IFERROR(VLOOKUP(VENTAS[[#This Row],[Código del producto Vendido]],STOCK[],16,FALSE)*VENTAS[[#This Row],[Cantidad]]+VLOOKUP(VENTAS[[#This Row],[Código del producto Vendido]],STOCK[],19,FALSE)*VENTAS[[#This Row],[Cantidad]],VENTAS[[#This Row],[Total]])</f>
        <v>7.52666666666667</v>
      </c>
      <c r="L1177" s="14">
        <f>VENTAS[[#This Row],[Total]]-VENTAS[[#This Row],[Comisión 10%]]-VENTAS[[#This Row],[Costo SIN Comision]]</f>
        <v>0.57333333333333</v>
      </c>
      <c r="M1177" s="14"/>
    </row>
    <row r="1178" ht="20" hidden="1" customHeight="1" spans="1:13">
      <c r="A1178" s="10">
        <v>45493</v>
      </c>
      <c r="B1178" s="11"/>
      <c r="C1178" s="11"/>
      <c r="D1178" s="11" t="s">
        <v>4266</v>
      </c>
      <c r="E1178" s="11" t="s">
        <v>1290</v>
      </c>
      <c r="F1178" s="11" t="str">
        <f>IFERROR(VLOOKUP(VENTAS[[#This Row],[Código del producto Vendido]],STOCK[],5,FALSE),"-")</f>
        <v>Top corto asimétrico </v>
      </c>
      <c r="G1178" s="11">
        <v>1</v>
      </c>
      <c r="H1178" s="14">
        <v>10</v>
      </c>
      <c r="I1178" s="14">
        <f>VENTAS[[#This Row],[Cantidad]]*VENTAS[[#This Row],[Precio Venta]]</f>
        <v>10</v>
      </c>
      <c r="J1178" s="14">
        <f>IF(VENTAS[[#This Row],[Nombre del Gestor]]&gt;1,VENTAS[[#This Row],[Total]]*10%,0)</f>
        <v>1</v>
      </c>
      <c r="K1178" s="14">
        <f>IFERROR(VLOOKUP(VENTAS[[#This Row],[Código del producto Vendido]],STOCK[],16,FALSE)*VENTAS[[#This Row],[Cantidad]]+VLOOKUP(VENTAS[[#This Row],[Código del producto Vendido]],STOCK[],19,FALSE)*VENTAS[[#This Row],[Cantidad]],VENTAS[[#This Row],[Total]])</f>
        <v>6.73</v>
      </c>
      <c r="L1178" s="14">
        <f>VENTAS[[#This Row],[Total]]-VENTAS[[#This Row],[Comisión 10%]]-VENTAS[[#This Row],[Costo SIN Comision]]</f>
        <v>2.27</v>
      </c>
      <c r="M1178" s="14"/>
    </row>
    <row r="1179" ht="20" hidden="1" customHeight="1" spans="1:13">
      <c r="A1179" s="10">
        <v>45494</v>
      </c>
      <c r="B1179" s="11"/>
      <c r="C1179" s="11"/>
      <c r="D1179" s="11" t="s">
        <v>4266</v>
      </c>
      <c r="E1179" s="11" t="s">
        <v>1638</v>
      </c>
      <c r="F1179" s="11" t="str">
        <f>IFERROR(VLOOKUP(VENTAS[[#This Row],[Código del producto Vendido]],STOCK[],5,FALSE),"-")</f>
        <v>Vestido Privé</v>
      </c>
      <c r="G1179" s="11">
        <v>1</v>
      </c>
      <c r="H1179" s="14">
        <v>15</v>
      </c>
      <c r="I1179" s="14">
        <f>VENTAS[[#This Row],[Cantidad]]*VENTAS[[#This Row],[Precio Venta]]</f>
        <v>15</v>
      </c>
      <c r="J1179" s="14">
        <f>IF(VENTAS[[#This Row],[Nombre del Gestor]]&gt;1,VENTAS[[#This Row],[Total]]*10%,0)</f>
        <v>1.5</v>
      </c>
      <c r="K1179" s="14">
        <f>IFERROR(VLOOKUP(VENTAS[[#This Row],[Código del producto Vendido]],STOCK[],16,FALSE)*VENTAS[[#This Row],[Cantidad]]+VLOOKUP(VENTAS[[#This Row],[Código del producto Vendido]],STOCK[],19,FALSE)*VENTAS[[#This Row],[Cantidad]],VENTAS[[#This Row],[Total]])</f>
        <v>11.1</v>
      </c>
      <c r="L1179" s="14">
        <f>VENTAS[[#This Row],[Total]]-VENTAS[[#This Row],[Comisión 10%]]-VENTAS[[#This Row],[Costo SIN Comision]]</f>
        <v>2.4</v>
      </c>
      <c r="M1179" s="14"/>
    </row>
    <row r="1180" ht="20" hidden="1" customHeight="1" spans="1:13">
      <c r="A1180" s="10">
        <v>203</v>
      </c>
      <c r="B1180" s="11"/>
      <c r="C1180" s="11"/>
      <c r="D1180" s="11" t="s">
        <v>4266</v>
      </c>
      <c r="E1180" s="11" t="s">
        <v>1714</v>
      </c>
      <c r="F1180" s="11" t="str">
        <f>IFERROR(VLOOKUP(VENTAS[[#This Row],[Código del producto Vendido]],STOCK[],5,FALSE),"-")</f>
        <v>Vestido Asimétrico con cuerdas</v>
      </c>
      <c r="G1180" s="11">
        <v>1</v>
      </c>
      <c r="H1180" s="14">
        <v>13</v>
      </c>
      <c r="I1180" s="14">
        <f>VENTAS[[#This Row],[Cantidad]]*VENTAS[[#This Row],[Precio Venta]]</f>
        <v>13</v>
      </c>
      <c r="J1180" s="14">
        <f>IF(VENTAS[[#This Row],[Nombre del Gestor]]&gt;1,VENTAS[[#This Row],[Total]]*10%,0)</f>
        <v>1.3</v>
      </c>
      <c r="K1180" s="14">
        <f>IFERROR(VLOOKUP(VENTAS[[#This Row],[Código del producto Vendido]],STOCK[],16,FALSE)*VENTAS[[#This Row],[Cantidad]]+VLOOKUP(VENTAS[[#This Row],[Código del producto Vendido]],STOCK[],19,FALSE)*VENTAS[[#This Row],[Cantidad]],VENTAS[[#This Row],[Total]])</f>
        <v>12</v>
      </c>
      <c r="L1180" s="14">
        <f>VENTAS[[#This Row],[Total]]-VENTAS[[#This Row],[Comisión 10%]]-VENTAS[[#This Row],[Costo SIN Comision]]</f>
        <v>-0.300000000000001</v>
      </c>
      <c r="M1180" s="14"/>
    </row>
    <row r="1181" ht="20" hidden="1" customHeight="1" spans="1:13">
      <c r="A1181" s="10">
        <v>45490</v>
      </c>
      <c r="B1181" s="11"/>
      <c r="C1181" s="11"/>
      <c r="D1181" s="11" t="s">
        <v>4266</v>
      </c>
      <c r="E1181" s="11" t="s">
        <v>1204</v>
      </c>
      <c r="F1181" s="11" t="str">
        <f>IFERROR(VLOOKUP(VENTAS[[#This Row],[Código del producto Vendido]],STOCK[],5,FALSE),"-")</f>
        <v>Camisa Blanca</v>
      </c>
      <c r="G1181" s="11">
        <v>1</v>
      </c>
      <c r="H1181" s="14">
        <v>22</v>
      </c>
      <c r="I1181" s="14">
        <f>VENTAS[[#This Row],[Cantidad]]*VENTAS[[#This Row],[Precio Venta]]</f>
        <v>22</v>
      </c>
      <c r="J1181" s="14">
        <f>IF(VENTAS[[#This Row],[Nombre del Gestor]]&gt;1,VENTAS[[#This Row],[Total]]*10%,0)</f>
        <v>2.2</v>
      </c>
      <c r="K1181" s="14">
        <f>IFERROR(VLOOKUP(VENTAS[[#This Row],[Código del producto Vendido]],STOCK[],16,FALSE)*VENTAS[[#This Row],[Cantidad]]+VLOOKUP(VENTAS[[#This Row],[Código del producto Vendido]],STOCK[],19,FALSE)*VENTAS[[#This Row],[Cantidad]],VENTAS[[#This Row],[Total]])</f>
        <v>12.9</v>
      </c>
      <c r="L1181" s="14">
        <f>VENTAS[[#This Row],[Total]]-VENTAS[[#This Row],[Comisión 10%]]-VENTAS[[#This Row],[Costo SIN Comision]]</f>
        <v>6.9</v>
      </c>
      <c r="M1181" s="14"/>
    </row>
    <row r="1182" ht="20" hidden="1" customHeight="1" spans="1:13">
      <c r="A1182" s="10">
        <v>45490</v>
      </c>
      <c r="B1182" s="11"/>
      <c r="C1182" s="11"/>
      <c r="D1182" s="11" t="s">
        <v>4266</v>
      </c>
      <c r="E1182" s="11" t="s">
        <v>801</v>
      </c>
      <c r="F1182" s="11" t="str">
        <f>IFERROR(VLOOKUP(VENTAS[[#This Row],[Código del producto Vendido]],STOCK[],5,FALSE),"-")</f>
        <v>Short de cordón lateral</v>
      </c>
      <c r="G1182" s="11">
        <v>1</v>
      </c>
      <c r="H1182" s="14">
        <v>15</v>
      </c>
      <c r="I1182" s="14">
        <f>VENTAS[[#This Row],[Cantidad]]*VENTAS[[#This Row],[Precio Venta]]</f>
        <v>15</v>
      </c>
      <c r="J1182" s="14">
        <f>IF(VENTAS[[#This Row],[Nombre del Gestor]]&gt;1,VENTAS[[#This Row],[Total]]*10%,0)</f>
        <v>1.5</v>
      </c>
      <c r="K1182" s="14">
        <f>IFERROR(VLOOKUP(VENTAS[[#This Row],[Código del producto Vendido]],STOCK[],16,FALSE)*VENTAS[[#This Row],[Cantidad]]+VLOOKUP(VENTAS[[#This Row],[Código del producto Vendido]],STOCK[],19,FALSE)*VENTAS[[#This Row],[Cantidad]],VENTAS[[#This Row],[Total]])</f>
        <v>8.94444444444444</v>
      </c>
      <c r="L1182" s="14">
        <f>VENTAS[[#This Row],[Total]]-VENTAS[[#This Row],[Comisión 10%]]-VENTAS[[#This Row],[Costo SIN Comision]]</f>
        <v>4.55555555555556</v>
      </c>
      <c r="M1182" s="14"/>
    </row>
    <row r="1183" ht="20" hidden="1" customHeight="1" spans="1:13">
      <c r="A1183" s="10">
        <v>45490</v>
      </c>
      <c r="B1183" s="11"/>
      <c r="C1183" s="11"/>
      <c r="D1183" s="11" t="s">
        <v>4266</v>
      </c>
      <c r="E1183" s="11" t="s">
        <v>677</v>
      </c>
      <c r="F1183" s="11" t="str">
        <f>IFERROR(VLOOKUP(VENTAS[[#This Row],[Código del producto Vendido]],STOCK[],5,FALSE),"-")</f>
        <v>Blusa corta de manga farol</v>
      </c>
      <c r="G1183" s="11">
        <v>1</v>
      </c>
      <c r="H1183" s="14">
        <v>9</v>
      </c>
      <c r="I1183" s="14">
        <f>VENTAS[[#This Row],[Cantidad]]*VENTAS[[#This Row],[Precio Venta]]</f>
        <v>9</v>
      </c>
      <c r="J1183" s="14">
        <f>IF(VENTAS[[#This Row],[Nombre del Gestor]]&gt;1,VENTAS[[#This Row],[Total]]*10%,0)</f>
        <v>0.9</v>
      </c>
      <c r="K1183" s="14">
        <f>IFERROR(VLOOKUP(VENTAS[[#This Row],[Código del producto Vendido]],STOCK[],16,FALSE)*VENTAS[[#This Row],[Cantidad]]+VLOOKUP(VENTAS[[#This Row],[Código del producto Vendido]],STOCK[],19,FALSE)*VENTAS[[#This Row],[Cantidad]],VENTAS[[#This Row],[Total]])</f>
        <v>7.52666666666667</v>
      </c>
      <c r="L1183" s="14">
        <f>VENTAS[[#This Row],[Total]]-VENTAS[[#This Row],[Comisión 10%]]-VENTAS[[#This Row],[Costo SIN Comision]]</f>
        <v>0.57333333333333</v>
      </c>
      <c r="M1183" s="14"/>
    </row>
    <row r="1184" ht="20" hidden="1" customHeight="1" spans="1:13">
      <c r="A1184" s="10">
        <v>45480</v>
      </c>
      <c r="B1184" s="11"/>
      <c r="C1184" s="11"/>
      <c r="D1184" s="11" t="s">
        <v>4241</v>
      </c>
      <c r="E1184" s="11" t="s">
        <v>1192</v>
      </c>
      <c r="F1184" s="11" t="str">
        <f>IFERROR(VLOOKUP(VENTAS[[#This Row],[Código del producto Vendido]],STOCK[],5,FALSE),"-")</f>
        <v>Vestido ajustado con adorno de plumas</v>
      </c>
      <c r="G1184" s="11">
        <v>1</v>
      </c>
      <c r="H1184" s="14"/>
      <c r="I1184" s="14">
        <f>VENTAS[[#This Row],[Cantidad]]*VENTAS[[#This Row],[Precio Venta]]</f>
        <v>0</v>
      </c>
      <c r="J1184" s="14">
        <f>IF(VENTAS[[#This Row],[Nombre del Gestor]]&gt;1,VENTAS[[#This Row],[Total]]*10%,0)</f>
        <v>0</v>
      </c>
      <c r="K1184" s="14">
        <f>IFERROR(VLOOKUP(VENTAS[[#This Row],[Código del producto Vendido]],STOCK[],16,FALSE)*VENTAS[[#This Row],[Cantidad]]+VLOOKUP(VENTAS[[#This Row],[Código del producto Vendido]],STOCK[],19,FALSE)*VENTAS[[#This Row],[Cantidad]],VENTAS[[#This Row],[Total]])</f>
        <v>14.91</v>
      </c>
      <c r="L1184" s="14">
        <f>VENTAS[[#This Row],[Total]]-VENTAS[[#This Row],[Comisión 10%]]-VENTAS[[#This Row],[Costo SIN Comision]]</f>
        <v>-14.91</v>
      </c>
      <c r="M1184" s="14"/>
    </row>
    <row r="1185" ht="20" hidden="1" customHeight="1" spans="1:13">
      <c r="A1185" s="10">
        <v>45490</v>
      </c>
      <c r="B1185" s="11"/>
      <c r="C1185" s="11"/>
      <c r="D1185" s="11" t="s">
        <v>4266</v>
      </c>
      <c r="E1185" s="11" t="s">
        <v>596</v>
      </c>
      <c r="F1185" s="11" t="str">
        <f>IFERROR(VLOOKUP(VENTAS[[#This Row],[Código del producto Vendido]],STOCK[],5,FALSE),"-")</f>
        <v>Top cruzado naranja</v>
      </c>
      <c r="G1185" s="11">
        <v>2</v>
      </c>
      <c r="H1185" s="14">
        <v>8</v>
      </c>
      <c r="I1185" s="14">
        <f>VENTAS[[#This Row],[Cantidad]]*VENTAS[[#This Row],[Precio Venta]]</f>
        <v>16</v>
      </c>
      <c r="J1185" s="14">
        <f>IF(VENTAS[[#This Row],[Nombre del Gestor]]&gt;1,VENTAS[[#This Row],[Total]]*10%,0)</f>
        <v>1.6</v>
      </c>
      <c r="K1185" s="14">
        <f>IFERROR(VLOOKUP(VENTAS[[#This Row],[Código del producto Vendido]],STOCK[],16,FALSE)*VENTAS[[#This Row],[Cantidad]]+VLOOKUP(VENTAS[[#This Row],[Código del producto Vendido]],STOCK[],19,FALSE)*VENTAS[[#This Row],[Cantidad]],VENTAS[[#This Row],[Total]])</f>
        <v>10.1366666666667</v>
      </c>
      <c r="L1185" s="14">
        <f>VENTAS[[#This Row],[Total]]-VENTAS[[#This Row],[Comisión 10%]]-VENTAS[[#This Row],[Costo SIN Comision]]</f>
        <v>4.26333333333334</v>
      </c>
      <c r="M1185" s="14"/>
    </row>
    <row r="1186" ht="20" hidden="1" customHeight="1" spans="1:13">
      <c r="A1186" s="10">
        <v>45492</v>
      </c>
      <c r="B1186" s="11"/>
      <c r="C1186" s="11"/>
      <c r="D1186" s="11" t="s">
        <v>4241</v>
      </c>
      <c r="E1186" s="11" t="s">
        <v>2221</v>
      </c>
      <c r="F1186" s="11" t="str">
        <f>IFERROR(VLOOKUP(VENTAS[[#This Row],[Código del producto Vendido]],STOCK[],5,FALSE),"-")</f>
        <v>Set de bikini con cobertor de playa</v>
      </c>
      <c r="G1186" s="11">
        <v>1</v>
      </c>
      <c r="H1186" s="14">
        <v>25</v>
      </c>
      <c r="I1186" s="14">
        <f>VENTAS[[#This Row],[Cantidad]]*VENTAS[[#This Row],[Precio Venta]]</f>
        <v>25</v>
      </c>
      <c r="J1186" s="14">
        <f>IF(VENTAS[[#This Row],[Nombre del Gestor]]&gt;1,VENTAS[[#This Row],[Total]]*10%,0)</f>
        <v>2.5</v>
      </c>
      <c r="K1186" s="14">
        <f>IFERROR(VLOOKUP(VENTAS[[#This Row],[Código del producto Vendido]],STOCK[],16,FALSE)*VENTAS[[#This Row],[Cantidad]]+VLOOKUP(VENTAS[[#This Row],[Código del producto Vendido]],STOCK[],19,FALSE)*VENTAS[[#This Row],[Cantidad]],VENTAS[[#This Row],[Total]])</f>
        <v>11.65</v>
      </c>
      <c r="L1186" s="14">
        <f>VENTAS[[#This Row],[Total]]-VENTAS[[#This Row],[Comisión 10%]]-VENTAS[[#This Row],[Costo SIN Comision]]</f>
        <v>10.85</v>
      </c>
      <c r="M1186" s="14"/>
    </row>
    <row r="1187" ht="20" hidden="1" customHeight="1" spans="1:13">
      <c r="A1187" s="10">
        <v>45492</v>
      </c>
      <c r="B1187" s="11"/>
      <c r="C1187" s="11"/>
      <c r="D1187" s="11" t="s">
        <v>4241</v>
      </c>
      <c r="E1187" s="11" t="s">
        <v>2174</v>
      </c>
      <c r="F1187" s="11" t="str">
        <f>IFERROR(VLOOKUP(VENTAS[[#This Row],[Código del producto Vendido]],STOCK[],5,FALSE),"-")</f>
        <v>Bañador clásico cuello V</v>
      </c>
      <c r="G1187" s="11">
        <v>1</v>
      </c>
      <c r="H1187" s="14">
        <v>18</v>
      </c>
      <c r="I1187" s="14">
        <f>VENTAS[[#This Row],[Cantidad]]*VENTAS[[#This Row],[Precio Venta]]</f>
        <v>18</v>
      </c>
      <c r="J1187" s="14">
        <f>IF(VENTAS[[#This Row],[Nombre del Gestor]]&gt;1,VENTAS[[#This Row],[Total]]*10%,0)</f>
        <v>1.8</v>
      </c>
      <c r="K1187" s="14">
        <f>IFERROR(VLOOKUP(VENTAS[[#This Row],[Código del producto Vendido]],STOCK[],16,FALSE)*VENTAS[[#This Row],[Cantidad]]+VLOOKUP(VENTAS[[#This Row],[Código del producto Vendido]],STOCK[],19,FALSE)*VENTAS[[#This Row],[Cantidad]],VENTAS[[#This Row],[Total]])</f>
        <v>6.11</v>
      </c>
      <c r="L1187" s="14">
        <f>VENTAS[[#This Row],[Total]]-VENTAS[[#This Row],[Comisión 10%]]-VENTAS[[#This Row],[Costo SIN Comision]]</f>
        <v>10.09</v>
      </c>
      <c r="M1187" s="14"/>
    </row>
    <row r="1188" ht="20" hidden="1" customHeight="1" spans="1:13">
      <c r="A1188" s="10">
        <v>45492</v>
      </c>
      <c r="B1188" s="11"/>
      <c r="C1188" s="11"/>
      <c r="D1188" s="11" t="s">
        <v>4241</v>
      </c>
      <c r="E1188" s="11" t="s">
        <v>1750</v>
      </c>
      <c r="F1188" s="11" t="str">
        <f>IFERROR(VLOOKUP(VENTAS[[#This Row],[Código del producto Vendido]],STOCK[],5,FALSE),"-")</f>
        <v>Traje de baño de mangas estampadas</v>
      </c>
      <c r="G1188" s="11">
        <v>1</v>
      </c>
      <c r="H1188" s="14">
        <v>25</v>
      </c>
      <c r="I1188" s="14">
        <f>VENTAS[[#This Row],[Cantidad]]*VENTAS[[#This Row],[Precio Venta]]</f>
        <v>25</v>
      </c>
      <c r="J1188" s="14">
        <f>IF(VENTAS[[#This Row],[Nombre del Gestor]]&gt;1,VENTAS[[#This Row],[Total]]*10%,0)</f>
        <v>2.5</v>
      </c>
      <c r="K1188" s="14">
        <f>IFERROR(VLOOKUP(VENTAS[[#This Row],[Código del producto Vendido]],STOCK[],16,FALSE)*VENTAS[[#This Row],[Cantidad]]+VLOOKUP(VENTAS[[#This Row],[Código del producto Vendido]],STOCK[],19,FALSE)*VENTAS[[#This Row],[Cantidad]],VENTAS[[#This Row],[Total]])</f>
        <v>12.4117647058824</v>
      </c>
      <c r="L1188" s="14">
        <f>VENTAS[[#This Row],[Total]]-VENTAS[[#This Row],[Comisión 10%]]-VENTAS[[#This Row],[Costo SIN Comision]]</f>
        <v>10.0882352941176</v>
      </c>
      <c r="M1188" s="14"/>
    </row>
    <row r="1189" ht="20" hidden="1" customHeight="1" spans="1:13">
      <c r="A1189" s="10">
        <v>45509</v>
      </c>
      <c r="B1189" s="11"/>
      <c r="C1189" s="11" t="s">
        <v>4307</v>
      </c>
      <c r="D1189" s="11" t="s">
        <v>4212</v>
      </c>
      <c r="E1189" s="11" t="s">
        <v>2425</v>
      </c>
      <c r="F1189" s="11" t="str">
        <f>IFERROR(VLOOKUP(VENTAS[[#This Row],[Código del producto Vendido]],STOCK[],5,FALSE),"-")</f>
        <v>Pantalón ancho con cordón ajustable</v>
      </c>
      <c r="G1189" s="11">
        <v>1</v>
      </c>
      <c r="H1189" s="14">
        <v>23</v>
      </c>
      <c r="I1189" s="14">
        <f>VENTAS[[#This Row],[Cantidad]]*VENTAS[[#This Row],[Precio Venta]]</f>
        <v>23</v>
      </c>
      <c r="J1189" s="14">
        <f>IF(VENTAS[[#This Row],[Nombre del Gestor]]&gt;1,VENTAS[[#This Row],[Total]]*10%,0)</f>
        <v>2.3</v>
      </c>
      <c r="K1189" s="14">
        <f>IFERROR(VLOOKUP(VENTAS[[#This Row],[Código del producto Vendido]],STOCK[],16,FALSE)*VENTAS[[#This Row],[Cantidad]]+VLOOKUP(VENTAS[[#This Row],[Código del producto Vendido]],STOCK[],19,FALSE)*VENTAS[[#This Row],[Cantidad]],VENTAS[[#This Row],[Total]])</f>
        <v>11.4353349001175</v>
      </c>
      <c r="L1189" s="14">
        <f>VENTAS[[#This Row],[Total]]-VENTAS[[#This Row],[Comisión 10%]]-VENTAS[[#This Row],[Costo SIN Comision]]</f>
        <v>9.26466509988249</v>
      </c>
      <c r="M1189" s="14"/>
    </row>
    <row r="1190" ht="20" hidden="1" customHeight="1" spans="1:13">
      <c r="A1190" s="10">
        <v>45509</v>
      </c>
      <c r="B1190" s="11"/>
      <c r="C1190" s="11" t="s">
        <v>4308</v>
      </c>
      <c r="D1190" s="11" t="s">
        <v>4212</v>
      </c>
      <c r="E1190" s="11" t="s">
        <v>2496</v>
      </c>
      <c r="F1190" s="11" t="str">
        <f>IFERROR(VLOOKUP(VENTAS[[#This Row],[Código del producto Vendido]],STOCK[],5,FALSE),"-")</f>
        <v>Bolso bandolera de rafia rígido de tamaño pequeño</v>
      </c>
      <c r="G1190" s="11">
        <v>1</v>
      </c>
      <c r="H1190" s="14">
        <v>25</v>
      </c>
      <c r="I1190" s="14">
        <f>VENTAS[[#This Row],[Cantidad]]*VENTAS[[#This Row],[Precio Venta]]</f>
        <v>25</v>
      </c>
      <c r="J1190" s="14">
        <f>IF(VENTAS[[#This Row],[Nombre del Gestor]]&gt;1,VENTAS[[#This Row],[Total]]*10%,0)</f>
        <v>2.5</v>
      </c>
      <c r="K1190" s="14">
        <f>IFERROR(VLOOKUP(VENTAS[[#This Row],[Código del producto Vendido]],STOCK[],16,FALSE)*VENTAS[[#This Row],[Cantidad]]+VLOOKUP(VENTAS[[#This Row],[Código del producto Vendido]],STOCK[],19,FALSE)*VENTAS[[#This Row],[Cantidad]],VENTAS[[#This Row],[Total]])</f>
        <v>11.39</v>
      </c>
      <c r="L1190" s="14">
        <f>VENTAS[[#This Row],[Total]]-VENTAS[[#This Row],[Comisión 10%]]-VENTAS[[#This Row],[Costo SIN Comision]]</f>
        <v>11.11</v>
      </c>
      <c r="M1190" s="14"/>
    </row>
    <row r="1191" ht="20" hidden="1" customHeight="1" spans="1:13">
      <c r="A1191" s="10">
        <v>45509</v>
      </c>
      <c r="B1191" s="11"/>
      <c r="C1191" s="11"/>
      <c r="D1191" s="11" t="s">
        <v>4241</v>
      </c>
      <c r="E1191" s="11" t="s">
        <v>2583</v>
      </c>
      <c r="F1191" s="11" t="str">
        <f>IFERROR(VLOOKUP(VENTAS[[#This Row],[Código del producto Vendido]],STOCK[],5,FALSE),"-")</f>
        <v>Vestido largo con cuello Healter</v>
      </c>
      <c r="G1191" s="11">
        <v>1</v>
      </c>
      <c r="H1191" s="14">
        <v>30</v>
      </c>
      <c r="I1191" s="14">
        <f>VENTAS[[#This Row],[Cantidad]]*VENTAS[[#This Row],[Precio Venta]]</f>
        <v>30</v>
      </c>
      <c r="J1191" s="14">
        <f>IF(VENTAS[[#This Row],[Nombre del Gestor]]&gt;1,VENTAS[[#This Row],[Total]]*10%,0)</f>
        <v>3</v>
      </c>
      <c r="K1191" s="14">
        <f>IFERROR(VLOOKUP(VENTAS[[#This Row],[Código del producto Vendido]],STOCK[],16,FALSE)*VENTAS[[#This Row],[Cantidad]]+VLOOKUP(VENTAS[[#This Row],[Código del producto Vendido]],STOCK[],19,FALSE)*VENTAS[[#This Row],[Cantidad]],VENTAS[[#This Row],[Total]])</f>
        <v>9.64</v>
      </c>
      <c r="L1191" s="14">
        <f>VENTAS[[#This Row],[Total]]-VENTAS[[#This Row],[Comisión 10%]]-VENTAS[[#This Row],[Costo SIN Comision]]</f>
        <v>17.36</v>
      </c>
      <c r="M1191" s="14"/>
    </row>
    <row r="1192" ht="20" hidden="1" customHeight="1" spans="1:13">
      <c r="A1192" s="10">
        <v>45509</v>
      </c>
      <c r="B1192" s="11"/>
      <c r="C1192" s="11" t="s">
        <v>4309</v>
      </c>
      <c r="D1192" s="11" t="s">
        <v>4241</v>
      </c>
      <c r="E1192" s="11" t="s">
        <v>2463</v>
      </c>
      <c r="F1192" s="11" t="str">
        <f>IFERROR(VLOOKUP(VENTAS[[#This Row],[Código del producto Vendido]],STOCK[],5,FALSE),"-")</f>
        <v>Sandalias de plataforma en bloque de color</v>
      </c>
      <c r="G1192" s="11">
        <v>1</v>
      </c>
      <c r="H1192" s="14">
        <v>35</v>
      </c>
      <c r="I1192" s="14">
        <f>VENTAS[[#This Row],[Cantidad]]*VENTAS[[#This Row],[Precio Venta]]</f>
        <v>35</v>
      </c>
      <c r="J1192" s="14">
        <f>IF(VENTAS[[#This Row],[Nombre del Gestor]]&gt;1,VENTAS[[#This Row],[Total]]*10%,0)</f>
        <v>3.5</v>
      </c>
      <c r="K1192" s="14">
        <f>IFERROR(VLOOKUP(VENTAS[[#This Row],[Código del producto Vendido]],STOCK[],16,FALSE)*VENTAS[[#This Row],[Cantidad]]+VLOOKUP(VENTAS[[#This Row],[Código del producto Vendido]],STOCK[],19,FALSE)*VENTAS[[#This Row],[Cantidad]],VENTAS[[#This Row],[Total]])</f>
        <v>21.97</v>
      </c>
      <c r="L1192" s="14">
        <f>VENTAS[[#This Row],[Total]]-VENTAS[[#This Row],[Comisión 10%]]-VENTAS[[#This Row],[Costo SIN Comision]]</f>
        <v>9.53</v>
      </c>
      <c r="M1192" s="14"/>
    </row>
    <row r="1193" ht="20" hidden="1" customHeight="1" spans="1:13">
      <c r="A1193" s="10">
        <v>45509</v>
      </c>
      <c r="B1193" s="11"/>
      <c r="C1193" s="11"/>
      <c r="D1193" s="11" t="s">
        <v>4241</v>
      </c>
      <c r="E1193" s="11" t="s">
        <v>2333</v>
      </c>
      <c r="F1193" s="11" t="str">
        <f>IFERROR(VLOOKUP(VENTAS[[#This Row],[Código del producto Vendido]],STOCK[],5,FALSE),"-")</f>
        <v>Set de 3 piezas bikini con estampado floral</v>
      </c>
      <c r="G1193" s="11">
        <v>1</v>
      </c>
      <c r="H1193" s="14">
        <v>20</v>
      </c>
      <c r="I1193" s="14">
        <f>VENTAS[[#This Row],[Cantidad]]*VENTAS[[#This Row],[Precio Venta]]</f>
        <v>20</v>
      </c>
      <c r="J1193" s="14">
        <f>IF(VENTAS[[#This Row],[Nombre del Gestor]]&gt;1,VENTAS[[#This Row],[Total]]*10%,0)</f>
        <v>2</v>
      </c>
      <c r="K1193" s="14">
        <f>IFERROR(VLOOKUP(VENTAS[[#This Row],[Código del producto Vendido]],STOCK[],16,FALSE)*VENTAS[[#This Row],[Cantidad]]+VLOOKUP(VENTAS[[#This Row],[Código del producto Vendido]],STOCK[],19,FALSE)*VENTAS[[#This Row],[Cantidad]],VENTAS[[#This Row],[Total]])</f>
        <v>13.409375</v>
      </c>
      <c r="L1193" s="14">
        <f>VENTAS[[#This Row],[Total]]-VENTAS[[#This Row],[Comisión 10%]]-VENTAS[[#This Row],[Costo SIN Comision]]</f>
        <v>4.590625</v>
      </c>
      <c r="M1193" s="14"/>
    </row>
    <row r="1194" ht="20" hidden="1" customHeight="1" spans="1:13">
      <c r="A1194" s="10">
        <v>45509</v>
      </c>
      <c r="B1194" s="11"/>
      <c r="C1194" s="11"/>
      <c r="D1194" s="11" t="s">
        <v>4241</v>
      </c>
      <c r="E1194" s="11" t="s">
        <v>2453</v>
      </c>
      <c r="F1194" s="11" t="str">
        <f>IFERROR(VLOOKUP(VENTAS[[#This Row],[Código del producto Vendido]],STOCK[],5,FALSE),"-")</f>
        <v>Sandalias carmelitas de moda con correa de velcro</v>
      </c>
      <c r="G1194" s="11">
        <v>1</v>
      </c>
      <c r="H1194" s="14">
        <v>35</v>
      </c>
      <c r="I1194" s="14">
        <f>VENTAS[[#This Row],[Cantidad]]*VENTAS[[#This Row],[Precio Venta]]</f>
        <v>35</v>
      </c>
      <c r="J1194" s="14">
        <f>IF(VENTAS[[#This Row],[Nombre del Gestor]]&gt;1,VENTAS[[#This Row],[Total]]*10%,0)</f>
        <v>3.5</v>
      </c>
      <c r="K1194" s="14">
        <f>IFERROR(VLOOKUP(VENTAS[[#This Row],[Código del producto Vendido]],STOCK[],16,FALSE)*VENTAS[[#This Row],[Cantidad]]+VLOOKUP(VENTAS[[#This Row],[Código del producto Vendido]],STOCK[],19,FALSE)*VENTAS[[#This Row],[Cantidad]],VENTAS[[#This Row],[Total]])</f>
        <v>19.47</v>
      </c>
      <c r="L1194" s="14">
        <f>VENTAS[[#This Row],[Total]]-VENTAS[[#This Row],[Comisión 10%]]-VENTAS[[#This Row],[Costo SIN Comision]]</f>
        <v>12.03</v>
      </c>
      <c r="M1194" s="14"/>
    </row>
    <row r="1195" ht="20" hidden="1" customHeight="1" spans="1:13">
      <c r="A1195" s="10">
        <v>45509</v>
      </c>
      <c r="B1195" s="11"/>
      <c r="C1195" s="11"/>
      <c r="D1195" s="11" t="s">
        <v>4241</v>
      </c>
      <c r="E1195" s="11" t="s">
        <v>4310</v>
      </c>
      <c r="F1195" s="11" t="str">
        <f>IFERROR(VLOOKUP(VENTAS[[#This Row],[Código del producto Vendido]],STOCK[],5,FALSE),"-")</f>
        <v>-</v>
      </c>
      <c r="G1195" s="11">
        <v>1</v>
      </c>
      <c r="H1195" s="14">
        <v>45</v>
      </c>
      <c r="I1195" s="14">
        <f>VENTAS[[#This Row],[Cantidad]]*VENTAS[[#This Row],[Precio Venta]]</f>
        <v>45</v>
      </c>
      <c r="J1195" s="14">
        <f>IF(VENTAS[[#This Row],[Nombre del Gestor]]&gt;1,VENTAS[[#This Row],[Total]]*10%,0)</f>
        <v>4.5</v>
      </c>
      <c r="K1195" s="14">
        <f>IFERROR(VLOOKUP(VENTAS[[#This Row],[Código del producto Vendido]],STOCK[],16,FALSE)*VENTAS[[#This Row],[Cantidad]]+VLOOKUP(VENTAS[[#This Row],[Código del producto Vendido]],STOCK[],19,FALSE)*VENTAS[[#This Row],[Cantidad]],VENTAS[[#This Row],[Total]])</f>
        <v>45</v>
      </c>
      <c r="L1195" s="14">
        <f>VENTAS[[#This Row],[Total]]-VENTAS[[#This Row],[Comisión 10%]]-VENTAS[[#This Row],[Costo SIN Comision]]</f>
        <v>-4.5</v>
      </c>
      <c r="M1195" s="14"/>
    </row>
    <row r="1196" ht="20" hidden="1" customHeight="1" spans="1:13">
      <c r="A1196" s="10">
        <v>45509</v>
      </c>
      <c r="B1196" s="11"/>
      <c r="C1196" s="11"/>
      <c r="D1196" s="11" t="s">
        <v>4241</v>
      </c>
      <c r="E1196" s="11" t="s">
        <v>2576</v>
      </c>
      <c r="F1196" s="11" t="str">
        <f>IFERROR(VLOOKUP(VENTAS[[#This Row],[Código del producto Vendido]],STOCK[],5,FALSE),"-")</f>
        <v>Vestido Largo con cinturón fruncido</v>
      </c>
      <c r="G1196" s="11">
        <v>0</v>
      </c>
      <c r="H1196" s="14">
        <v>30</v>
      </c>
      <c r="I1196" s="14">
        <f>VENTAS[[#This Row],[Cantidad]]*VENTAS[[#This Row],[Precio Venta]]</f>
        <v>0</v>
      </c>
      <c r="J1196" s="14">
        <f>IF(VENTAS[[#This Row],[Nombre del Gestor]]&gt;1,VENTAS[[#This Row],[Total]]*10%,0)</f>
        <v>0</v>
      </c>
      <c r="K1196" s="14">
        <f>IFERROR(VLOOKUP(VENTAS[[#This Row],[Código del producto Vendido]],STOCK[],16,FALSE)*VENTAS[[#This Row],[Cantidad]]+VLOOKUP(VENTAS[[#This Row],[Código del producto Vendido]],STOCK[],19,FALSE)*VENTAS[[#This Row],[Cantidad]],VENTAS[[#This Row],[Total]])</f>
        <v>0</v>
      </c>
      <c r="L1196" s="14">
        <f>VENTAS[[#This Row],[Total]]-VENTAS[[#This Row],[Comisión 10%]]-VENTAS[[#This Row],[Costo SIN Comision]]</f>
        <v>0</v>
      </c>
      <c r="M1196" s="14"/>
    </row>
    <row r="1197" ht="20" hidden="1" customHeight="1" spans="1:13">
      <c r="A1197" s="10">
        <v>45510</v>
      </c>
      <c r="B1197" s="11"/>
      <c r="C1197" s="11" t="s">
        <v>4299</v>
      </c>
      <c r="D1197" s="11" t="s">
        <v>4241</v>
      </c>
      <c r="E1197" s="11" t="s">
        <v>2515</v>
      </c>
      <c r="F1197" s="11" t="str">
        <f>IFERROR(VLOOKUP(VENTAS[[#This Row],[Código del producto Vendido]],STOCK[],5,FALSE),"-")</f>
        <v>Bolso pequeño estilo old money</v>
      </c>
      <c r="G1197" s="11">
        <v>1</v>
      </c>
      <c r="H1197" s="14">
        <v>20</v>
      </c>
      <c r="I1197" s="14">
        <f>VENTAS[[#This Row],[Cantidad]]*VENTAS[[#This Row],[Precio Venta]]</f>
        <v>20</v>
      </c>
      <c r="J1197" s="14">
        <f>IF(VENTAS[[#This Row],[Nombre del Gestor]]&gt;1,VENTAS[[#This Row],[Total]]*10%,0)</f>
        <v>2</v>
      </c>
      <c r="K1197" s="14">
        <f>IFERROR(VLOOKUP(VENTAS[[#This Row],[Código del producto Vendido]],STOCK[],16,FALSE)*VENTAS[[#This Row],[Cantidad]]+VLOOKUP(VENTAS[[#This Row],[Código del producto Vendido]],STOCK[],19,FALSE)*VENTAS[[#This Row],[Cantidad]],VENTAS[[#This Row],[Total]])</f>
        <v>11.49</v>
      </c>
      <c r="L1197" s="14">
        <f>VENTAS[[#This Row],[Total]]-VENTAS[[#This Row],[Comisión 10%]]-VENTAS[[#This Row],[Costo SIN Comision]]</f>
        <v>6.51</v>
      </c>
      <c r="M1197" s="14"/>
    </row>
    <row r="1198" ht="20" hidden="1" customHeight="1" spans="1:13">
      <c r="A1198" s="10">
        <v>45511</v>
      </c>
      <c r="B1198" s="11"/>
      <c r="C1198" s="11" t="s">
        <v>4311</v>
      </c>
      <c r="D1198" s="11" t="s">
        <v>4241</v>
      </c>
      <c r="E1198" s="11" t="s">
        <v>1469</v>
      </c>
      <c r="F1198" s="11" t="str">
        <f>IFERROR(VLOOKUP(VENTAS[[#This Row],[Código del producto Vendido]],STOCK[],5,FALSE),"-")</f>
        <v>Sandalias de tacón triangular</v>
      </c>
      <c r="G1198" s="11">
        <v>1</v>
      </c>
      <c r="H1198" s="14">
        <v>35</v>
      </c>
      <c r="I1198" s="14">
        <f>VENTAS[[#This Row],[Cantidad]]*VENTAS[[#This Row],[Precio Venta]]</f>
        <v>35</v>
      </c>
      <c r="J1198" s="14">
        <f>IF(VENTAS[[#This Row],[Nombre del Gestor]]&gt;1,VENTAS[[#This Row],[Total]]*10%,0)</f>
        <v>3.5</v>
      </c>
      <c r="K1198" s="14">
        <f>IFERROR(VLOOKUP(VENTAS[[#This Row],[Código del producto Vendido]],STOCK[],16,FALSE)*VENTAS[[#This Row],[Cantidad]]+VLOOKUP(VENTAS[[#This Row],[Código del producto Vendido]],STOCK[],19,FALSE)*VENTAS[[#This Row],[Cantidad]],VENTAS[[#This Row],[Total]])</f>
        <v>24</v>
      </c>
      <c r="L1198" s="14">
        <f>VENTAS[[#This Row],[Total]]-VENTAS[[#This Row],[Comisión 10%]]-VENTAS[[#This Row],[Costo SIN Comision]]</f>
        <v>7.5</v>
      </c>
      <c r="M1198" s="14"/>
    </row>
    <row r="1199" ht="20" hidden="1" customHeight="1" spans="1:13">
      <c r="A1199" s="10">
        <v>45510</v>
      </c>
      <c r="B1199" s="11"/>
      <c r="C1199" s="11" t="s">
        <v>4312</v>
      </c>
      <c r="D1199" s="11" t="s">
        <v>4241</v>
      </c>
      <c r="E1199" s="11" t="s">
        <v>1055</v>
      </c>
      <c r="F1199" s="11" t="str">
        <f>IFERROR(VLOOKUP(VENTAS[[#This Row],[Código del producto Vendido]],STOCK[],5,FALSE),"-")</f>
        <v>Vestido en punto Rosa</v>
      </c>
      <c r="G1199" s="11">
        <v>1</v>
      </c>
      <c r="H1199" s="14">
        <v>25</v>
      </c>
      <c r="I1199" s="14">
        <f>VENTAS[[#This Row],[Cantidad]]*VENTAS[[#This Row],[Precio Venta]]</f>
        <v>25</v>
      </c>
      <c r="J1199" s="14">
        <f>IF(VENTAS[[#This Row],[Nombre del Gestor]]&gt;1,VENTAS[[#This Row],[Total]]*10%,0)</f>
        <v>2.5</v>
      </c>
      <c r="K1199" s="14">
        <f>IFERROR(VLOOKUP(VENTAS[[#This Row],[Código del producto Vendido]],STOCK[],16,FALSE)*VENTAS[[#This Row],[Cantidad]]+VLOOKUP(VENTAS[[#This Row],[Código del producto Vendido]],STOCK[],19,FALSE)*VENTAS[[#This Row],[Cantidad]],VENTAS[[#This Row],[Total]])</f>
        <v>21.4704545454545</v>
      </c>
      <c r="L1199" s="14">
        <f>VENTAS[[#This Row],[Total]]-VENTAS[[#This Row],[Comisión 10%]]-VENTAS[[#This Row],[Costo SIN Comision]]</f>
        <v>1.0295454545455</v>
      </c>
      <c r="M1199" s="14"/>
    </row>
    <row r="1200" ht="20" hidden="1" customHeight="1" spans="1:13">
      <c r="A1200" s="10">
        <v>45510</v>
      </c>
      <c r="B1200" s="11"/>
      <c r="C1200" s="11" t="s">
        <v>4313</v>
      </c>
      <c r="D1200" s="11" t="s">
        <v>4241</v>
      </c>
      <c r="E1200" s="11" t="s">
        <v>2642</v>
      </c>
      <c r="F1200" s="11" t="str">
        <f>IFERROR(VLOOKUP(VENTAS[[#This Row],[Código del producto Vendido]],STOCK[],5,FALSE),"-")</f>
        <v>Top de punto y cuello elegante negro H&amp;M</v>
      </c>
      <c r="G1200" s="11">
        <v>1</v>
      </c>
      <c r="H1200" s="14">
        <v>20</v>
      </c>
      <c r="I1200" s="14">
        <f>VENTAS[[#This Row],[Cantidad]]*VENTAS[[#This Row],[Precio Venta]]</f>
        <v>20</v>
      </c>
      <c r="J1200" s="14">
        <f>IF(VENTAS[[#This Row],[Nombre del Gestor]]&gt;1,VENTAS[[#This Row],[Total]]*10%,0)</f>
        <v>2</v>
      </c>
      <c r="K1200" s="14">
        <f>IFERROR(VLOOKUP(VENTAS[[#This Row],[Código del producto Vendido]],STOCK[],16,FALSE)*VENTAS[[#This Row],[Cantidad]]+VLOOKUP(VENTAS[[#This Row],[Código del producto Vendido]],STOCK[],19,FALSE)*VENTAS[[#This Row],[Cantidad]],VENTAS[[#This Row],[Total]])</f>
        <v>10.96</v>
      </c>
      <c r="L1200" s="14">
        <f>VENTAS[[#This Row],[Total]]-VENTAS[[#This Row],[Comisión 10%]]-VENTAS[[#This Row],[Costo SIN Comision]]</f>
        <v>7.04</v>
      </c>
      <c r="M1200" s="14"/>
    </row>
    <row r="1201" ht="20" hidden="1" customHeight="1" spans="1:13">
      <c r="A1201" s="10">
        <v>45510</v>
      </c>
      <c r="B1201" s="11"/>
      <c r="C1201" s="11" t="s">
        <v>4313</v>
      </c>
      <c r="D1201" s="11" t="s">
        <v>4241</v>
      </c>
      <c r="E1201" s="11" t="s">
        <v>2645</v>
      </c>
      <c r="F1201" s="11" t="str">
        <f>IFERROR(VLOOKUP(VENTAS[[#This Row],[Código del producto Vendido]],STOCK[],5,FALSE),"-")</f>
        <v>Top de punto y cuello elegante blanco H&amp;M</v>
      </c>
      <c r="G1201" s="11">
        <v>1</v>
      </c>
      <c r="H1201" s="14">
        <v>20</v>
      </c>
      <c r="I1201" s="14">
        <f>VENTAS[[#This Row],[Cantidad]]*VENTAS[[#This Row],[Precio Venta]]</f>
        <v>20</v>
      </c>
      <c r="J1201" s="14">
        <f>IF(VENTAS[[#This Row],[Nombre del Gestor]]&gt;1,VENTAS[[#This Row],[Total]]*10%,0)</f>
        <v>2</v>
      </c>
      <c r="K1201" s="14">
        <f>IFERROR(VLOOKUP(VENTAS[[#This Row],[Código del producto Vendido]],STOCK[],16,FALSE)*VENTAS[[#This Row],[Cantidad]]+VLOOKUP(VENTAS[[#This Row],[Código del producto Vendido]],STOCK[],19,FALSE)*VENTAS[[#This Row],[Cantidad]],VENTAS[[#This Row],[Total]])</f>
        <v>10.96</v>
      </c>
      <c r="L1201" s="14">
        <f>VENTAS[[#This Row],[Total]]-VENTAS[[#This Row],[Comisión 10%]]-VENTAS[[#This Row],[Costo SIN Comision]]</f>
        <v>7.04</v>
      </c>
      <c r="M1201" s="14"/>
    </row>
    <row r="1202" ht="20" hidden="1" customHeight="1" spans="1:13">
      <c r="A1202" s="10">
        <v>45511</v>
      </c>
      <c r="B1202" s="11"/>
      <c r="C1202" s="11" t="s">
        <v>4314</v>
      </c>
      <c r="D1202" s="11" t="s">
        <v>4241</v>
      </c>
      <c r="E1202" s="11" t="s">
        <v>1896</v>
      </c>
      <c r="F1202" s="11" t="str">
        <f>IFERROR(VLOOKUP(VENTAS[[#This Row],[Código del producto Vendido]],STOCK[],5,FALSE),"-")</f>
        <v>Set de bolso minimalista amarillo</v>
      </c>
      <c r="G1202" s="11">
        <v>1</v>
      </c>
      <c r="H1202" s="14">
        <v>20</v>
      </c>
      <c r="I1202" s="14">
        <f>VENTAS[[#This Row],[Cantidad]]*VENTAS[[#This Row],[Precio Venta]]</f>
        <v>20</v>
      </c>
      <c r="J1202" s="14">
        <f>IF(VENTAS[[#This Row],[Nombre del Gestor]]&gt;1,VENTAS[[#This Row],[Total]]*10%,0)</f>
        <v>2</v>
      </c>
      <c r="K1202" s="14">
        <f>IFERROR(VLOOKUP(VENTAS[[#This Row],[Código del producto Vendido]],STOCK[],16,FALSE)*VENTAS[[#This Row],[Cantidad]]+VLOOKUP(VENTAS[[#This Row],[Código del producto Vendido]],STOCK[],19,FALSE)*VENTAS[[#This Row],[Cantidad]],VENTAS[[#This Row],[Total]])</f>
        <v>12.75</v>
      </c>
      <c r="L1202" s="14">
        <f>VENTAS[[#This Row],[Total]]-VENTAS[[#This Row],[Comisión 10%]]-VENTAS[[#This Row],[Costo SIN Comision]]</f>
        <v>5.25</v>
      </c>
      <c r="M1202" s="14"/>
    </row>
    <row r="1203" ht="20" hidden="1" customHeight="1" spans="1:13">
      <c r="A1203" s="10">
        <v>45511</v>
      </c>
      <c r="B1203" s="11"/>
      <c r="C1203" s="11" t="s">
        <v>4314</v>
      </c>
      <c r="D1203" s="11" t="s">
        <v>4241</v>
      </c>
      <c r="E1203" s="11" t="s">
        <v>2499</v>
      </c>
      <c r="F1203" s="11" t="str">
        <f>IFERROR(VLOOKUP(VENTAS[[#This Row],[Código del producto Vendido]],STOCK[],5,FALSE),"-")</f>
        <v>Bolso tejido redondo de gran capidad </v>
      </c>
      <c r="G1203" s="11">
        <v>1</v>
      </c>
      <c r="H1203" s="14">
        <v>25</v>
      </c>
      <c r="I1203" s="14">
        <f>VENTAS[[#This Row],[Cantidad]]*VENTAS[[#This Row],[Precio Venta]]</f>
        <v>25</v>
      </c>
      <c r="J1203" s="14">
        <f>IF(VENTAS[[#This Row],[Nombre del Gestor]]&gt;1,VENTAS[[#This Row],[Total]]*10%,0)</f>
        <v>2.5</v>
      </c>
      <c r="K1203" s="14">
        <f>IFERROR(VLOOKUP(VENTAS[[#This Row],[Código del producto Vendido]],STOCK[],16,FALSE)*VENTAS[[#This Row],[Cantidad]]+VLOOKUP(VENTAS[[#This Row],[Código del producto Vendido]],STOCK[],19,FALSE)*VENTAS[[#This Row],[Cantidad]],VENTAS[[#This Row],[Total]])</f>
        <v>11.67</v>
      </c>
      <c r="L1203" s="14">
        <f>VENTAS[[#This Row],[Total]]-VENTAS[[#This Row],[Comisión 10%]]-VENTAS[[#This Row],[Costo SIN Comision]]</f>
        <v>10.83</v>
      </c>
      <c r="M1203" s="14"/>
    </row>
    <row r="1204" ht="20" hidden="1" customHeight="1" spans="1:13">
      <c r="A1204" s="10">
        <v>45511</v>
      </c>
      <c r="B1204" s="11"/>
      <c r="C1204" s="11" t="s">
        <v>4315</v>
      </c>
      <c r="D1204" s="11" t="s">
        <v>4241</v>
      </c>
      <c r="E1204" s="11" t="s">
        <v>2457</v>
      </c>
      <c r="F1204" s="11" t="str">
        <f>IFERROR(VLOOKUP(VENTAS[[#This Row],[Código del producto Vendido]],STOCK[],5,FALSE),"-")</f>
        <v>Sandalias prácticas Chunky Negras</v>
      </c>
      <c r="G1204" s="11">
        <v>1</v>
      </c>
      <c r="H1204" s="14">
        <v>35</v>
      </c>
      <c r="I1204" s="14">
        <f>VENTAS[[#This Row],[Cantidad]]*VENTAS[[#This Row],[Precio Venta]]</f>
        <v>35</v>
      </c>
      <c r="J1204" s="14">
        <f>IF(VENTAS[[#This Row],[Nombre del Gestor]]&gt;1,VENTAS[[#This Row],[Total]]*10%,0)</f>
        <v>3.5</v>
      </c>
      <c r="K1204" s="14">
        <f>IFERROR(VLOOKUP(VENTAS[[#This Row],[Código del producto Vendido]],STOCK[],16,FALSE)*VENTAS[[#This Row],[Cantidad]]+VLOOKUP(VENTAS[[#This Row],[Código del producto Vendido]],STOCK[],19,FALSE)*VENTAS[[#This Row],[Cantidad]],VENTAS[[#This Row],[Total]])</f>
        <v>21.97</v>
      </c>
      <c r="L1204" s="14">
        <f>VENTAS[[#This Row],[Total]]-VENTAS[[#This Row],[Comisión 10%]]-VENTAS[[#This Row],[Costo SIN Comision]]</f>
        <v>9.53</v>
      </c>
      <c r="M1204" s="14"/>
    </row>
    <row r="1205" ht="20" hidden="1" customHeight="1" spans="1:13">
      <c r="A1205" s="10">
        <v>45511</v>
      </c>
      <c r="B1205" s="11"/>
      <c r="C1205" s="11" t="s">
        <v>4316</v>
      </c>
      <c r="D1205" s="11" t="s">
        <v>4241</v>
      </c>
      <c r="E1205" s="11" t="s">
        <v>2593</v>
      </c>
      <c r="F1205" s="11" t="str">
        <f>IFERROR(VLOOKUP(VENTAS[[#This Row],[Código del producto Vendido]],STOCK[],5,FALSE),"-")</f>
        <v>Vestido crochet playero de tirantes</v>
      </c>
      <c r="G1205" s="11">
        <v>1</v>
      </c>
      <c r="H1205" s="14">
        <v>30</v>
      </c>
      <c r="I1205" s="14">
        <f>VENTAS[[#This Row],[Cantidad]]*VENTAS[[#This Row],[Precio Venta]]</f>
        <v>30</v>
      </c>
      <c r="J1205" s="14">
        <f>IF(VENTAS[[#This Row],[Nombre del Gestor]]&gt;1,VENTAS[[#This Row],[Total]]*10%,0)</f>
        <v>3</v>
      </c>
      <c r="K1205" s="14">
        <f>IFERROR(VLOOKUP(VENTAS[[#This Row],[Código del producto Vendido]],STOCK[],16,FALSE)*VENTAS[[#This Row],[Cantidad]]+VLOOKUP(VENTAS[[#This Row],[Código del producto Vendido]],STOCK[],19,FALSE)*VENTAS[[#This Row],[Cantidad]],VENTAS[[#This Row],[Total]])</f>
        <v>13.56</v>
      </c>
      <c r="L1205" s="14">
        <f>VENTAS[[#This Row],[Total]]-VENTAS[[#This Row],[Comisión 10%]]-VENTAS[[#This Row],[Costo SIN Comision]]</f>
        <v>13.44</v>
      </c>
      <c r="M1205" s="14"/>
    </row>
    <row r="1206" ht="20" hidden="1" customHeight="1" spans="1:13">
      <c r="A1206" s="10">
        <v>45512</v>
      </c>
      <c r="B1206" s="11"/>
      <c r="C1206" s="11" t="s">
        <v>4317</v>
      </c>
      <c r="D1206" s="11" t="s">
        <v>4241</v>
      </c>
      <c r="E1206" s="11" t="s">
        <v>2603</v>
      </c>
      <c r="F1206" s="11" t="str">
        <f>IFERROR(VLOOKUP(VENTAS[[#This Row],[Código del producto Vendido]],STOCK[],5,FALSE),"-")</f>
        <v>Conjunto falda y top</v>
      </c>
      <c r="G1206" s="11">
        <v>1</v>
      </c>
      <c r="H1206" s="14">
        <v>35</v>
      </c>
      <c r="I1206" s="14">
        <f>VENTAS[[#This Row],[Cantidad]]*VENTAS[[#This Row],[Precio Venta]]</f>
        <v>35</v>
      </c>
      <c r="J1206" s="14">
        <f>IF(VENTAS[[#This Row],[Nombre del Gestor]]&gt;1,VENTAS[[#This Row],[Total]]*10%,0)</f>
        <v>3.5</v>
      </c>
      <c r="K1206" s="14">
        <f>IFERROR(VLOOKUP(VENTAS[[#This Row],[Código del producto Vendido]],STOCK[],16,FALSE)*VENTAS[[#This Row],[Cantidad]]+VLOOKUP(VENTAS[[#This Row],[Código del producto Vendido]],STOCK[],19,FALSE)*VENTAS[[#This Row],[Cantidad]],VENTAS[[#This Row],[Total]])</f>
        <v>13.56</v>
      </c>
      <c r="L1206" s="14">
        <f>VENTAS[[#This Row],[Total]]-VENTAS[[#This Row],[Comisión 10%]]-VENTAS[[#This Row],[Costo SIN Comision]]</f>
        <v>17.94</v>
      </c>
      <c r="M1206" s="14"/>
    </row>
    <row r="1207" ht="20" hidden="1" customHeight="1" spans="1:13">
      <c r="A1207" s="10">
        <v>45517</v>
      </c>
      <c r="B1207" s="11"/>
      <c r="C1207" s="11" t="s">
        <v>4318</v>
      </c>
      <c r="D1207" s="11" t="s">
        <v>4241</v>
      </c>
      <c r="E1207" s="11" t="s">
        <v>2660</v>
      </c>
      <c r="F1207" s="11" t="str">
        <f>IFERROR(VLOOKUP(VENTAS[[#This Row],[Código del producto Vendido]],STOCK[],5,FALSE),"-")</f>
        <v>Pullover blanco de algodón PRIMARK</v>
      </c>
      <c r="G1207" s="11">
        <v>1</v>
      </c>
      <c r="H1207" s="14">
        <v>12</v>
      </c>
      <c r="I1207" s="14">
        <f>VENTAS[[#This Row],[Cantidad]]*VENTAS[[#This Row],[Precio Venta]]</f>
        <v>12</v>
      </c>
      <c r="J1207" s="14">
        <f>IF(VENTAS[[#This Row],[Nombre del Gestor]]&gt;1,VENTAS[[#This Row],[Total]]*10%,0)</f>
        <v>1.2</v>
      </c>
      <c r="K1207" s="14">
        <f>IFERROR(VLOOKUP(VENTAS[[#This Row],[Código del producto Vendido]],STOCK[],16,FALSE)*VENTAS[[#This Row],[Cantidad]]+VLOOKUP(VENTAS[[#This Row],[Código del producto Vendido]],STOCK[],19,FALSE)*VENTAS[[#This Row],[Cantidad]],VENTAS[[#This Row],[Total]])</f>
        <v>8.97</v>
      </c>
      <c r="L1207" s="14">
        <f>VENTAS[[#This Row],[Total]]-VENTAS[[#This Row],[Comisión 10%]]-VENTAS[[#This Row],[Costo SIN Comision]]</f>
        <v>1.83</v>
      </c>
      <c r="M1207" s="14"/>
    </row>
    <row r="1208" ht="20" hidden="1" customHeight="1" spans="1:13">
      <c r="A1208" s="10">
        <v>45517</v>
      </c>
      <c r="B1208" s="11"/>
      <c r="C1208" s="11" t="s">
        <v>4318</v>
      </c>
      <c r="D1208" s="11" t="s">
        <v>4241</v>
      </c>
      <c r="E1208" s="11" t="s">
        <v>2662</v>
      </c>
      <c r="F1208" s="11" t="str">
        <f>IFERROR(VLOOKUP(VENTAS[[#This Row],[Código del producto Vendido]],STOCK[],5,FALSE),"-")</f>
        <v>Pullover blanco de algodón PRIMARK</v>
      </c>
      <c r="G1208" s="11">
        <v>1</v>
      </c>
      <c r="H1208" s="14">
        <v>12</v>
      </c>
      <c r="I1208" s="14">
        <f>VENTAS[[#This Row],[Cantidad]]*VENTAS[[#This Row],[Precio Venta]]</f>
        <v>12</v>
      </c>
      <c r="J1208" s="14">
        <f>IF(VENTAS[[#This Row],[Nombre del Gestor]]&gt;1,VENTAS[[#This Row],[Total]]*10%,0)</f>
        <v>1.2</v>
      </c>
      <c r="K1208" s="14">
        <f>IFERROR(VLOOKUP(VENTAS[[#This Row],[Código del producto Vendido]],STOCK[],16,FALSE)*VENTAS[[#This Row],[Cantidad]]+VLOOKUP(VENTAS[[#This Row],[Código del producto Vendido]],STOCK[],19,FALSE)*VENTAS[[#This Row],[Cantidad]],VENTAS[[#This Row],[Total]])</f>
        <v>8.97</v>
      </c>
      <c r="L1208" s="14">
        <f>VENTAS[[#This Row],[Total]]-VENTAS[[#This Row],[Comisión 10%]]-VENTAS[[#This Row],[Costo SIN Comision]]</f>
        <v>1.83</v>
      </c>
      <c r="M1208" s="14"/>
    </row>
    <row r="1209" ht="20" hidden="1" customHeight="1" spans="1:13">
      <c r="A1209" s="10">
        <v>45517</v>
      </c>
      <c r="B1209" s="11"/>
      <c r="C1209" s="11" t="s">
        <v>4319</v>
      </c>
      <c r="D1209" s="11" t="s">
        <v>4241</v>
      </c>
      <c r="E1209" s="11" t="s">
        <v>2591</v>
      </c>
      <c r="F1209" s="11" t="str">
        <f>IFERROR(VLOOKUP(VENTAS[[#This Row],[Código del producto Vendido]],STOCK[],5,FALSE),"-")</f>
        <v>Vestido crochet Playero espalda descubierta</v>
      </c>
      <c r="G1209" s="11">
        <v>1</v>
      </c>
      <c r="H1209" s="14">
        <v>30</v>
      </c>
      <c r="I1209" s="14">
        <f>VENTAS[[#This Row],[Cantidad]]*VENTAS[[#This Row],[Precio Venta]]</f>
        <v>30</v>
      </c>
      <c r="J1209" s="14">
        <f>IF(VENTAS[[#This Row],[Nombre del Gestor]]&gt;1,VENTAS[[#This Row],[Total]]*10%,0)</f>
        <v>3</v>
      </c>
      <c r="K1209" s="14">
        <f>IFERROR(VLOOKUP(VENTAS[[#This Row],[Código del producto Vendido]],STOCK[],16,FALSE)*VENTAS[[#This Row],[Cantidad]]+VLOOKUP(VENTAS[[#This Row],[Código del producto Vendido]],STOCK[],19,FALSE)*VENTAS[[#This Row],[Cantidad]],VENTAS[[#This Row],[Total]])</f>
        <v>14.02</v>
      </c>
      <c r="L1209" s="14">
        <f>VENTAS[[#This Row],[Total]]-VENTAS[[#This Row],[Comisión 10%]]-VENTAS[[#This Row],[Costo SIN Comision]]</f>
        <v>12.98</v>
      </c>
      <c r="M1209" s="14"/>
    </row>
    <row r="1210" ht="20" hidden="1" customHeight="1" spans="1:13">
      <c r="A1210" s="10">
        <v>45517</v>
      </c>
      <c r="B1210" s="11"/>
      <c r="C1210" s="11" t="s">
        <v>4319</v>
      </c>
      <c r="D1210" s="11" t="s">
        <v>4241</v>
      </c>
      <c r="E1210" s="11" t="s">
        <v>2106</v>
      </c>
      <c r="F1210" s="11" t="str">
        <f>IFERROR(VLOOKUP(VENTAS[[#This Row],[Código del producto Vendido]],STOCK[],5,FALSE),"-")</f>
        <v>Fashion TOTE bag tamaño de gran capacidad</v>
      </c>
      <c r="G1210" s="11">
        <v>1</v>
      </c>
      <c r="H1210" s="14">
        <v>18</v>
      </c>
      <c r="I1210" s="14">
        <f>VENTAS[[#This Row],[Cantidad]]*VENTAS[[#This Row],[Precio Venta]]</f>
        <v>18</v>
      </c>
      <c r="J1210" s="14">
        <f>IF(VENTAS[[#This Row],[Nombre del Gestor]]&gt;1,VENTAS[[#This Row],[Total]]*10%,0)</f>
        <v>1.8</v>
      </c>
      <c r="K1210" s="14">
        <f>IFERROR(VLOOKUP(VENTAS[[#This Row],[Código del producto Vendido]],STOCK[],16,FALSE)*VENTAS[[#This Row],[Cantidad]]+VLOOKUP(VENTAS[[#This Row],[Código del producto Vendido]],STOCK[],19,FALSE)*VENTAS[[#This Row],[Cantidad]],VENTAS[[#This Row],[Total]])</f>
        <v>7.59</v>
      </c>
      <c r="L1210" s="14">
        <f>VENTAS[[#This Row],[Total]]-VENTAS[[#This Row],[Comisión 10%]]-VENTAS[[#This Row],[Costo SIN Comision]]</f>
        <v>8.61</v>
      </c>
      <c r="M1210" s="14"/>
    </row>
    <row r="1211" ht="20" hidden="1" customHeight="1" spans="1:13">
      <c r="A1211" s="10">
        <v>45520</v>
      </c>
      <c r="B1211" s="11"/>
      <c r="C1211" s="11" t="s">
        <v>4320</v>
      </c>
      <c r="D1211" s="11" t="s">
        <v>4241</v>
      </c>
      <c r="E1211" s="11" t="s">
        <v>2487</v>
      </c>
      <c r="F1211" s="11" t="str">
        <f>IFERROR(VLOOKUP(VENTAS[[#This Row],[Código del producto Vendido]],STOCK[],5,FALSE),"-")</f>
        <v>Sandalias prácticas chunky blanco crema</v>
      </c>
      <c r="G1211" s="11">
        <v>1</v>
      </c>
      <c r="H1211" s="14">
        <v>35</v>
      </c>
      <c r="I1211" s="14">
        <f>VENTAS[[#This Row],[Cantidad]]*VENTAS[[#This Row],[Precio Venta]]</f>
        <v>35</v>
      </c>
      <c r="J1211" s="14">
        <f>IF(VENTAS[[#This Row],[Nombre del Gestor]]&gt;1,VENTAS[[#This Row],[Total]]*10%,0)</f>
        <v>3.5</v>
      </c>
      <c r="K1211" s="14">
        <f>IFERROR(VLOOKUP(VENTAS[[#This Row],[Código del producto Vendido]],STOCK[],16,FALSE)*VENTAS[[#This Row],[Cantidad]]+VLOOKUP(VENTAS[[#This Row],[Código del producto Vendido]],STOCK[],19,FALSE)*VENTAS[[#This Row],[Cantidad]],VENTAS[[#This Row],[Total]])</f>
        <v>24.2174</v>
      </c>
      <c r="L1211" s="14">
        <f>VENTAS[[#This Row],[Total]]-VENTAS[[#This Row],[Comisión 10%]]-VENTAS[[#This Row],[Costo SIN Comision]]</f>
        <v>7.2826</v>
      </c>
      <c r="M1211" s="14"/>
    </row>
    <row r="1212" ht="20" hidden="1" customHeight="1" spans="1:13">
      <c r="A1212" s="10">
        <v>45523</v>
      </c>
      <c r="B1212" s="11"/>
      <c r="C1212" s="11" t="s">
        <v>4321</v>
      </c>
      <c r="D1212" s="11" t="s">
        <v>4241</v>
      </c>
      <c r="E1212" s="11" t="s">
        <v>2459</v>
      </c>
      <c r="F1212" s="11" t="str">
        <f>IFERROR(VLOOKUP(VENTAS[[#This Row],[Código del producto Vendido]],STOCK[],5,FALSE),"-")</f>
        <v>Sandalias prácticas Chunky Negras</v>
      </c>
      <c r="G1212" s="11">
        <v>1</v>
      </c>
      <c r="H1212" s="14">
        <v>35</v>
      </c>
      <c r="I1212" s="14">
        <f>VENTAS[[#This Row],[Cantidad]]*VENTAS[[#This Row],[Precio Venta]]</f>
        <v>35</v>
      </c>
      <c r="J1212" s="14">
        <f>IF(VENTAS[[#This Row],[Nombre del Gestor]]&gt;1,VENTAS[[#This Row],[Total]]*10%,0)</f>
        <v>3.5</v>
      </c>
      <c r="K1212" s="14">
        <f>IFERROR(VLOOKUP(VENTAS[[#This Row],[Código del producto Vendido]],STOCK[],16,FALSE)*VENTAS[[#This Row],[Cantidad]]+VLOOKUP(VENTAS[[#This Row],[Código del producto Vendido]],STOCK[],19,FALSE)*VENTAS[[#This Row],[Cantidad]],VENTAS[[#This Row],[Total]])</f>
        <v>21.97</v>
      </c>
      <c r="L1212" s="14">
        <f>VENTAS[[#This Row],[Total]]-VENTAS[[#This Row],[Comisión 10%]]-VENTAS[[#This Row],[Costo SIN Comision]]</f>
        <v>9.53</v>
      </c>
      <c r="M1212" s="14"/>
    </row>
    <row r="1213" ht="20" hidden="1" customHeight="1" spans="1:13">
      <c r="A1213" s="10">
        <v>45526</v>
      </c>
      <c r="B1213" s="11"/>
      <c r="C1213" s="11" t="s">
        <v>4322</v>
      </c>
      <c r="D1213" s="11" t="s">
        <v>4241</v>
      </c>
      <c r="E1213" s="11" t="s">
        <v>1849</v>
      </c>
      <c r="F1213" s="11" t="str">
        <f>IFERROR(VLOOKUP(VENTAS[[#This Row],[Código del producto Vendido]],STOCK[],5,FALSE),"-")</f>
        <v>Crossbody Bag </v>
      </c>
      <c r="G1213" s="11">
        <v>1</v>
      </c>
      <c r="H1213" s="14">
        <v>18</v>
      </c>
      <c r="I1213" s="14">
        <f>VENTAS[[#This Row],[Cantidad]]*VENTAS[[#This Row],[Precio Venta]]</f>
        <v>18</v>
      </c>
      <c r="J1213" s="14">
        <f>IF(VENTAS[[#This Row],[Nombre del Gestor]]&gt;1,VENTAS[[#This Row],[Total]]*10%,0)</f>
        <v>1.8</v>
      </c>
      <c r="K1213" s="14">
        <f>IFERROR(VLOOKUP(VENTAS[[#This Row],[Código del producto Vendido]],STOCK[],16,FALSE)*VENTAS[[#This Row],[Cantidad]]+VLOOKUP(VENTAS[[#This Row],[Código del producto Vendido]],STOCK[],19,FALSE)*VENTAS[[#This Row],[Cantidad]],VENTAS[[#This Row],[Total]])</f>
        <v>10.79</v>
      </c>
      <c r="L1213" s="14">
        <f>VENTAS[[#This Row],[Total]]-VENTAS[[#This Row],[Comisión 10%]]-VENTAS[[#This Row],[Costo SIN Comision]]</f>
        <v>5.41</v>
      </c>
      <c r="M1213" s="14"/>
    </row>
    <row r="1214" ht="20" hidden="1" customHeight="1" spans="1:13">
      <c r="A1214" s="10">
        <v>45526</v>
      </c>
      <c r="B1214" s="11"/>
      <c r="C1214" s="11" t="s">
        <v>4323</v>
      </c>
      <c r="D1214" s="11" t="s">
        <v>4241</v>
      </c>
      <c r="E1214" s="11" t="s">
        <v>1853</v>
      </c>
      <c r="F1214" s="11" t="str">
        <f>IFERROR(VLOOKUP(VENTAS[[#This Row],[Código del producto Vendido]],STOCK[],5,FALSE),"-")</f>
        <v>Crossbody Bag Negro Lacado</v>
      </c>
      <c r="G1214" s="11">
        <v>1</v>
      </c>
      <c r="H1214" s="14">
        <v>20</v>
      </c>
      <c r="I1214" s="14">
        <f>VENTAS[[#This Row],[Cantidad]]*VENTAS[[#This Row],[Precio Venta]]</f>
        <v>20</v>
      </c>
      <c r="J1214" s="14">
        <f>IF(VENTAS[[#This Row],[Nombre del Gestor]]&gt;1,VENTAS[[#This Row],[Total]]*10%,0)</f>
        <v>2</v>
      </c>
      <c r="K1214" s="14">
        <f>IFERROR(VLOOKUP(VENTAS[[#This Row],[Código del producto Vendido]],STOCK[],16,FALSE)*VENTAS[[#This Row],[Cantidad]]+VLOOKUP(VENTAS[[#This Row],[Código del producto Vendido]],STOCK[],19,FALSE)*VENTAS[[#This Row],[Cantidad]],VENTAS[[#This Row],[Total]])</f>
        <v>10.79</v>
      </c>
      <c r="L1214" s="14">
        <f>VENTAS[[#This Row],[Total]]-VENTAS[[#This Row],[Comisión 10%]]-VENTAS[[#This Row],[Costo SIN Comision]]</f>
        <v>7.21</v>
      </c>
      <c r="M1214" s="14"/>
    </row>
    <row r="1215" ht="20" hidden="1" customHeight="1" spans="1:13">
      <c r="A1215" s="10">
        <v>45527</v>
      </c>
      <c r="B1215" s="11"/>
      <c r="C1215" s="11" t="s">
        <v>4324</v>
      </c>
      <c r="D1215" s="11" t="s">
        <v>4241</v>
      </c>
      <c r="E1215" s="11" t="s">
        <v>2677</v>
      </c>
      <c r="F1215" s="11" t="str">
        <f>IFERROR(VLOOKUP(VENTAS[[#This Row],[Código del producto Vendido]],STOCK[],5,FALSE),"-")</f>
        <v>Traje de baño clásico en bloque de color de talle alto</v>
      </c>
      <c r="G1215" s="11">
        <v>1</v>
      </c>
      <c r="H1215" s="14">
        <v>28</v>
      </c>
      <c r="I1215" s="14">
        <f>VENTAS[[#This Row],[Cantidad]]*VENTAS[[#This Row],[Precio Venta]]</f>
        <v>28</v>
      </c>
      <c r="J1215" s="14">
        <f>IF(VENTAS[[#This Row],[Nombre del Gestor]]&gt;1,VENTAS[[#This Row],[Total]]*10%,0)</f>
        <v>2.8</v>
      </c>
      <c r="K1215" s="14">
        <f>IFERROR(VLOOKUP(VENTAS[[#This Row],[Código del producto Vendido]],STOCK[],16,FALSE)*VENTAS[[#This Row],[Cantidad]]+VLOOKUP(VENTAS[[#This Row],[Código del producto Vendido]],STOCK[],19,FALSE)*VENTAS[[#This Row],[Cantidad]],VENTAS[[#This Row],[Total]])</f>
        <v>10.4</v>
      </c>
      <c r="L1215" s="14">
        <f>VENTAS[[#This Row],[Total]]-VENTAS[[#This Row],[Comisión 10%]]-VENTAS[[#This Row],[Costo SIN Comision]]</f>
        <v>14.8</v>
      </c>
      <c r="M1215" s="14"/>
    </row>
    <row r="1216" ht="20" hidden="1" customHeight="1" spans="1:13">
      <c r="A1216" s="10">
        <v>45518</v>
      </c>
      <c r="B1216" s="11"/>
      <c r="C1216" s="11" t="s">
        <v>4325</v>
      </c>
      <c r="D1216" s="11" t="s">
        <v>4241</v>
      </c>
      <c r="E1216" s="11" t="s">
        <v>2601</v>
      </c>
      <c r="F1216" s="11" t="str">
        <f>IFERROR(VLOOKUP(VENTAS[[#This Row],[Código del producto Vendido]],STOCK[],5,FALSE),"-")</f>
        <v>Bolso verano de rafia en bloque de color</v>
      </c>
      <c r="G1216" s="11">
        <v>1</v>
      </c>
      <c r="H1216" s="14">
        <v>20</v>
      </c>
      <c r="I1216" s="14">
        <f>VENTAS[[#This Row],[Cantidad]]*VENTAS[[#This Row],[Precio Venta]]</f>
        <v>20</v>
      </c>
      <c r="J1216" s="14">
        <f>IF(VENTAS[[#This Row],[Nombre del Gestor]]&gt;1,VENTAS[[#This Row],[Total]]*10%,0)</f>
        <v>2</v>
      </c>
      <c r="K1216" s="14">
        <f>IFERROR(VLOOKUP(VENTAS[[#This Row],[Código del producto Vendido]],STOCK[],16,FALSE)*VENTAS[[#This Row],[Cantidad]]+VLOOKUP(VENTAS[[#This Row],[Código del producto Vendido]],STOCK[],19,FALSE)*VENTAS[[#This Row],[Cantidad]],VENTAS[[#This Row],[Total]])</f>
        <v>5.96</v>
      </c>
      <c r="L1216" s="14">
        <f>VENTAS[[#This Row],[Total]]-VENTAS[[#This Row],[Comisión 10%]]-VENTAS[[#This Row],[Costo SIN Comision]]</f>
        <v>12.04</v>
      </c>
      <c r="M1216" s="14"/>
    </row>
    <row r="1217" ht="20" hidden="1" customHeight="1" spans="1:13">
      <c r="A1217" s="10">
        <v>45518</v>
      </c>
      <c r="B1217" s="11"/>
      <c r="C1217" s="11" t="s">
        <v>4325</v>
      </c>
      <c r="D1217" s="11" t="s">
        <v>4241</v>
      </c>
      <c r="E1217" s="11" t="s">
        <v>2588</v>
      </c>
      <c r="F1217" s="11" t="str">
        <f>IFERROR(VLOOKUP(VENTAS[[#This Row],[Código del producto Vendido]],STOCK[],5,FALSE),"-")</f>
        <v>Vestido blanco espalda cruzada</v>
      </c>
      <c r="G1217" s="11">
        <v>1</v>
      </c>
      <c r="H1217" s="14">
        <v>30</v>
      </c>
      <c r="I1217" s="14">
        <f>VENTAS[[#This Row],[Cantidad]]*VENTAS[[#This Row],[Precio Venta]]</f>
        <v>30</v>
      </c>
      <c r="J1217" s="14">
        <f>IF(VENTAS[[#This Row],[Nombre del Gestor]]&gt;1,VENTAS[[#This Row],[Total]]*10%,0)</f>
        <v>3</v>
      </c>
      <c r="K1217" s="14">
        <f>IFERROR(VLOOKUP(VENTAS[[#This Row],[Código del producto Vendido]],STOCK[],16,FALSE)*VENTAS[[#This Row],[Cantidad]]+VLOOKUP(VENTAS[[#This Row],[Código del producto Vendido]],STOCK[],19,FALSE)*VENTAS[[#This Row],[Cantidad]],VENTAS[[#This Row],[Total]])</f>
        <v>15.44</v>
      </c>
      <c r="L1217" s="14">
        <f>VENTAS[[#This Row],[Total]]-VENTAS[[#This Row],[Comisión 10%]]-VENTAS[[#This Row],[Costo SIN Comision]]</f>
        <v>11.56</v>
      </c>
      <c r="M1217" s="14"/>
    </row>
    <row r="1218" ht="20" hidden="1" customHeight="1" spans="1:13">
      <c r="A1218" s="10">
        <v>45518</v>
      </c>
      <c r="B1218" s="11"/>
      <c r="C1218" s="11" t="s">
        <v>4325</v>
      </c>
      <c r="D1218" s="11" t="s">
        <v>4241</v>
      </c>
      <c r="E1218" s="11" t="s">
        <v>2585</v>
      </c>
      <c r="F1218" s="11" t="str">
        <f>IFERROR(VLOOKUP(VENTAS[[#This Row],[Código del producto Vendido]],STOCK[],5,FALSE),"-")</f>
        <v>Vestido negro espalda cruzada</v>
      </c>
      <c r="G1218" s="11">
        <v>1</v>
      </c>
      <c r="H1218" s="14">
        <v>30</v>
      </c>
      <c r="I1218" s="14">
        <f>VENTAS[[#This Row],[Cantidad]]*VENTAS[[#This Row],[Precio Venta]]</f>
        <v>30</v>
      </c>
      <c r="J1218" s="14">
        <f>IF(VENTAS[[#This Row],[Nombre del Gestor]]&gt;1,VENTAS[[#This Row],[Total]]*10%,0)</f>
        <v>3</v>
      </c>
      <c r="K1218" s="14">
        <f>IFERROR(VLOOKUP(VENTAS[[#This Row],[Código del producto Vendido]],STOCK[],16,FALSE)*VENTAS[[#This Row],[Cantidad]]+VLOOKUP(VENTAS[[#This Row],[Código del producto Vendido]],STOCK[],19,FALSE)*VENTAS[[#This Row],[Cantidad]],VENTAS[[#This Row],[Total]])</f>
        <v>15.44</v>
      </c>
      <c r="L1218" s="14">
        <f>VENTAS[[#This Row],[Total]]-VENTAS[[#This Row],[Comisión 10%]]-VENTAS[[#This Row],[Costo SIN Comision]]</f>
        <v>11.56</v>
      </c>
      <c r="M1218" s="14"/>
    </row>
    <row r="1219" ht="20" hidden="1" customHeight="1" spans="1:13">
      <c r="A1219" s="10">
        <v>45518</v>
      </c>
      <c r="B1219" s="11"/>
      <c r="C1219" s="11" t="s">
        <v>4325</v>
      </c>
      <c r="D1219" s="11" t="s">
        <v>4241</v>
      </c>
      <c r="E1219" s="11" t="s">
        <v>2317</v>
      </c>
      <c r="F1219" s="11" t="str">
        <f>IFERROR(VLOOKUP(VENTAS[[#This Row],[Código del producto Vendido]],STOCK[],5,FALSE),"-")</f>
        <v>Vestido color block  bohemio</v>
      </c>
      <c r="G1219" s="11">
        <v>1</v>
      </c>
      <c r="H1219" s="14">
        <v>30</v>
      </c>
      <c r="I1219" s="14">
        <f>VENTAS[[#This Row],[Cantidad]]*VENTAS[[#This Row],[Precio Venta]]</f>
        <v>30</v>
      </c>
      <c r="J1219" s="14">
        <f>IF(VENTAS[[#This Row],[Nombre del Gestor]]&gt;1,VENTAS[[#This Row],[Total]]*10%,0)</f>
        <v>3</v>
      </c>
      <c r="K1219" s="14">
        <f>IFERROR(VLOOKUP(VENTAS[[#This Row],[Código del producto Vendido]],STOCK[],16,FALSE)*VENTAS[[#This Row],[Cantidad]]+VLOOKUP(VENTAS[[#This Row],[Código del producto Vendido]],STOCK[],19,FALSE)*VENTAS[[#This Row],[Cantidad]],VENTAS[[#This Row],[Total]])</f>
        <v>14.684375</v>
      </c>
      <c r="L1219" s="14">
        <f>VENTAS[[#This Row],[Total]]-VENTAS[[#This Row],[Comisión 10%]]-VENTAS[[#This Row],[Costo SIN Comision]]</f>
        <v>12.315625</v>
      </c>
      <c r="M1219" s="14"/>
    </row>
    <row r="1220" ht="20" hidden="1" customHeight="1" spans="1:13">
      <c r="A1220" s="10">
        <v>45518</v>
      </c>
      <c r="B1220" s="11"/>
      <c r="C1220" s="11" t="s">
        <v>4325</v>
      </c>
      <c r="D1220" s="11" t="s">
        <v>4241</v>
      </c>
      <c r="E1220" s="11" t="s">
        <v>2459</v>
      </c>
      <c r="F1220" s="11" t="str">
        <f>IFERROR(VLOOKUP(VENTAS[[#This Row],[Código del producto Vendido]],STOCK[],5,FALSE),"-")</f>
        <v>Sandalias prácticas Chunky Negras</v>
      </c>
      <c r="G1220" s="11">
        <v>1</v>
      </c>
      <c r="H1220" s="14">
        <v>35</v>
      </c>
      <c r="I1220" s="14">
        <f>VENTAS[[#This Row],[Cantidad]]*VENTAS[[#This Row],[Precio Venta]]</f>
        <v>35</v>
      </c>
      <c r="J1220" s="14">
        <f>IF(VENTAS[[#This Row],[Nombre del Gestor]]&gt;1,VENTAS[[#This Row],[Total]]*10%,0)</f>
        <v>3.5</v>
      </c>
      <c r="K1220" s="14">
        <f>IFERROR(VLOOKUP(VENTAS[[#This Row],[Código del producto Vendido]],STOCK[],16,FALSE)*VENTAS[[#This Row],[Cantidad]]+VLOOKUP(VENTAS[[#This Row],[Código del producto Vendido]],STOCK[],19,FALSE)*VENTAS[[#This Row],[Cantidad]],VENTAS[[#This Row],[Total]])</f>
        <v>21.97</v>
      </c>
      <c r="L1220" s="14">
        <f>VENTAS[[#This Row],[Total]]-VENTAS[[#This Row],[Comisión 10%]]-VENTAS[[#This Row],[Costo SIN Comision]]</f>
        <v>9.53</v>
      </c>
      <c r="M1220" s="14"/>
    </row>
    <row r="1221" ht="20" hidden="1" customHeight="1" spans="1:13">
      <c r="A1221" s="10">
        <v>45518</v>
      </c>
      <c r="B1221" s="11"/>
      <c r="C1221" s="11" t="s">
        <v>4325</v>
      </c>
      <c r="D1221" s="11" t="s">
        <v>4241</v>
      </c>
      <c r="E1221" s="11" t="s">
        <v>2641</v>
      </c>
      <c r="F1221" s="11" t="str">
        <f>IFERROR(VLOOKUP(VENTAS[[#This Row],[Código del producto Vendido]],STOCK[],5,FALSE),"-")</f>
        <v>Top de punto y cuello elegante negro H&amp;M</v>
      </c>
      <c r="G1221" s="11">
        <v>1</v>
      </c>
      <c r="H1221" s="14">
        <v>20</v>
      </c>
      <c r="I1221" s="14">
        <f>VENTAS[[#This Row],[Cantidad]]*VENTAS[[#This Row],[Precio Venta]]</f>
        <v>20</v>
      </c>
      <c r="J1221" s="14">
        <f>IF(VENTAS[[#This Row],[Nombre del Gestor]]&gt;1,VENTAS[[#This Row],[Total]]*10%,0)</f>
        <v>2</v>
      </c>
      <c r="K1221" s="14">
        <f>IFERROR(VLOOKUP(VENTAS[[#This Row],[Código del producto Vendido]],STOCK[],16,FALSE)*VENTAS[[#This Row],[Cantidad]]+VLOOKUP(VENTAS[[#This Row],[Código del producto Vendido]],STOCK[],19,FALSE)*VENTAS[[#This Row],[Cantidad]],VENTAS[[#This Row],[Total]])</f>
        <v>10.96</v>
      </c>
      <c r="L1221" s="14">
        <f>VENTAS[[#This Row],[Total]]-VENTAS[[#This Row],[Comisión 10%]]-VENTAS[[#This Row],[Costo SIN Comision]]</f>
        <v>7.04</v>
      </c>
      <c r="M1221" s="14"/>
    </row>
    <row r="1222" ht="20" hidden="1" customHeight="1" spans="1:13">
      <c r="A1222" s="10">
        <v>45518</v>
      </c>
      <c r="B1222" s="11"/>
      <c r="C1222" s="11" t="s">
        <v>4325</v>
      </c>
      <c r="D1222" s="11" t="s">
        <v>4241</v>
      </c>
      <c r="E1222" s="11" t="s">
        <v>2643</v>
      </c>
      <c r="F1222" s="11" t="str">
        <f>IFERROR(VLOOKUP(VENTAS[[#This Row],[Código del producto Vendido]],STOCK[],5,FALSE),"-")</f>
        <v>Top de punto y cuello elegante blanco H&amp;M</v>
      </c>
      <c r="G1222" s="11">
        <v>1</v>
      </c>
      <c r="H1222" s="14">
        <v>20</v>
      </c>
      <c r="I1222" s="14">
        <f>VENTAS[[#This Row],[Cantidad]]*VENTAS[[#This Row],[Precio Venta]]</f>
        <v>20</v>
      </c>
      <c r="J1222" s="14">
        <f>IF(VENTAS[[#This Row],[Nombre del Gestor]]&gt;1,VENTAS[[#This Row],[Total]]*10%,0)</f>
        <v>2</v>
      </c>
      <c r="K1222" s="14">
        <f>IFERROR(VLOOKUP(VENTAS[[#This Row],[Código del producto Vendido]],STOCK[],16,FALSE)*VENTAS[[#This Row],[Cantidad]]+VLOOKUP(VENTAS[[#This Row],[Código del producto Vendido]],STOCK[],19,FALSE)*VENTAS[[#This Row],[Cantidad]],VENTAS[[#This Row],[Total]])</f>
        <v>10.96</v>
      </c>
      <c r="L1222" s="14">
        <f>VENTAS[[#This Row],[Total]]-VENTAS[[#This Row],[Comisión 10%]]-VENTAS[[#This Row],[Costo SIN Comision]]</f>
        <v>7.04</v>
      </c>
      <c r="M1222" s="14"/>
    </row>
    <row r="1223" ht="20" hidden="1" customHeight="1" spans="1:13">
      <c r="A1223" s="10">
        <v>45518</v>
      </c>
      <c r="B1223" s="11"/>
      <c r="C1223" s="11" t="s">
        <v>4326</v>
      </c>
      <c r="D1223" s="11"/>
      <c r="E1223" s="11" t="s">
        <v>2645</v>
      </c>
      <c r="F1223" s="11" t="str">
        <f>IFERROR(VLOOKUP(VENTAS[[#This Row],[Código del producto Vendido]],STOCK[],5,FALSE),"-")</f>
        <v>Top de punto y cuello elegante blanco H&amp;M</v>
      </c>
      <c r="G1223" s="11">
        <v>1</v>
      </c>
      <c r="H1223" s="14">
        <v>0</v>
      </c>
      <c r="I1223" s="14">
        <f>VENTAS[[#This Row],[Cantidad]]*VENTAS[[#This Row],[Precio Venta]]</f>
        <v>0</v>
      </c>
      <c r="J1223" s="14">
        <f>IF(VENTAS[[#This Row],[Nombre del Gestor]]&gt;1,VENTAS[[#This Row],[Total]]*10%,0)</f>
        <v>0</v>
      </c>
      <c r="K1223" s="14">
        <f>IFERROR(VLOOKUP(VENTAS[[#This Row],[Código del producto Vendido]],STOCK[],16,FALSE)*VENTAS[[#This Row],[Cantidad]]+VLOOKUP(VENTAS[[#This Row],[Código del producto Vendido]],STOCK[],19,FALSE)*VENTAS[[#This Row],[Cantidad]],VENTAS[[#This Row],[Total]])</f>
        <v>10.96</v>
      </c>
      <c r="L1223" s="14">
        <f>VENTAS[[#This Row],[Total]]-VENTAS[[#This Row],[Comisión 10%]]-VENTAS[[#This Row],[Costo SIN Comision]]</f>
        <v>-10.96</v>
      </c>
      <c r="M1223" s="14"/>
    </row>
    <row r="1224" ht="20" hidden="1" customHeight="1" spans="1:13">
      <c r="A1224" s="10">
        <v>45512</v>
      </c>
      <c r="B1224" s="11"/>
      <c r="C1224" s="11" t="s">
        <v>4327</v>
      </c>
      <c r="D1224" s="11" t="s">
        <v>4300</v>
      </c>
      <c r="E1224" s="11" t="s">
        <v>2463</v>
      </c>
      <c r="F1224" s="11" t="str">
        <f>IFERROR(VLOOKUP(VENTAS[[#This Row],[Código del producto Vendido]],STOCK[],5,FALSE),"-")</f>
        <v>Sandalias de plataforma en bloque de color</v>
      </c>
      <c r="G1224" s="11">
        <v>1</v>
      </c>
      <c r="H1224" s="14">
        <v>35</v>
      </c>
      <c r="I1224" s="14">
        <f>VENTAS[[#This Row],[Cantidad]]*VENTAS[[#This Row],[Precio Venta]]</f>
        <v>35</v>
      </c>
      <c r="J1224" s="14">
        <f>IF(VENTAS[[#This Row],[Nombre del Gestor]]&gt;1,VENTAS[[#This Row],[Total]]*10%,0)</f>
        <v>3.5</v>
      </c>
      <c r="K1224" s="14">
        <f>IFERROR(VLOOKUP(VENTAS[[#This Row],[Código del producto Vendido]],STOCK[],16,FALSE)*VENTAS[[#This Row],[Cantidad]]+VLOOKUP(VENTAS[[#This Row],[Código del producto Vendido]],STOCK[],19,FALSE)*VENTAS[[#This Row],[Cantidad]],VENTAS[[#This Row],[Total]])</f>
        <v>21.97</v>
      </c>
      <c r="L1224" s="14">
        <f>VENTAS[[#This Row],[Total]]-VENTAS[[#This Row],[Comisión 10%]]-VENTAS[[#This Row],[Costo SIN Comision]]</f>
        <v>9.53</v>
      </c>
      <c r="M1224" s="14"/>
    </row>
    <row r="1225" ht="20" hidden="1" customHeight="1" spans="1:13">
      <c r="A1225" s="10">
        <v>45518</v>
      </c>
      <c r="B1225" s="11"/>
      <c r="C1225" s="11" t="s">
        <v>4320</v>
      </c>
      <c r="D1225" s="11" t="s">
        <v>4300</v>
      </c>
      <c r="E1225" s="11" t="s">
        <v>2501</v>
      </c>
      <c r="F1225" s="11" t="str">
        <f>IFERROR(VLOOKUP(VENTAS[[#This Row],[Código del producto Vendido]],STOCK[],5,FALSE),"-")</f>
        <v>Bolso de playa con diseño de rayas tamaño mediano</v>
      </c>
      <c r="G1225" s="11">
        <v>1</v>
      </c>
      <c r="H1225" s="14">
        <v>22</v>
      </c>
      <c r="I1225" s="14">
        <f>VENTAS[[#This Row],[Cantidad]]*VENTAS[[#This Row],[Precio Venta]]</f>
        <v>22</v>
      </c>
      <c r="J1225" s="14">
        <f>IF(VENTAS[[#This Row],[Nombre del Gestor]]&gt;1,VENTAS[[#This Row],[Total]]*10%,0)</f>
        <v>2.2</v>
      </c>
      <c r="K1225" s="14">
        <f>IFERROR(VLOOKUP(VENTAS[[#This Row],[Código del producto Vendido]],STOCK[],16,FALSE)*VENTAS[[#This Row],[Cantidad]]+VLOOKUP(VENTAS[[#This Row],[Código del producto Vendido]],STOCK[],19,FALSE)*VENTAS[[#This Row],[Cantidad]],VENTAS[[#This Row],[Total]])</f>
        <v>11.3</v>
      </c>
      <c r="L1225" s="14">
        <f>VENTAS[[#This Row],[Total]]-VENTAS[[#This Row],[Comisión 10%]]-VENTAS[[#This Row],[Costo SIN Comision]]</f>
        <v>8.5</v>
      </c>
      <c r="M1225" s="14"/>
    </row>
    <row r="1226" ht="20" hidden="1" customHeight="1" spans="1:13">
      <c r="A1226" s="10">
        <v>45520</v>
      </c>
      <c r="B1226" s="11"/>
      <c r="C1226" s="11" t="s">
        <v>4328</v>
      </c>
      <c r="D1226" s="11" t="s">
        <v>4300</v>
      </c>
      <c r="E1226" s="11" t="s">
        <v>2530</v>
      </c>
      <c r="F1226" s="11" t="str">
        <f>IFERROR(VLOOKUP(VENTAS[[#This Row],[Código del producto Vendido]],STOCK[],5,FALSE),"-")</f>
        <v>Blusa de lazos color negro</v>
      </c>
      <c r="G1226" s="11">
        <v>1</v>
      </c>
      <c r="H1226" s="14">
        <v>18</v>
      </c>
      <c r="I1226" s="14">
        <f>VENTAS[[#This Row],[Cantidad]]*VENTAS[[#This Row],[Precio Venta]]</f>
        <v>18</v>
      </c>
      <c r="J1226" s="14">
        <f>IF(VENTAS[[#This Row],[Nombre del Gestor]]&gt;1,VENTAS[[#This Row],[Total]]*10%,0)</f>
        <v>1.8</v>
      </c>
      <c r="K1226" s="14">
        <f>IFERROR(VLOOKUP(VENTAS[[#This Row],[Código del producto Vendido]],STOCK[],16,FALSE)*VENTAS[[#This Row],[Cantidad]]+VLOOKUP(VENTAS[[#This Row],[Código del producto Vendido]],STOCK[],19,FALSE)*VENTAS[[#This Row],[Cantidad]],VENTAS[[#This Row],[Total]])</f>
        <v>10.22</v>
      </c>
      <c r="L1226" s="14">
        <f>VENTAS[[#This Row],[Total]]-VENTAS[[#This Row],[Comisión 10%]]-VENTAS[[#This Row],[Costo SIN Comision]]</f>
        <v>5.98</v>
      </c>
      <c r="M1226" s="14"/>
    </row>
    <row r="1227" ht="20" hidden="1" customHeight="1" spans="1:13">
      <c r="A1227" s="10">
        <v>45520</v>
      </c>
      <c r="B1227" s="11"/>
      <c r="C1227" s="11" t="s">
        <v>4329</v>
      </c>
      <c r="D1227" s="11" t="s">
        <v>4300</v>
      </c>
      <c r="E1227" s="11" t="s">
        <v>2465</v>
      </c>
      <c r="F1227" s="11" t="str">
        <f>IFERROR(VLOOKUP(VENTAS[[#This Row],[Código del producto Vendido]],STOCK[],5,FALSE),"-")</f>
        <v>Sandalias de plataforma en bloque de color</v>
      </c>
      <c r="G1227" s="11">
        <v>1</v>
      </c>
      <c r="H1227" s="14">
        <v>35</v>
      </c>
      <c r="I1227" s="14">
        <f>VENTAS[[#This Row],[Cantidad]]*VENTAS[[#This Row],[Precio Venta]]</f>
        <v>35</v>
      </c>
      <c r="J1227" s="14">
        <f>IF(VENTAS[[#This Row],[Nombre del Gestor]]&gt;1,VENTAS[[#This Row],[Total]]*10%,0)</f>
        <v>3.5</v>
      </c>
      <c r="K1227" s="14">
        <f>IFERROR(VLOOKUP(VENTAS[[#This Row],[Código del producto Vendido]],STOCK[],16,FALSE)*VENTAS[[#This Row],[Cantidad]]+VLOOKUP(VENTAS[[#This Row],[Código del producto Vendido]],STOCK[],19,FALSE)*VENTAS[[#This Row],[Cantidad]],VENTAS[[#This Row],[Total]])</f>
        <v>21.97</v>
      </c>
      <c r="L1227" s="14">
        <f>VENTAS[[#This Row],[Total]]-VENTAS[[#This Row],[Comisión 10%]]-VENTAS[[#This Row],[Costo SIN Comision]]</f>
        <v>9.53</v>
      </c>
      <c r="M1227" s="14"/>
    </row>
    <row r="1228" ht="20" hidden="1" customHeight="1" spans="1:13">
      <c r="A1228" s="10">
        <v>45520</v>
      </c>
      <c r="B1228" s="11"/>
      <c r="C1228" s="11" t="s">
        <v>4330</v>
      </c>
      <c r="D1228" s="11" t="s">
        <v>4300</v>
      </c>
      <c r="E1228" s="11" t="s">
        <v>2677</v>
      </c>
      <c r="F1228" s="11" t="str">
        <f>IFERROR(VLOOKUP(VENTAS[[#This Row],[Código del producto Vendido]],STOCK[],5,FALSE),"-")</f>
        <v>Traje de baño clásico en bloque de color de talle alto</v>
      </c>
      <c r="G1228" s="11">
        <v>1</v>
      </c>
      <c r="H1228" s="14">
        <v>28</v>
      </c>
      <c r="I1228" s="14">
        <f>VENTAS[[#This Row],[Cantidad]]*VENTAS[[#This Row],[Precio Venta]]</f>
        <v>28</v>
      </c>
      <c r="J1228" s="14">
        <f>IF(VENTAS[[#This Row],[Nombre del Gestor]]&gt;1,VENTAS[[#This Row],[Total]]*10%,0)</f>
        <v>2.8</v>
      </c>
      <c r="K1228" s="14">
        <f>IFERROR(VLOOKUP(VENTAS[[#This Row],[Código del producto Vendido]],STOCK[],16,FALSE)*VENTAS[[#This Row],[Cantidad]]+VLOOKUP(VENTAS[[#This Row],[Código del producto Vendido]],STOCK[],19,FALSE)*VENTAS[[#This Row],[Cantidad]],VENTAS[[#This Row],[Total]])</f>
        <v>10.4</v>
      </c>
      <c r="L1228" s="14">
        <f>VENTAS[[#This Row],[Total]]-VENTAS[[#This Row],[Comisión 10%]]-VENTAS[[#This Row],[Costo SIN Comision]]</f>
        <v>14.8</v>
      </c>
      <c r="M1228" s="14"/>
    </row>
    <row r="1229" ht="20" hidden="1" customHeight="1" spans="1:13">
      <c r="A1229" s="10">
        <v>45521</v>
      </c>
      <c r="B1229" s="11"/>
      <c r="C1229" s="11" t="s">
        <v>4315</v>
      </c>
      <c r="D1229" s="11" t="s">
        <v>4300</v>
      </c>
      <c r="E1229" s="11" t="s">
        <v>1841</v>
      </c>
      <c r="F1229" s="11" t="str">
        <f>IFERROR(VLOOKUP(VENTAS[[#This Row],[Código del producto Vendido]],STOCK[],5,FALSE),"-")</f>
        <v>Maxi Vestido Bodycon </v>
      </c>
      <c r="G1229" s="11">
        <v>1</v>
      </c>
      <c r="H1229" s="14">
        <v>20</v>
      </c>
      <c r="I1229" s="14">
        <f>VENTAS[[#This Row],[Cantidad]]*VENTAS[[#This Row],[Precio Venta]]</f>
        <v>20</v>
      </c>
      <c r="J1229" s="14">
        <f>IF(VENTAS[[#This Row],[Nombre del Gestor]]&gt;1,VENTAS[[#This Row],[Total]]*10%,0)</f>
        <v>2</v>
      </c>
      <c r="K1229" s="14">
        <f>IFERROR(VLOOKUP(VENTAS[[#This Row],[Código del producto Vendido]],STOCK[],16,FALSE)*VENTAS[[#This Row],[Cantidad]]+VLOOKUP(VENTAS[[#This Row],[Código del producto Vendido]],STOCK[],19,FALSE)*VENTAS[[#This Row],[Cantidad]],VENTAS[[#This Row],[Total]])</f>
        <v>11.79</v>
      </c>
      <c r="L1229" s="14">
        <f>VENTAS[[#This Row],[Total]]-VENTAS[[#This Row],[Comisión 10%]]-VENTAS[[#This Row],[Costo SIN Comision]]</f>
        <v>6.21</v>
      </c>
      <c r="M1229" s="14"/>
    </row>
    <row r="1230" ht="20" hidden="1" customHeight="1" spans="1:13">
      <c r="A1230" s="10">
        <v>45521</v>
      </c>
      <c r="B1230" s="11"/>
      <c r="C1230" s="11" t="s">
        <v>4315</v>
      </c>
      <c r="D1230" s="11" t="s">
        <v>4300</v>
      </c>
      <c r="E1230" s="11" t="s">
        <v>1039</v>
      </c>
      <c r="F1230" s="11" t="str">
        <f>IFERROR(VLOOKUP(VENTAS[[#This Row],[Código del producto Vendido]],STOCK[],5,FALSE),"-")</f>
        <v>Falda plisada</v>
      </c>
      <c r="G1230" s="11">
        <v>1</v>
      </c>
      <c r="H1230" s="14">
        <v>25</v>
      </c>
      <c r="I1230" s="14">
        <f>VENTAS[[#This Row],[Cantidad]]*VENTAS[[#This Row],[Precio Venta]]</f>
        <v>25</v>
      </c>
      <c r="J1230" s="14">
        <f>IF(VENTAS[[#This Row],[Nombre del Gestor]]&gt;1,VENTAS[[#This Row],[Total]]*10%,0)</f>
        <v>2.5</v>
      </c>
      <c r="K1230" s="14">
        <f>IFERROR(VLOOKUP(VENTAS[[#This Row],[Código del producto Vendido]],STOCK[],16,FALSE)*VENTAS[[#This Row],[Cantidad]]+VLOOKUP(VENTAS[[#This Row],[Código del producto Vendido]],STOCK[],19,FALSE)*VENTAS[[#This Row],[Cantidad]],VENTAS[[#This Row],[Total]])</f>
        <v>14.625</v>
      </c>
      <c r="L1230" s="14">
        <f>VENTAS[[#This Row],[Total]]-VENTAS[[#This Row],[Comisión 10%]]-VENTAS[[#This Row],[Costo SIN Comision]]</f>
        <v>7.875</v>
      </c>
      <c r="M1230" s="14"/>
    </row>
    <row r="1231" ht="20" hidden="1" customHeight="1" spans="1:13">
      <c r="A1231" s="10">
        <v>45528</v>
      </c>
      <c r="B1231" s="11"/>
      <c r="C1231" s="11" t="s">
        <v>4331</v>
      </c>
      <c r="D1231" s="11" t="s">
        <v>4300</v>
      </c>
      <c r="E1231" s="11" t="s">
        <v>1126</v>
      </c>
      <c r="F1231" s="11" t="str">
        <f>IFERROR(VLOOKUP(VENTAS[[#This Row],[Código del producto Vendido]],STOCK[],5,FALSE),"-")</f>
        <v>Blusa elegante de cuello negro</v>
      </c>
      <c r="G1231" s="11">
        <v>1</v>
      </c>
      <c r="H1231" s="14">
        <v>15</v>
      </c>
      <c r="I1231" s="14">
        <f>VENTAS[[#This Row],[Cantidad]]*VENTAS[[#This Row],[Precio Venta]]</f>
        <v>15</v>
      </c>
      <c r="J1231" s="14">
        <f>IF(VENTAS[[#This Row],[Nombre del Gestor]]&gt;1,VENTAS[[#This Row],[Total]]*10%,0)</f>
        <v>1.5</v>
      </c>
      <c r="K1231" s="14">
        <f>IFERROR(VLOOKUP(VENTAS[[#This Row],[Código del producto Vendido]],STOCK[],16,FALSE)*VENTAS[[#This Row],[Cantidad]]+VLOOKUP(VENTAS[[#This Row],[Código del producto Vendido]],STOCK[],19,FALSE)*VENTAS[[#This Row],[Cantidad]],VENTAS[[#This Row],[Total]])</f>
        <v>12.0941176470588</v>
      </c>
      <c r="L1231" s="14">
        <f>VENTAS[[#This Row],[Total]]-VENTAS[[#This Row],[Comisión 10%]]-VENTAS[[#This Row],[Costo SIN Comision]]</f>
        <v>1.40588235294118</v>
      </c>
      <c r="M1231" s="14"/>
    </row>
    <row r="1232" ht="20" hidden="1" customHeight="1" spans="1:13">
      <c r="A1232" s="10">
        <v>45528</v>
      </c>
      <c r="B1232" s="11"/>
      <c r="C1232" s="11" t="s">
        <v>4331</v>
      </c>
      <c r="D1232" s="11" t="s">
        <v>4300</v>
      </c>
      <c r="E1232" s="11" t="s">
        <v>185</v>
      </c>
      <c r="F1232" s="11" t="str">
        <f>IFERROR(VLOOKUP(VENTAS[[#This Row],[Código del producto Vendido]],STOCK[],5,FALSE),"-")</f>
        <v>Blusa espalda cruzada color rosa</v>
      </c>
      <c r="G1232" s="11">
        <v>1</v>
      </c>
      <c r="H1232" s="14">
        <v>12</v>
      </c>
      <c r="I1232" s="14">
        <f>VENTAS[[#This Row],[Cantidad]]*VENTAS[[#This Row],[Precio Venta]]</f>
        <v>12</v>
      </c>
      <c r="J1232" s="14">
        <f>IF(VENTAS[[#This Row],[Nombre del Gestor]]&gt;1,VENTAS[[#This Row],[Total]]*10%,0)</f>
        <v>1.2</v>
      </c>
      <c r="K1232" s="14">
        <f>IFERROR(VLOOKUP(VENTAS[[#This Row],[Código del producto Vendido]],STOCK[],16,FALSE)*VENTAS[[#This Row],[Cantidad]]+VLOOKUP(VENTAS[[#This Row],[Código del producto Vendido]],STOCK[],19,FALSE)*VENTAS[[#This Row],[Cantidad]],VENTAS[[#This Row],[Total]])</f>
        <v>8.65777777777778</v>
      </c>
      <c r="L1232" s="14">
        <f>VENTAS[[#This Row],[Total]]-VENTAS[[#This Row],[Comisión 10%]]-VENTAS[[#This Row],[Costo SIN Comision]]</f>
        <v>2.14222222222222</v>
      </c>
      <c r="M1232" s="14"/>
    </row>
    <row r="1233" ht="20" hidden="1" customHeight="1" spans="1:13">
      <c r="A1233" s="10">
        <v>45528</v>
      </c>
      <c r="B1233" s="11"/>
      <c r="C1233" s="11" t="s">
        <v>4332</v>
      </c>
      <c r="D1233" s="11" t="s">
        <v>4241</v>
      </c>
      <c r="E1233" s="11" t="s">
        <v>913</v>
      </c>
      <c r="F1233" s="11" t="str">
        <f>IFERROR(VLOOKUP(VENTAS[[#This Row],[Código del producto Vendido]],STOCK[],5,FALSE),"-")</f>
        <v>Bañador de pierna alta</v>
      </c>
      <c r="G1233" s="11">
        <v>1</v>
      </c>
      <c r="H1233" s="14">
        <v>25</v>
      </c>
      <c r="I1233" s="14">
        <f>VENTAS[[#This Row],[Cantidad]]*VENTAS[[#This Row],[Precio Venta]]</f>
        <v>25</v>
      </c>
      <c r="J1233" s="14">
        <f>IF(VENTAS[[#This Row],[Nombre del Gestor]]&gt;1,VENTAS[[#This Row],[Total]]*10%,0)</f>
        <v>2.5</v>
      </c>
      <c r="K1233" s="14">
        <f>IFERROR(VLOOKUP(VENTAS[[#This Row],[Código del producto Vendido]],STOCK[],16,FALSE)*VENTAS[[#This Row],[Cantidad]]+VLOOKUP(VENTAS[[#This Row],[Código del producto Vendido]],STOCK[],19,FALSE)*VENTAS[[#This Row],[Cantidad]],VENTAS[[#This Row],[Total]])</f>
        <v>15.8931818181818</v>
      </c>
      <c r="L1233" s="14">
        <f>VENTAS[[#This Row],[Total]]-VENTAS[[#This Row],[Comisión 10%]]-VENTAS[[#This Row],[Costo SIN Comision]]</f>
        <v>6.60681818181818</v>
      </c>
      <c r="M1233" s="14"/>
    </row>
    <row r="1234" ht="20" hidden="1" customHeight="1" spans="1:13">
      <c r="A1234" s="10">
        <v>45527</v>
      </c>
      <c r="B1234" s="11"/>
      <c r="C1234" s="11" t="s">
        <v>4333</v>
      </c>
      <c r="D1234" s="11"/>
      <c r="E1234" s="11" t="s">
        <v>1115</v>
      </c>
      <c r="F1234" s="11" t="str">
        <f>IFERROR(VLOOKUP(VENTAS[[#This Row],[Código del producto Vendido]],STOCK[],5,FALSE),"-")</f>
        <v>Set de lencería </v>
      </c>
      <c r="G1234" s="11">
        <v>1</v>
      </c>
      <c r="H1234" s="14">
        <v>0</v>
      </c>
      <c r="I1234" s="14">
        <f>VENTAS[[#This Row],[Cantidad]]*VENTAS[[#This Row],[Precio Venta]]</f>
        <v>0</v>
      </c>
      <c r="J1234" s="14">
        <f>IF(VENTAS[[#This Row],[Nombre del Gestor]]&gt;1,VENTAS[[#This Row],[Total]]*10%,0)</f>
        <v>0</v>
      </c>
      <c r="K1234" s="14">
        <f>IFERROR(VLOOKUP(VENTAS[[#This Row],[Código del producto Vendido]],STOCK[],16,FALSE)*VENTAS[[#This Row],[Cantidad]]+VLOOKUP(VENTAS[[#This Row],[Código del producto Vendido]],STOCK[],19,FALSE)*VENTAS[[#This Row],[Cantidad]],VENTAS[[#This Row],[Total]])</f>
        <v>6.43014705882353</v>
      </c>
      <c r="L1234" s="14">
        <f>VENTAS[[#This Row],[Total]]-VENTAS[[#This Row],[Comisión 10%]]-VENTAS[[#This Row],[Costo SIN Comision]]</f>
        <v>-6.43014705882353</v>
      </c>
      <c r="M1234" s="14"/>
    </row>
    <row r="1235" ht="20" hidden="1" customHeight="1" spans="1:13">
      <c r="A1235" s="10">
        <v>45527</v>
      </c>
      <c r="B1235" s="11"/>
      <c r="C1235" s="11" t="s">
        <v>4238</v>
      </c>
      <c r="D1235" s="11"/>
      <c r="E1235" s="11" t="s">
        <v>1233</v>
      </c>
      <c r="F1235" s="11" t="str">
        <f>IFERROR(VLOOKUP(VENTAS[[#This Row],[Código del producto Vendido]],STOCK[],5,FALSE),"-")</f>
        <v>Short elegante de pierna ancha con doblez </v>
      </c>
      <c r="G1235" s="11">
        <v>1</v>
      </c>
      <c r="H1235" s="14">
        <v>15</v>
      </c>
      <c r="I1235" s="14">
        <f>VENTAS[[#This Row],[Cantidad]]*VENTAS[[#This Row],[Precio Venta]]</f>
        <v>15</v>
      </c>
      <c r="J1235" s="14">
        <f>IF(VENTAS[[#This Row],[Nombre del Gestor]]&gt;1,VENTAS[[#This Row],[Total]]*10%,0)</f>
        <v>0</v>
      </c>
      <c r="K1235" s="14">
        <f>IFERROR(VLOOKUP(VENTAS[[#This Row],[Código del producto Vendido]],STOCK[],16,FALSE)*VENTAS[[#This Row],[Cantidad]]+VLOOKUP(VENTAS[[#This Row],[Código del producto Vendido]],STOCK[],19,FALSE)*VENTAS[[#This Row],[Cantidad]],VENTAS[[#This Row],[Total]])</f>
        <v>14.37</v>
      </c>
      <c r="L1235" s="14">
        <f>VENTAS[[#This Row],[Total]]-VENTAS[[#This Row],[Comisión 10%]]-VENTAS[[#This Row],[Costo SIN Comision]]</f>
        <v>0.630000000000001</v>
      </c>
      <c r="M1235" s="14"/>
    </row>
    <row r="1236" ht="20" hidden="1" customHeight="1" spans="1:13">
      <c r="A1236" s="10">
        <v>45527</v>
      </c>
      <c r="B1236" s="11"/>
      <c r="C1236" s="11" t="s">
        <v>4334</v>
      </c>
      <c r="D1236" s="11"/>
      <c r="E1236" s="11" t="s">
        <v>1466</v>
      </c>
      <c r="F1236" s="11" t="str">
        <f>IFERROR(VLOOKUP(VENTAS[[#This Row],[Código del producto Vendido]],STOCK[],5,FALSE),"-")</f>
        <v>Bermuda negra denim</v>
      </c>
      <c r="G1236" s="11">
        <v>1</v>
      </c>
      <c r="H1236" s="14">
        <v>20</v>
      </c>
      <c r="I1236" s="14">
        <f>VENTAS[[#This Row],[Cantidad]]*VENTAS[[#This Row],[Precio Venta]]</f>
        <v>20</v>
      </c>
      <c r="J1236" s="14">
        <f>IF(VENTAS[[#This Row],[Nombre del Gestor]]&gt;1,VENTAS[[#This Row],[Total]]*10%,0)</f>
        <v>0</v>
      </c>
      <c r="K1236" s="14">
        <f>IFERROR(VLOOKUP(VENTAS[[#This Row],[Código del producto Vendido]],STOCK[],16,FALSE)*VENTAS[[#This Row],[Cantidad]]+VLOOKUP(VENTAS[[#This Row],[Código del producto Vendido]],STOCK[],19,FALSE)*VENTAS[[#This Row],[Cantidad]],VENTAS[[#This Row],[Total]])</f>
        <v>17</v>
      </c>
      <c r="L1236" s="14">
        <f>VENTAS[[#This Row],[Total]]-VENTAS[[#This Row],[Comisión 10%]]-VENTAS[[#This Row],[Costo SIN Comision]]</f>
        <v>3</v>
      </c>
      <c r="M1236" s="14"/>
    </row>
    <row r="1237" ht="20" hidden="1" customHeight="1" spans="1:13">
      <c r="A1237" s="10">
        <v>45527</v>
      </c>
      <c r="B1237" s="11"/>
      <c r="C1237" s="11"/>
      <c r="D1237" s="11" t="s">
        <v>4216</v>
      </c>
      <c r="E1237" s="11" t="s">
        <v>1499</v>
      </c>
      <c r="F1237" s="11" t="str">
        <f>IFERROR(VLOOKUP(VENTAS[[#This Row],[Código del producto Vendido]],STOCK[],5,FALSE),"-")</f>
        <v>Pullover Dazy cuello redondo Negro</v>
      </c>
      <c r="G1237" s="11">
        <v>1</v>
      </c>
      <c r="H1237" s="14">
        <v>13</v>
      </c>
      <c r="I1237" s="14">
        <f>VENTAS[[#This Row],[Cantidad]]*VENTAS[[#This Row],[Precio Venta]]</f>
        <v>13</v>
      </c>
      <c r="J1237" s="14">
        <f>IF(VENTAS[[#This Row],[Nombre del Gestor]]&gt;1,VENTAS[[#This Row],[Total]]*10%,0)</f>
        <v>1.3</v>
      </c>
      <c r="K1237" s="14">
        <f>IFERROR(VLOOKUP(VENTAS[[#This Row],[Código del producto Vendido]],STOCK[],16,FALSE)*VENTAS[[#This Row],[Cantidad]]+VLOOKUP(VENTAS[[#This Row],[Código del producto Vendido]],STOCK[],19,FALSE)*VENTAS[[#This Row],[Cantidad]],VENTAS[[#This Row],[Total]])</f>
        <v>7.5</v>
      </c>
      <c r="L1237" s="14">
        <f>VENTAS[[#This Row],[Total]]-VENTAS[[#This Row],[Comisión 10%]]-VENTAS[[#This Row],[Costo SIN Comision]]</f>
        <v>4.2</v>
      </c>
      <c r="M1237" s="14"/>
    </row>
    <row r="1238" ht="20" hidden="1" customHeight="1" spans="1:13">
      <c r="A1238" s="10">
        <v>45527</v>
      </c>
      <c r="B1238" s="11"/>
      <c r="C1238" s="11" t="s">
        <v>4298</v>
      </c>
      <c r="D1238" s="11"/>
      <c r="E1238" s="11" t="s">
        <v>1813</v>
      </c>
      <c r="F1238" s="11" t="str">
        <f>IFERROR(VLOOKUP(VENTAS[[#This Row],[Código del producto Vendido]],STOCK[],5,FALSE),"-")</f>
        <v>Vestido chaleco blazer </v>
      </c>
      <c r="G1238" s="11">
        <v>1</v>
      </c>
      <c r="H1238" s="14">
        <v>35</v>
      </c>
      <c r="I1238" s="14">
        <f>VENTAS[[#This Row],[Cantidad]]*VENTAS[[#This Row],[Precio Venta]]</f>
        <v>35</v>
      </c>
      <c r="J1238" s="14">
        <f>IF(VENTAS[[#This Row],[Nombre del Gestor]]&gt;1,VENTAS[[#This Row],[Total]]*10%,0)</f>
        <v>0</v>
      </c>
      <c r="K1238" s="14">
        <f>IFERROR(VLOOKUP(VENTAS[[#This Row],[Código del producto Vendido]],STOCK[],16,FALSE)*VENTAS[[#This Row],[Cantidad]]+VLOOKUP(VENTAS[[#This Row],[Código del producto Vendido]],STOCK[],19,FALSE)*VENTAS[[#This Row],[Cantidad]],VENTAS[[#This Row],[Total]])</f>
        <v>22.9411764705882</v>
      </c>
      <c r="L1238" s="14">
        <f>VENTAS[[#This Row],[Total]]-VENTAS[[#This Row],[Comisión 10%]]-VENTAS[[#This Row],[Costo SIN Comision]]</f>
        <v>12.0588235294118</v>
      </c>
      <c r="M1238" s="14"/>
    </row>
    <row r="1239" ht="20" hidden="1" customHeight="1" spans="1:13">
      <c r="A1239" s="10">
        <v>45508</v>
      </c>
      <c r="B1239" s="11"/>
      <c r="C1239" s="11" t="s">
        <v>4335</v>
      </c>
      <c r="D1239" s="11" t="s">
        <v>4266</v>
      </c>
      <c r="E1239" s="11" t="s">
        <v>1756</v>
      </c>
      <c r="F1239" s="11" t="str">
        <f>IFERROR(VLOOKUP(VENTAS[[#This Row],[Código del producto Vendido]],STOCK[],5,FALSE),"-")</f>
        <v>Zapatillas blanco casual</v>
      </c>
      <c r="G1239" s="11">
        <v>1</v>
      </c>
      <c r="H1239" s="14">
        <v>32</v>
      </c>
      <c r="I1239" s="14">
        <f>VENTAS[[#This Row],[Cantidad]]*VENTAS[[#This Row],[Precio Venta]]</f>
        <v>32</v>
      </c>
      <c r="J1239" s="14">
        <f>IF(VENTAS[[#This Row],[Nombre del Gestor]]&gt;1,VENTAS[[#This Row],[Total]]*10%,0)</f>
        <v>3.2</v>
      </c>
      <c r="K1239" s="14">
        <f>IFERROR(VLOOKUP(VENTAS[[#This Row],[Código del producto Vendido]],STOCK[],16,FALSE)*VENTAS[[#This Row],[Cantidad]]+VLOOKUP(VENTAS[[#This Row],[Código del producto Vendido]],STOCK[],19,FALSE)*VENTAS[[#This Row],[Cantidad]],VENTAS[[#This Row],[Total]])</f>
        <v>24.4705882352941</v>
      </c>
      <c r="L1239" s="14">
        <f>VENTAS[[#This Row],[Total]]-VENTAS[[#This Row],[Comisión 10%]]-VENTAS[[#This Row],[Costo SIN Comision]]</f>
        <v>4.3294117647059</v>
      </c>
      <c r="M1239" s="14"/>
    </row>
    <row r="1240" ht="20" hidden="1" customHeight="1" spans="1:13">
      <c r="A1240" s="10">
        <v>45508</v>
      </c>
      <c r="B1240" s="11"/>
      <c r="C1240" s="11" t="s">
        <v>4336</v>
      </c>
      <c r="D1240" s="11" t="s">
        <v>4266</v>
      </c>
      <c r="E1240" s="11" t="s">
        <v>2448</v>
      </c>
      <c r="F1240" s="11" t="str">
        <f>IFERROR(VLOOKUP(VENTAS[[#This Row],[Código del producto Vendido]],STOCK[],5,FALSE),"-")</f>
        <v>Sandalias carmelitas de moda con correa de velcro</v>
      </c>
      <c r="G1240" s="11">
        <v>1</v>
      </c>
      <c r="H1240" s="14">
        <v>35</v>
      </c>
      <c r="I1240" s="14">
        <f>VENTAS[[#This Row],[Cantidad]]*VENTAS[[#This Row],[Precio Venta]]</f>
        <v>35</v>
      </c>
      <c r="J1240" s="14">
        <f>IF(VENTAS[[#This Row],[Nombre del Gestor]]&gt;1,VENTAS[[#This Row],[Total]]*10%,0)</f>
        <v>3.5</v>
      </c>
      <c r="K1240" s="14">
        <f>IFERROR(VLOOKUP(VENTAS[[#This Row],[Código del producto Vendido]],STOCK[],16,FALSE)*VENTAS[[#This Row],[Cantidad]]+VLOOKUP(VENTAS[[#This Row],[Código del producto Vendido]],STOCK[],19,FALSE)*VENTAS[[#This Row],[Cantidad]],VENTAS[[#This Row],[Total]])</f>
        <v>19.47</v>
      </c>
      <c r="L1240" s="14">
        <f>VENTAS[[#This Row],[Total]]-VENTAS[[#This Row],[Comisión 10%]]-VENTAS[[#This Row],[Costo SIN Comision]]</f>
        <v>12.03</v>
      </c>
      <c r="M1240" s="14"/>
    </row>
    <row r="1241" ht="20" hidden="1" customHeight="1" spans="1:13">
      <c r="A1241" s="10">
        <v>45509</v>
      </c>
      <c r="B1241" s="11"/>
      <c r="C1241" s="11" t="s">
        <v>4337</v>
      </c>
      <c r="D1241" s="11" t="s">
        <v>4266</v>
      </c>
      <c r="E1241" s="11" t="s">
        <v>605</v>
      </c>
      <c r="F1241" s="11" t="str">
        <f>IFERROR(VLOOKUP(VENTAS[[#This Row],[Código del producto Vendido]],STOCK[],5,FALSE),"-")</f>
        <v>Vestido floral de mangas farol</v>
      </c>
      <c r="G1241" s="11">
        <v>1</v>
      </c>
      <c r="H1241" s="14">
        <v>20</v>
      </c>
      <c r="I1241" s="14">
        <f>VENTAS[[#This Row],[Cantidad]]*VENTAS[[#This Row],[Precio Venta]]</f>
        <v>20</v>
      </c>
      <c r="J1241" s="14">
        <f>IF(VENTAS[[#This Row],[Nombre del Gestor]]&gt;1,VENTAS[[#This Row],[Total]]*10%,0)</f>
        <v>2</v>
      </c>
      <c r="K1241" s="14">
        <f>IFERROR(VLOOKUP(VENTAS[[#This Row],[Código del producto Vendido]],STOCK[],16,FALSE)*VENTAS[[#This Row],[Cantidad]]+VLOOKUP(VENTAS[[#This Row],[Código del producto Vendido]],STOCK[],19,FALSE)*VENTAS[[#This Row],[Cantidad]],VENTAS[[#This Row],[Total]])</f>
        <v>10.7222222222222</v>
      </c>
      <c r="L1241" s="14">
        <f>VENTAS[[#This Row],[Total]]-VENTAS[[#This Row],[Comisión 10%]]-VENTAS[[#This Row],[Costo SIN Comision]]</f>
        <v>7.27777777777778</v>
      </c>
      <c r="M1241" s="14"/>
    </row>
    <row r="1242" ht="20" hidden="1" customHeight="1" spans="1:13">
      <c r="A1242" s="10">
        <v>45509</v>
      </c>
      <c r="B1242" s="11"/>
      <c r="C1242" s="11" t="s">
        <v>4338</v>
      </c>
      <c r="D1242" s="11" t="s">
        <v>4266</v>
      </c>
      <c r="E1242" s="11" t="s">
        <v>1708</v>
      </c>
      <c r="F1242" s="11" t="str">
        <f>IFERROR(VLOOKUP(VENTAS[[#This Row],[Código del producto Vendido]],STOCK[],5,FALSE),"-")</f>
        <v>Vestido acanalado de manga larga</v>
      </c>
      <c r="G1242" s="11">
        <v>1</v>
      </c>
      <c r="H1242" s="14">
        <v>25</v>
      </c>
      <c r="I1242" s="14">
        <f>VENTAS[[#This Row],[Cantidad]]*VENTAS[[#This Row],[Precio Venta]]</f>
        <v>25</v>
      </c>
      <c r="J1242" s="14">
        <f>IF(VENTAS[[#This Row],[Nombre del Gestor]]&gt;1,VENTAS[[#This Row],[Total]]*10%,0)</f>
        <v>2.5</v>
      </c>
      <c r="K1242" s="14">
        <f>IFERROR(VLOOKUP(VENTAS[[#This Row],[Código del producto Vendido]],STOCK[],16,FALSE)*VENTAS[[#This Row],[Cantidad]]+VLOOKUP(VENTAS[[#This Row],[Código del producto Vendido]],STOCK[],19,FALSE)*VENTAS[[#This Row],[Cantidad]],VENTAS[[#This Row],[Total]])</f>
        <v>18.1</v>
      </c>
      <c r="L1242" s="14">
        <f>VENTAS[[#This Row],[Total]]-VENTAS[[#This Row],[Comisión 10%]]-VENTAS[[#This Row],[Costo SIN Comision]]</f>
        <v>4.4</v>
      </c>
      <c r="M1242" s="14"/>
    </row>
    <row r="1243" ht="20" hidden="1" customHeight="1" spans="1:13">
      <c r="A1243" s="10">
        <v>45510</v>
      </c>
      <c r="B1243" s="11"/>
      <c r="C1243" s="11" t="s">
        <v>4339</v>
      </c>
      <c r="D1243" s="11" t="s">
        <v>4266</v>
      </c>
      <c r="E1243" s="11" t="s">
        <v>2561</v>
      </c>
      <c r="F1243" s="11" t="str">
        <f>IFERROR(VLOOKUP(VENTAS[[#This Row],[Código del producto Vendido]],STOCK[],5,FALSE),"-")</f>
        <v>Sombrero Visera de Verano</v>
      </c>
      <c r="G1243" s="11">
        <v>1</v>
      </c>
      <c r="H1243" s="14">
        <v>15</v>
      </c>
      <c r="I1243" s="14">
        <f>VENTAS[[#This Row],[Cantidad]]*VENTAS[[#This Row],[Precio Venta]]</f>
        <v>15</v>
      </c>
      <c r="J1243" s="14">
        <f>IF(VENTAS[[#This Row],[Nombre del Gestor]]&gt;1,VENTAS[[#This Row],[Total]]*10%,0)</f>
        <v>1.5</v>
      </c>
      <c r="K1243" s="14">
        <f>IFERROR(VLOOKUP(VENTAS[[#This Row],[Código del producto Vendido]],STOCK[],16,FALSE)*VENTAS[[#This Row],[Cantidad]]+VLOOKUP(VENTAS[[#This Row],[Código del producto Vendido]],STOCK[],19,FALSE)*VENTAS[[#This Row],[Cantidad]],VENTAS[[#This Row],[Total]])</f>
        <v>6.36</v>
      </c>
      <c r="L1243" s="14">
        <f>VENTAS[[#This Row],[Total]]-VENTAS[[#This Row],[Comisión 10%]]-VENTAS[[#This Row],[Costo SIN Comision]]</f>
        <v>7.14</v>
      </c>
      <c r="M1243" s="14"/>
    </row>
    <row r="1244" ht="20" hidden="1" customHeight="1" spans="1:13">
      <c r="A1244" s="10">
        <v>45510</v>
      </c>
      <c r="B1244" s="11"/>
      <c r="C1244" s="11" t="s">
        <v>4339</v>
      </c>
      <c r="D1244" s="11" t="s">
        <v>4266</v>
      </c>
      <c r="E1244" s="11" t="s">
        <v>2285</v>
      </c>
      <c r="F1244" s="11" t="str">
        <f>IFERROR(VLOOKUP(VENTAS[[#This Row],[Código del producto Vendido]],STOCK[],5,FALSE),"-")</f>
        <v>Bolso de lienzo estampado de corazón</v>
      </c>
      <c r="G1244" s="11">
        <v>1</v>
      </c>
      <c r="H1244" s="14">
        <v>12</v>
      </c>
      <c r="I1244" s="14">
        <f>VENTAS[[#This Row],[Cantidad]]*VENTAS[[#This Row],[Precio Venta]]</f>
        <v>12</v>
      </c>
      <c r="J1244" s="14">
        <f>IF(VENTAS[[#This Row],[Nombre del Gestor]]&gt;1,VENTAS[[#This Row],[Total]]*10%,0)</f>
        <v>1.2</v>
      </c>
      <c r="K1244" s="14">
        <f>IFERROR(VLOOKUP(VENTAS[[#This Row],[Código del producto Vendido]],STOCK[],16,FALSE)*VENTAS[[#This Row],[Cantidad]]+VLOOKUP(VENTAS[[#This Row],[Código del producto Vendido]],STOCK[],19,FALSE)*VENTAS[[#This Row],[Cantidad]],VENTAS[[#This Row],[Total]])</f>
        <v>4.23</v>
      </c>
      <c r="L1244" s="14">
        <f>VENTAS[[#This Row],[Total]]-VENTAS[[#This Row],[Comisión 10%]]-VENTAS[[#This Row],[Costo SIN Comision]]</f>
        <v>6.57</v>
      </c>
      <c r="M1244" s="14"/>
    </row>
    <row r="1245" ht="20" hidden="1" customHeight="1" spans="1:13">
      <c r="A1245" s="10">
        <v>45511</v>
      </c>
      <c r="B1245" s="11"/>
      <c r="C1245" s="11" t="s">
        <v>4340</v>
      </c>
      <c r="D1245" s="11" t="s">
        <v>4266</v>
      </c>
      <c r="E1245" s="11" t="s">
        <v>2533</v>
      </c>
      <c r="F1245" s="11" t="str">
        <f>IFERROR(VLOOKUP(VENTAS[[#This Row],[Código del producto Vendido]],STOCK[],5,FALSE),"-")</f>
        <v>Pullover corto unicolor carmelita</v>
      </c>
      <c r="G1245" s="11">
        <v>1</v>
      </c>
      <c r="H1245" s="14">
        <v>10</v>
      </c>
      <c r="I1245" s="14">
        <f>VENTAS[[#This Row],[Cantidad]]*VENTAS[[#This Row],[Precio Venta]]</f>
        <v>10</v>
      </c>
      <c r="J1245" s="14">
        <f>IF(VENTAS[[#This Row],[Nombre del Gestor]]&gt;1,VENTAS[[#This Row],[Total]]*10%,0)</f>
        <v>1</v>
      </c>
      <c r="K1245" s="14">
        <f>IFERROR(VLOOKUP(VENTAS[[#This Row],[Código del producto Vendido]],STOCK[],16,FALSE)*VENTAS[[#This Row],[Cantidad]]+VLOOKUP(VENTAS[[#This Row],[Código del producto Vendido]],STOCK[],19,FALSE)*VENTAS[[#This Row],[Cantidad]],VENTAS[[#This Row],[Total]])</f>
        <v>4.32</v>
      </c>
      <c r="L1245" s="14">
        <f>VENTAS[[#This Row],[Total]]-VENTAS[[#This Row],[Comisión 10%]]-VENTAS[[#This Row],[Costo SIN Comision]]</f>
        <v>4.68</v>
      </c>
      <c r="M1245" s="14"/>
    </row>
    <row r="1246" ht="20" hidden="1" customHeight="1" spans="1:13">
      <c r="A1246" s="10">
        <v>45511</v>
      </c>
      <c r="B1246" s="11"/>
      <c r="C1246" s="11" t="s">
        <v>4340</v>
      </c>
      <c r="D1246" s="11" t="s">
        <v>4266</v>
      </c>
      <c r="E1246" s="11" t="s">
        <v>2542</v>
      </c>
      <c r="F1246" s="11" t="str">
        <f>IFERROR(VLOOKUP(VENTAS[[#This Row],[Código del producto Vendido]],STOCK[],5,FALSE),"-")</f>
        <v>Pullover corto unicolor beige</v>
      </c>
      <c r="G1246" s="11">
        <v>0</v>
      </c>
      <c r="H1246" s="14">
        <v>10</v>
      </c>
      <c r="I1246" s="14">
        <f>VENTAS[[#This Row],[Cantidad]]*VENTAS[[#This Row],[Precio Venta]]</f>
        <v>0</v>
      </c>
      <c r="J1246" s="14">
        <f>IF(VENTAS[[#This Row],[Nombre del Gestor]]&gt;1,VENTAS[[#This Row],[Total]]*10%,0)</f>
        <v>0</v>
      </c>
      <c r="K1246" s="14">
        <f>IFERROR(VLOOKUP(VENTAS[[#This Row],[Código del producto Vendido]],STOCK[],16,FALSE)*VENTAS[[#This Row],[Cantidad]]+VLOOKUP(VENTAS[[#This Row],[Código del producto Vendido]],STOCK[],19,FALSE)*VENTAS[[#This Row],[Cantidad]],VENTAS[[#This Row],[Total]])</f>
        <v>0</v>
      </c>
      <c r="L1246" s="14">
        <f>VENTAS[[#This Row],[Total]]-VENTAS[[#This Row],[Comisión 10%]]-VENTAS[[#This Row],[Costo SIN Comision]]</f>
        <v>0</v>
      </c>
      <c r="M1246" s="14"/>
    </row>
    <row r="1247" ht="20" hidden="1" customHeight="1" spans="1:13">
      <c r="A1247" s="10">
        <v>45511</v>
      </c>
      <c r="B1247" s="11"/>
      <c r="C1247" s="11" t="s">
        <v>4341</v>
      </c>
      <c r="D1247" s="11" t="s">
        <v>4266</v>
      </c>
      <c r="E1247" s="11" t="s">
        <v>598</v>
      </c>
      <c r="F1247" s="11" t="str">
        <f>IFERROR(VLOOKUP(VENTAS[[#This Row],[Código del producto Vendido]],STOCK[],5,FALSE),"-")</f>
        <v>Top corsetero asimétrico</v>
      </c>
      <c r="G1247" s="11">
        <v>1</v>
      </c>
      <c r="H1247" s="14">
        <v>9</v>
      </c>
      <c r="I1247" s="14">
        <f>VENTAS[[#This Row],[Cantidad]]*VENTAS[[#This Row],[Precio Venta]]</f>
        <v>9</v>
      </c>
      <c r="J1247" s="14">
        <f>IF(VENTAS[[#This Row],[Nombre del Gestor]]&gt;1,VENTAS[[#This Row],[Total]]*10%,0)</f>
        <v>0.9</v>
      </c>
      <c r="K1247" s="14">
        <f>IFERROR(VLOOKUP(VENTAS[[#This Row],[Código del producto Vendido]],STOCK[],16,FALSE)*VENTAS[[#This Row],[Cantidad]]+VLOOKUP(VENTAS[[#This Row],[Código del producto Vendido]],STOCK[],19,FALSE)*VENTAS[[#This Row],[Cantidad]],VENTAS[[#This Row],[Total]])</f>
        <v>5.56833333333333</v>
      </c>
      <c r="L1247" s="14">
        <f>VENTAS[[#This Row],[Total]]-VENTAS[[#This Row],[Comisión 10%]]-VENTAS[[#This Row],[Costo SIN Comision]]</f>
        <v>2.53166666666667</v>
      </c>
      <c r="M1247" s="14"/>
    </row>
    <row r="1248" ht="20" hidden="1" customHeight="1" spans="1:13">
      <c r="A1248" s="10">
        <v>45516</v>
      </c>
      <c r="B1248" s="11"/>
      <c r="C1248" s="11" t="s">
        <v>4342</v>
      </c>
      <c r="D1248" s="11" t="s">
        <v>4266</v>
      </c>
      <c r="E1248" s="11" t="s">
        <v>2494</v>
      </c>
      <c r="F1248" s="11" t="str">
        <f>IFERROR(VLOOKUP(VENTAS[[#This Row],[Código del producto Vendido]],STOCK[],5,FALSE),"-")</f>
        <v>Blusa blanca de lazos y manga abullonada</v>
      </c>
      <c r="G1248" s="11">
        <v>1</v>
      </c>
      <c r="H1248" s="14">
        <v>18</v>
      </c>
      <c r="I1248" s="14">
        <f>VENTAS[[#This Row],[Cantidad]]*VENTAS[[#This Row],[Precio Venta]]</f>
        <v>18</v>
      </c>
      <c r="J1248" s="14">
        <f>IF(VENTAS[[#This Row],[Nombre del Gestor]]&gt;1,VENTAS[[#This Row],[Total]]*10%,0)</f>
        <v>1.8</v>
      </c>
      <c r="K1248" s="14">
        <f>IFERROR(VLOOKUP(VENTAS[[#This Row],[Código del producto Vendido]],STOCK[],16,FALSE)*VENTAS[[#This Row],[Cantidad]]+VLOOKUP(VENTAS[[#This Row],[Código del producto Vendido]],STOCK[],19,FALSE)*VENTAS[[#This Row],[Cantidad]],VENTAS[[#This Row],[Total]])</f>
        <v>10.94</v>
      </c>
      <c r="L1248" s="14">
        <f>VENTAS[[#This Row],[Total]]-VENTAS[[#This Row],[Comisión 10%]]-VENTAS[[#This Row],[Costo SIN Comision]]</f>
        <v>5.26</v>
      </c>
      <c r="M1248" s="14"/>
    </row>
    <row r="1249" ht="20" hidden="1" customHeight="1" spans="1:13">
      <c r="A1249" s="10">
        <v>45521</v>
      </c>
      <c r="B1249" s="11"/>
      <c r="C1249" s="11" t="s">
        <v>4343</v>
      </c>
      <c r="D1249" s="11" t="s">
        <v>4266</v>
      </c>
      <c r="E1249" s="11" t="s">
        <v>2579</v>
      </c>
      <c r="F1249" s="11" t="str">
        <f>IFERROR(VLOOKUP(VENTAS[[#This Row],[Código del producto Vendido]],STOCK[],5,FALSE),"-")</f>
        <v>Vestido Camisola con estampado de flores y tirantes cruzados</v>
      </c>
      <c r="G1249" s="11">
        <v>1</v>
      </c>
      <c r="H1249" s="14">
        <v>25</v>
      </c>
      <c r="I1249" s="14">
        <f>VENTAS[[#This Row],[Cantidad]]*VENTAS[[#This Row],[Precio Venta]]</f>
        <v>25</v>
      </c>
      <c r="J1249" s="14">
        <f>IF(VENTAS[[#This Row],[Nombre del Gestor]]&gt;1,VENTAS[[#This Row],[Total]]*10%,0)</f>
        <v>2.5</v>
      </c>
      <c r="K1249" s="14">
        <f>IFERROR(VLOOKUP(VENTAS[[#This Row],[Código del producto Vendido]],STOCK[],16,FALSE)*VENTAS[[#This Row],[Cantidad]]+VLOOKUP(VENTAS[[#This Row],[Código del producto Vendido]],STOCK[],19,FALSE)*VENTAS[[#This Row],[Cantidad]],VENTAS[[#This Row],[Total]])</f>
        <v>12.94</v>
      </c>
      <c r="L1249" s="14">
        <f>VENTAS[[#This Row],[Total]]-VENTAS[[#This Row],[Comisión 10%]]-VENTAS[[#This Row],[Costo SIN Comision]]</f>
        <v>9.56</v>
      </c>
      <c r="M1249" s="14"/>
    </row>
    <row r="1250" ht="20" hidden="1" customHeight="1" spans="1:13">
      <c r="A1250" s="10">
        <v>45523</v>
      </c>
      <c r="B1250" s="11"/>
      <c r="C1250" s="11" t="s">
        <v>4344</v>
      </c>
      <c r="D1250" s="11" t="s">
        <v>4266</v>
      </c>
      <c r="E1250" s="11" t="s">
        <v>322</v>
      </c>
      <c r="F1250" s="11" t="str">
        <f>IFERROR(VLOOKUP(VENTAS[[#This Row],[Código del producto Vendido]],STOCK[],5,FALSE),"-")</f>
        <v>Conjunto top corto y pantalones</v>
      </c>
      <c r="G1250" s="11">
        <v>1</v>
      </c>
      <c r="H1250" s="14">
        <v>28</v>
      </c>
      <c r="I1250" s="14">
        <f>VENTAS[[#This Row],[Cantidad]]*VENTAS[[#This Row],[Precio Venta]]</f>
        <v>28</v>
      </c>
      <c r="J1250" s="14">
        <f>IF(VENTAS[[#This Row],[Nombre del Gestor]]&gt;1,VENTAS[[#This Row],[Total]]*10%,0)</f>
        <v>2.8</v>
      </c>
      <c r="K1250" s="14">
        <f>IFERROR(VLOOKUP(VENTAS[[#This Row],[Código del producto Vendido]],STOCK[],16,FALSE)*VENTAS[[#This Row],[Cantidad]]+VLOOKUP(VENTAS[[#This Row],[Código del producto Vendido]],STOCK[],19,FALSE)*VENTAS[[#This Row],[Cantidad]],VENTAS[[#This Row],[Total]])</f>
        <v>18</v>
      </c>
      <c r="L1250" s="14">
        <f>VENTAS[[#This Row],[Total]]-VENTAS[[#This Row],[Comisión 10%]]-VENTAS[[#This Row],[Costo SIN Comision]]</f>
        <v>7.2</v>
      </c>
      <c r="M1250" s="14"/>
    </row>
    <row r="1251" ht="20" hidden="1" customHeight="1" spans="1:13">
      <c r="A1251" s="10">
        <v>45524</v>
      </c>
      <c r="B1251" s="11"/>
      <c r="C1251" s="11" t="s">
        <v>4303</v>
      </c>
      <c r="D1251" s="11" t="s">
        <v>4266</v>
      </c>
      <c r="E1251" s="11" t="s">
        <v>1813</v>
      </c>
      <c r="F1251" s="11" t="str">
        <f>IFERROR(VLOOKUP(VENTAS[[#This Row],[Código del producto Vendido]],STOCK[],5,FALSE),"-")</f>
        <v>Vestido chaleco blazer </v>
      </c>
      <c r="G1251" s="11">
        <v>1</v>
      </c>
      <c r="H1251" s="14">
        <v>35</v>
      </c>
      <c r="I1251" s="14">
        <f>VENTAS[[#This Row],[Cantidad]]*VENTAS[[#This Row],[Precio Venta]]</f>
        <v>35</v>
      </c>
      <c r="J1251" s="14">
        <f>IF(VENTAS[[#This Row],[Nombre del Gestor]]&gt;1,VENTAS[[#This Row],[Total]]*10%,0)</f>
        <v>3.5</v>
      </c>
      <c r="K1251" s="14">
        <f>IFERROR(VLOOKUP(VENTAS[[#This Row],[Código del producto Vendido]],STOCK[],16,FALSE)*VENTAS[[#This Row],[Cantidad]]+VLOOKUP(VENTAS[[#This Row],[Código del producto Vendido]],STOCK[],19,FALSE)*VENTAS[[#This Row],[Cantidad]],VENTAS[[#This Row],[Total]])</f>
        <v>22.9411764705882</v>
      </c>
      <c r="L1251" s="14">
        <f>VENTAS[[#This Row],[Total]]-VENTAS[[#This Row],[Comisión 10%]]-VENTAS[[#This Row],[Costo SIN Comision]]</f>
        <v>8.5588235294118</v>
      </c>
      <c r="M1251" s="14"/>
    </row>
    <row r="1252" ht="20" hidden="1" customHeight="1" spans="1:13">
      <c r="A1252" s="10">
        <v>45525</v>
      </c>
      <c r="B1252" s="11"/>
      <c r="C1252" s="11" t="s">
        <v>4345</v>
      </c>
      <c r="D1252" s="11" t="s">
        <v>4266</v>
      </c>
      <c r="E1252" s="11" t="s">
        <v>2582</v>
      </c>
      <c r="F1252" s="11" t="str">
        <f>IFERROR(VLOOKUP(VENTAS[[#This Row],[Código del producto Vendido]],STOCK[],5,FALSE),"-")</f>
        <v>Vestido Camisola con estampado de flores y tirantes cruzados</v>
      </c>
      <c r="G1252" s="11">
        <v>1</v>
      </c>
      <c r="H1252" s="14">
        <v>25</v>
      </c>
      <c r="I1252" s="14">
        <f>VENTAS[[#This Row],[Cantidad]]*VENTAS[[#This Row],[Precio Venta]]</f>
        <v>25</v>
      </c>
      <c r="J1252" s="14">
        <f>IF(VENTAS[[#This Row],[Nombre del Gestor]]&gt;1,VENTAS[[#This Row],[Total]]*10%,0)</f>
        <v>2.5</v>
      </c>
      <c r="K1252" s="14">
        <f>IFERROR(VLOOKUP(VENTAS[[#This Row],[Código del producto Vendido]],STOCK[],16,FALSE)*VENTAS[[#This Row],[Cantidad]]+VLOOKUP(VENTAS[[#This Row],[Código del producto Vendido]],STOCK[],19,FALSE)*VENTAS[[#This Row],[Cantidad]],VENTAS[[#This Row],[Total]])</f>
        <v>12.94</v>
      </c>
      <c r="L1252" s="14">
        <f>VENTAS[[#This Row],[Total]]-VENTAS[[#This Row],[Comisión 10%]]-VENTAS[[#This Row],[Costo SIN Comision]]</f>
        <v>9.56</v>
      </c>
      <c r="M1252" s="14"/>
    </row>
    <row r="1253" ht="20" hidden="1" customHeight="1" spans="1:13">
      <c r="A1253" s="10">
        <v>45527</v>
      </c>
      <c r="B1253" s="11"/>
      <c r="C1253" s="11" t="s">
        <v>4346</v>
      </c>
      <c r="D1253" s="11" t="s">
        <v>4266</v>
      </c>
      <c r="E1253" s="11" t="s">
        <v>2535</v>
      </c>
      <c r="F1253" s="11" t="str">
        <f>IFERROR(VLOOKUP(VENTAS[[#This Row],[Código del producto Vendido]],STOCK[],5,FALSE),"-")</f>
        <v>Pullover corto unicolor blanco</v>
      </c>
      <c r="G1253" s="11">
        <v>1</v>
      </c>
      <c r="H1253" s="14">
        <v>10</v>
      </c>
      <c r="I1253" s="14">
        <f>VENTAS[[#This Row],[Cantidad]]*VENTAS[[#This Row],[Precio Venta]]</f>
        <v>10</v>
      </c>
      <c r="J1253" s="14">
        <f>IF(VENTAS[[#This Row],[Nombre del Gestor]]&gt;1,VENTAS[[#This Row],[Total]]*10%,0)</f>
        <v>1</v>
      </c>
      <c r="K1253" s="14">
        <f>IFERROR(VLOOKUP(VENTAS[[#This Row],[Código del producto Vendido]],STOCK[],16,FALSE)*VENTAS[[#This Row],[Cantidad]]+VLOOKUP(VENTAS[[#This Row],[Código del producto Vendido]],STOCK[],19,FALSE)*VENTAS[[#This Row],[Cantidad]],VENTAS[[#This Row],[Total]])</f>
        <v>4.32</v>
      </c>
      <c r="L1253" s="14">
        <f>VENTAS[[#This Row],[Total]]-VENTAS[[#This Row],[Comisión 10%]]-VENTAS[[#This Row],[Costo SIN Comision]]</f>
        <v>4.68</v>
      </c>
      <c r="M1253" s="14"/>
    </row>
    <row r="1254" ht="20" hidden="1" customHeight="1" spans="1:13">
      <c r="A1254" s="10">
        <v>45527</v>
      </c>
      <c r="B1254" s="11"/>
      <c r="C1254" s="11" t="s">
        <v>4346</v>
      </c>
      <c r="D1254" s="11" t="s">
        <v>4266</v>
      </c>
      <c r="E1254" s="11" t="s">
        <v>1708</v>
      </c>
      <c r="F1254" s="11" t="str">
        <f>IFERROR(VLOOKUP(VENTAS[[#This Row],[Código del producto Vendido]],STOCK[],5,FALSE),"-")</f>
        <v>Vestido acanalado de manga larga</v>
      </c>
      <c r="G1254" s="11">
        <v>1</v>
      </c>
      <c r="H1254" s="14">
        <v>25</v>
      </c>
      <c r="I1254" s="14">
        <f>VENTAS[[#This Row],[Cantidad]]*VENTAS[[#This Row],[Precio Venta]]</f>
        <v>25</v>
      </c>
      <c r="J1254" s="14">
        <f>IF(VENTAS[[#This Row],[Nombre del Gestor]]&gt;1,VENTAS[[#This Row],[Total]]*10%,0)</f>
        <v>2.5</v>
      </c>
      <c r="K1254" s="14">
        <f>IFERROR(VLOOKUP(VENTAS[[#This Row],[Código del producto Vendido]],STOCK[],16,FALSE)*VENTAS[[#This Row],[Cantidad]]+VLOOKUP(VENTAS[[#This Row],[Código del producto Vendido]],STOCK[],19,FALSE)*VENTAS[[#This Row],[Cantidad]],VENTAS[[#This Row],[Total]])</f>
        <v>18.1</v>
      </c>
      <c r="L1254" s="14">
        <f>VENTAS[[#This Row],[Total]]-VENTAS[[#This Row],[Comisión 10%]]-VENTAS[[#This Row],[Costo SIN Comision]]</f>
        <v>4.4</v>
      </c>
      <c r="M1254" s="14"/>
    </row>
    <row r="1255" ht="20" hidden="1" customHeight="1" spans="1:13">
      <c r="A1255" s="10">
        <v>45528</v>
      </c>
      <c r="B1255" s="11"/>
      <c r="C1255" s="11" t="s">
        <v>4347</v>
      </c>
      <c r="D1255" s="11" t="s">
        <v>4266</v>
      </c>
      <c r="E1255" s="11" t="s">
        <v>861</v>
      </c>
      <c r="F1255" s="11" t="str">
        <f>IFERROR(VLOOKUP(VENTAS[[#This Row],[Código del producto Vendido]],STOCK[],5,FALSE),"-")</f>
        <v>Vestido venturina</v>
      </c>
      <c r="G1255" s="11">
        <v>1</v>
      </c>
      <c r="H1255" s="14">
        <v>16</v>
      </c>
      <c r="I1255" s="14">
        <f>VENTAS[[#This Row],[Cantidad]]*VENTAS[[#This Row],[Precio Venta]]</f>
        <v>16</v>
      </c>
      <c r="J1255" s="14">
        <f>IF(VENTAS[[#This Row],[Nombre del Gestor]]&gt;1,VENTAS[[#This Row],[Total]]*10%,0)</f>
        <v>1.6</v>
      </c>
      <c r="K1255" s="14">
        <f>IFERROR(VLOOKUP(VENTAS[[#This Row],[Código del producto Vendido]],STOCK[],16,FALSE)*VENTAS[[#This Row],[Cantidad]]+VLOOKUP(VENTAS[[#This Row],[Código del producto Vendido]],STOCK[],19,FALSE)*VENTAS[[#This Row],[Cantidad]],VENTAS[[#This Row],[Total]])</f>
        <v>9.11111111111111</v>
      </c>
      <c r="L1255" s="14">
        <f>VENTAS[[#This Row],[Total]]-VENTAS[[#This Row],[Comisión 10%]]-VENTAS[[#This Row],[Costo SIN Comision]]</f>
        <v>5.28888888888889</v>
      </c>
      <c r="M1255" s="14"/>
    </row>
    <row r="1256" ht="20" hidden="1" customHeight="1" spans="1:13">
      <c r="A1256" s="10">
        <v>45509</v>
      </c>
      <c r="B1256" s="11"/>
      <c r="C1256" s="11" t="s">
        <v>4348</v>
      </c>
      <c r="D1256" s="11" t="s">
        <v>4272</v>
      </c>
      <c r="E1256" s="11" t="s">
        <v>2515</v>
      </c>
      <c r="F1256" s="11" t="str">
        <f>IFERROR(VLOOKUP(VENTAS[[#This Row],[Código del producto Vendido]],STOCK[],5,FALSE),"-")</f>
        <v>Bolso pequeño estilo old money</v>
      </c>
      <c r="G1256" s="11">
        <v>1</v>
      </c>
      <c r="H1256" s="14">
        <v>20</v>
      </c>
      <c r="I1256" s="14">
        <f>VENTAS[[#This Row],[Cantidad]]*VENTAS[[#This Row],[Precio Venta]]</f>
        <v>20</v>
      </c>
      <c r="J1256" s="14">
        <f>IF(VENTAS[[#This Row],[Nombre del Gestor]]&gt;1,VENTAS[[#This Row],[Total]]*10%,0)</f>
        <v>2</v>
      </c>
      <c r="K1256" s="14">
        <f>IFERROR(VLOOKUP(VENTAS[[#This Row],[Código del producto Vendido]],STOCK[],16,FALSE)*VENTAS[[#This Row],[Cantidad]]+VLOOKUP(VENTAS[[#This Row],[Código del producto Vendido]],STOCK[],19,FALSE)*VENTAS[[#This Row],[Cantidad]],VENTAS[[#This Row],[Total]])</f>
        <v>11.49</v>
      </c>
      <c r="L1256" s="14">
        <f>VENTAS[[#This Row],[Total]]-VENTAS[[#This Row],[Comisión 10%]]-VENTAS[[#This Row],[Costo SIN Comision]]</f>
        <v>6.51</v>
      </c>
      <c r="M1256" s="14"/>
    </row>
    <row r="1257" ht="20" hidden="1" customHeight="1" spans="1:13">
      <c r="A1257" s="10">
        <v>45526</v>
      </c>
      <c r="B1257" s="11"/>
      <c r="C1257" s="11" t="s">
        <v>4334</v>
      </c>
      <c r="D1257" s="11"/>
      <c r="E1257" s="11" t="s">
        <v>2517</v>
      </c>
      <c r="F1257" s="11" t="str">
        <f>IFERROR(VLOOKUP(VENTAS[[#This Row],[Código del producto Vendido]],STOCK[],5,FALSE),"-")</f>
        <v>Bolso media luna de rafia de tamaño medio</v>
      </c>
      <c r="G1257" s="11">
        <v>1</v>
      </c>
      <c r="H1257" s="14">
        <v>22</v>
      </c>
      <c r="I1257" s="14">
        <f>VENTAS[[#This Row],[Cantidad]]*VENTAS[[#This Row],[Precio Venta]]</f>
        <v>22</v>
      </c>
      <c r="J1257" s="14">
        <f>IF(VENTAS[[#This Row],[Nombre del Gestor]]&gt;1,VENTAS[[#This Row],[Total]]*10%,0)</f>
        <v>0</v>
      </c>
      <c r="K1257" s="14">
        <f>IFERROR(VLOOKUP(VENTAS[[#This Row],[Código del producto Vendido]],STOCK[],16,FALSE)*VENTAS[[#This Row],[Cantidad]]+VLOOKUP(VENTAS[[#This Row],[Código del producto Vendido]],STOCK[],19,FALSE)*VENTAS[[#This Row],[Cantidad]],VENTAS[[#This Row],[Total]])</f>
        <v>12.83</v>
      </c>
      <c r="L1257" s="14">
        <f>VENTAS[[#This Row],[Total]]-VENTAS[[#This Row],[Comisión 10%]]-VENTAS[[#This Row],[Costo SIN Comision]]</f>
        <v>9.17</v>
      </c>
      <c r="M1257" s="14"/>
    </row>
    <row r="1258" ht="20" hidden="1" customHeight="1" spans="1:13">
      <c r="A1258" s="10">
        <v>45509</v>
      </c>
      <c r="B1258" s="11"/>
      <c r="C1258" s="11" t="s">
        <v>4348</v>
      </c>
      <c r="D1258" s="11" t="s">
        <v>4272</v>
      </c>
      <c r="E1258" s="11" t="s">
        <v>2499</v>
      </c>
      <c r="F1258" s="11" t="str">
        <f>IFERROR(VLOOKUP(VENTAS[[#This Row],[Código del producto Vendido]],STOCK[],5,FALSE),"-")</f>
        <v>Bolso tejido redondo de gran capidad </v>
      </c>
      <c r="G1258" s="11">
        <v>1</v>
      </c>
      <c r="H1258" s="14">
        <v>25</v>
      </c>
      <c r="I1258" s="14">
        <f>VENTAS[[#This Row],[Cantidad]]*VENTAS[[#This Row],[Precio Venta]]</f>
        <v>25</v>
      </c>
      <c r="J1258" s="14">
        <f>IF(VENTAS[[#This Row],[Nombre del Gestor]]&gt;1,VENTAS[[#This Row],[Total]]*10%,0)</f>
        <v>2.5</v>
      </c>
      <c r="K1258" s="14">
        <f>IFERROR(VLOOKUP(VENTAS[[#This Row],[Código del producto Vendido]],STOCK[],16,FALSE)*VENTAS[[#This Row],[Cantidad]]+VLOOKUP(VENTAS[[#This Row],[Código del producto Vendido]],STOCK[],19,FALSE)*VENTAS[[#This Row],[Cantidad]],VENTAS[[#This Row],[Total]])</f>
        <v>11.67</v>
      </c>
      <c r="L1258" s="14">
        <f>VENTAS[[#This Row],[Total]]-VENTAS[[#This Row],[Comisión 10%]]-VENTAS[[#This Row],[Costo SIN Comision]]</f>
        <v>10.83</v>
      </c>
      <c r="M1258" s="14"/>
    </row>
    <row r="1259" ht="20" hidden="1" customHeight="1" spans="1:13">
      <c r="A1259" s="10">
        <v>45520</v>
      </c>
      <c r="B1259" s="11"/>
      <c r="C1259" s="11" t="s">
        <v>4349</v>
      </c>
      <c r="D1259" s="11" t="s">
        <v>4272</v>
      </c>
      <c r="E1259" s="11" t="s">
        <v>2221</v>
      </c>
      <c r="F1259" s="11" t="str">
        <f>IFERROR(VLOOKUP(VENTAS[[#This Row],[Código del producto Vendido]],STOCK[],5,FALSE),"-")</f>
        <v>Set de bikini con cobertor de playa</v>
      </c>
      <c r="G1259" s="11">
        <v>1</v>
      </c>
      <c r="H1259" s="14">
        <v>25</v>
      </c>
      <c r="I1259" s="14">
        <f>VENTAS[[#This Row],[Cantidad]]*VENTAS[[#This Row],[Precio Venta]]</f>
        <v>25</v>
      </c>
      <c r="J1259" s="14">
        <f>IF(VENTAS[[#This Row],[Nombre del Gestor]]&gt;1,VENTAS[[#This Row],[Total]]*10%,0)</f>
        <v>2.5</v>
      </c>
      <c r="K1259" s="14">
        <f>IFERROR(VLOOKUP(VENTAS[[#This Row],[Código del producto Vendido]],STOCK[],16,FALSE)*VENTAS[[#This Row],[Cantidad]]+VLOOKUP(VENTAS[[#This Row],[Código del producto Vendido]],STOCK[],19,FALSE)*VENTAS[[#This Row],[Cantidad]],VENTAS[[#This Row],[Total]])</f>
        <v>11.65</v>
      </c>
      <c r="L1259" s="14">
        <f>VENTAS[[#This Row],[Total]]-VENTAS[[#This Row],[Comisión 10%]]-VENTAS[[#This Row],[Costo SIN Comision]]</f>
        <v>10.85</v>
      </c>
      <c r="M1259" s="14"/>
    </row>
    <row r="1260" ht="20" hidden="1" customHeight="1" spans="1:13">
      <c r="A1260" s="10">
        <v>45513</v>
      </c>
      <c r="B1260" s="11"/>
      <c r="C1260" s="11" t="s">
        <v>4350</v>
      </c>
      <c r="D1260" s="11" t="s">
        <v>4273</v>
      </c>
      <c r="E1260" s="11" t="s">
        <v>2601</v>
      </c>
      <c r="F1260" s="11" t="str">
        <f>IFERROR(VLOOKUP(VENTAS[[#This Row],[Código del producto Vendido]],STOCK[],5,FALSE),"-")</f>
        <v>Bolso verano de rafia en bloque de color</v>
      </c>
      <c r="G1260" s="11">
        <v>1</v>
      </c>
      <c r="H1260" s="14">
        <v>22</v>
      </c>
      <c r="I1260" s="14">
        <f>VENTAS[[#This Row],[Cantidad]]*VENTAS[[#This Row],[Precio Venta]]</f>
        <v>22</v>
      </c>
      <c r="J1260" s="14">
        <f>IF(VENTAS[[#This Row],[Nombre del Gestor]]&gt;1,VENTAS[[#This Row],[Total]]*10%,0)</f>
        <v>2.2</v>
      </c>
      <c r="K1260" s="14">
        <f>IFERROR(VLOOKUP(VENTAS[[#This Row],[Código del producto Vendido]],STOCK[],16,FALSE)*VENTAS[[#This Row],[Cantidad]]+VLOOKUP(VENTAS[[#This Row],[Código del producto Vendido]],STOCK[],19,FALSE)*VENTAS[[#This Row],[Cantidad]],VENTAS[[#This Row],[Total]])</f>
        <v>5.96</v>
      </c>
      <c r="L1260" s="14">
        <f>VENTAS[[#This Row],[Total]]-VENTAS[[#This Row],[Comisión 10%]]-VENTAS[[#This Row],[Costo SIN Comision]]</f>
        <v>13.84</v>
      </c>
      <c r="M1260" s="14"/>
    </row>
    <row r="1261" ht="20" hidden="1" customHeight="1" spans="1:13">
      <c r="A1261" s="10">
        <v>45508</v>
      </c>
      <c r="B1261" s="11"/>
      <c r="C1261" s="11" t="s">
        <v>4351</v>
      </c>
      <c r="D1261" s="11" t="s">
        <v>4272</v>
      </c>
      <c r="E1261" s="11" t="s">
        <v>2675</v>
      </c>
      <c r="F1261" s="11" t="str">
        <f>IFERROR(VLOOKUP(VENTAS[[#This Row],[Código del producto Vendido]],STOCK[],5,FALSE),"-")</f>
        <v>Traje de baño clásico en bloque de color de talle alto</v>
      </c>
      <c r="G1261" s="11">
        <v>1</v>
      </c>
      <c r="H1261" s="14">
        <v>28</v>
      </c>
      <c r="I1261" s="14">
        <f>VENTAS[[#This Row],[Cantidad]]*VENTAS[[#This Row],[Precio Venta]]</f>
        <v>28</v>
      </c>
      <c r="J1261" s="14">
        <f>IF(VENTAS[[#This Row],[Nombre del Gestor]]&gt;1,VENTAS[[#This Row],[Total]]*10%,0)</f>
        <v>2.8</v>
      </c>
      <c r="K1261" s="14">
        <f>IFERROR(VLOOKUP(VENTAS[[#This Row],[Código del producto Vendido]],STOCK[],16,FALSE)*VENTAS[[#This Row],[Cantidad]]+VLOOKUP(VENTAS[[#This Row],[Código del producto Vendido]],STOCK[],19,FALSE)*VENTAS[[#This Row],[Cantidad]],VENTAS[[#This Row],[Total]])</f>
        <v>10.4</v>
      </c>
      <c r="L1261" s="14">
        <f>VENTAS[[#This Row],[Total]]-VENTAS[[#This Row],[Comisión 10%]]-VENTAS[[#This Row],[Costo SIN Comision]]</f>
        <v>14.8</v>
      </c>
      <c r="M1261" s="14"/>
    </row>
    <row r="1262" ht="20" hidden="1" customHeight="1" spans="1:13">
      <c r="A1262" s="10">
        <v>45512</v>
      </c>
      <c r="B1262" s="11"/>
      <c r="C1262" s="11" t="s">
        <v>4352</v>
      </c>
      <c r="D1262" s="11" t="s">
        <v>4272</v>
      </c>
      <c r="E1262" s="11" t="s">
        <v>2494</v>
      </c>
      <c r="F1262" s="11" t="str">
        <f>IFERROR(VLOOKUP(VENTAS[[#This Row],[Código del producto Vendido]],STOCK[],5,FALSE),"-")</f>
        <v>Blusa blanca de lazos y manga abullonada</v>
      </c>
      <c r="G1262" s="11">
        <v>1</v>
      </c>
      <c r="H1262" s="14">
        <v>18</v>
      </c>
      <c r="I1262" s="14">
        <f>VENTAS[[#This Row],[Cantidad]]*VENTAS[[#This Row],[Precio Venta]]</f>
        <v>18</v>
      </c>
      <c r="J1262" s="14">
        <f>IF(VENTAS[[#This Row],[Nombre del Gestor]]&gt;1,VENTAS[[#This Row],[Total]]*10%,0)</f>
        <v>1.8</v>
      </c>
      <c r="K1262" s="14">
        <f>IFERROR(VLOOKUP(VENTAS[[#This Row],[Código del producto Vendido]],STOCK[],16,FALSE)*VENTAS[[#This Row],[Cantidad]]+VLOOKUP(VENTAS[[#This Row],[Código del producto Vendido]],STOCK[],19,FALSE)*VENTAS[[#This Row],[Cantidad]],VENTAS[[#This Row],[Total]])</f>
        <v>10.94</v>
      </c>
      <c r="L1262" s="14">
        <f>VENTAS[[#This Row],[Total]]-VENTAS[[#This Row],[Comisión 10%]]-VENTAS[[#This Row],[Costo SIN Comision]]</f>
        <v>5.26</v>
      </c>
      <c r="M1262" s="14"/>
    </row>
    <row r="1263" ht="20" hidden="1" customHeight="1" spans="1:13">
      <c r="A1263" s="10">
        <v>45523</v>
      </c>
      <c r="B1263" s="11"/>
      <c r="C1263" s="11" t="s">
        <v>4353</v>
      </c>
      <c r="D1263" s="11" t="s">
        <v>4272</v>
      </c>
      <c r="E1263" s="11" t="s">
        <v>111</v>
      </c>
      <c r="F1263" s="11" t="str">
        <f>IFERROR(VLOOKUP(VENTAS[[#This Row],[Código del producto Vendido]],STOCK[],5,FALSE),"-")</f>
        <v>Bañador de zíper en color combinado</v>
      </c>
      <c r="G1263" s="11">
        <v>1</v>
      </c>
      <c r="H1263" s="14">
        <v>25</v>
      </c>
      <c r="I1263" s="14">
        <f>VENTAS[[#This Row],[Cantidad]]*VENTAS[[#This Row],[Precio Venta]]</f>
        <v>25</v>
      </c>
      <c r="J1263" s="14">
        <f>IF(VENTAS[[#This Row],[Nombre del Gestor]]&gt;1,VENTAS[[#This Row],[Total]]*10%,0)</f>
        <v>2.5</v>
      </c>
      <c r="K1263" s="14">
        <f>IFERROR(VLOOKUP(VENTAS[[#This Row],[Código del producto Vendido]],STOCK[],16,FALSE)*VENTAS[[#This Row],[Cantidad]]+VLOOKUP(VENTAS[[#This Row],[Código del producto Vendido]],STOCK[],19,FALSE)*VENTAS[[#This Row],[Cantidad]],VENTAS[[#This Row],[Total]])</f>
        <v>19.1588888888889</v>
      </c>
      <c r="L1263" s="14">
        <f>VENTAS[[#This Row],[Total]]-VENTAS[[#This Row],[Comisión 10%]]-VENTAS[[#This Row],[Costo SIN Comision]]</f>
        <v>3.3411111111111</v>
      </c>
      <c r="M1263" s="14"/>
    </row>
    <row r="1264" ht="20" hidden="1" customHeight="1" spans="1:13">
      <c r="A1264" s="10">
        <v>45527</v>
      </c>
      <c r="B1264" s="11"/>
      <c r="C1264" s="11" t="s">
        <v>4354</v>
      </c>
      <c r="D1264" s="11" t="s">
        <v>4273</v>
      </c>
      <c r="E1264" s="11" t="s">
        <v>2694</v>
      </c>
      <c r="F1264" s="11" t="str">
        <f>IFERROR(VLOOKUP(VENTAS[[#This Row],[Código del producto Vendido]],STOCK[],5,FALSE),"-")</f>
        <v>Set de Splash y crema de Victoria Secret (Original) Bare Vainilla</v>
      </c>
      <c r="G1264" s="11">
        <v>1</v>
      </c>
      <c r="H1264" s="14">
        <v>40</v>
      </c>
      <c r="I1264" s="14">
        <f>VENTAS[[#This Row],[Cantidad]]*VENTAS[[#This Row],[Precio Venta]]</f>
        <v>40</v>
      </c>
      <c r="J1264" s="14">
        <f>IF(VENTAS[[#This Row],[Nombre del Gestor]]&gt;1,VENTAS[[#This Row],[Total]]*10%,0)</f>
        <v>4</v>
      </c>
      <c r="K1264" s="14">
        <f>IFERROR(VLOOKUP(VENTAS[[#This Row],[Código del producto Vendido]],STOCK[],16,FALSE)*VENTAS[[#This Row],[Cantidad]]+VLOOKUP(VENTAS[[#This Row],[Código del producto Vendido]],STOCK[],19,FALSE)*VENTAS[[#This Row],[Cantidad]],VENTAS[[#This Row],[Total]])</f>
        <v>16.37</v>
      </c>
      <c r="L1264" s="14">
        <f>VENTAS[[#This Row],[Total]]-VENTAS[[#This Row],[Comisión 10%]]-VENTAS[[#This Row],[Costo SIN Comision]]</f>
        <v>19.63</v>
      </c>
      <c r="M1264" s="14"/>
    </row>
    <row r="1265" ht="20" hidden="1" customHeight="1" spans="1:13">
      <c r="A1265" s="10">
        <v>45510</v>
      </c>
      <c r="B1265" s="11"/>
      <c r="C1265" s="11" t="s">
        <v>4355</v>
      </c>
      <c r="D1265" s="11" t="s">
        <v>4212</v>
      </c>
      <c r="E1265" s="11" t="s">
        <v>2587</v>
      </c>
      <c r="F1265" s="11" t="str">
        <f>IFERROR(VLOOKUP(VENTAS[[#This Row],[Código del producto Vendido]],STOCK[],5,FALSE),"-")</f>
        <v>Vestido blanco espalda cruzada</v>
      </c>
      <c r="G1265" s="11">
        <v>1</v>
      </c>
      <c r="H1265" s="14">
        <v>30</v>
      </c>
      <c r="I1265" s="14">
        <f>VENTAS[[#This Row],[Cantidad]]*VENTAS[[#This Row],[Precio Venta]]</f>
        <v>30</v>
      </c>
      <c r="J1265" s="14">
        <f>IF(VENTAS[[#This Row],[Nombre del Gestor]]&gt;1,VENTAS[[#This Row],[Total]]*10%,0)</f>
        <v>3</v>
      </c>
      <c r="K1265" s="14">
        <f>IFERROR(VLOOKUP(VENTAS[[#This Row],[Código del producto Vendido]],STOCK[],16,FALSE)*VENTAS[[#This Row],[Cantidad]]+VLOOKUP(VENTAS[[#This Row],[Código del producto Vendido]],STOCK[],19,FALSE)*VENTAS[[#This Row],[Cantidad]],VENTAS[[#This Row],[Total]])</f>
        <v>15.44</v>
      </c>
      <c r="L1265" s="14">
        <f>VENTAS[[#This Row],[Total]]-VENTAS[[#This Row],[Comisión 10%]]-VENTAS[[#This Row],[Costo SIN Comision]]</f>
        <v>11.56</v>
      </c>
      <c r="M1265" s="14"/>
    </row>
    <row r="1266" ht="20" hidden="1" customHeight="1" spans="1:13">
      <c r="A1266" s="10">
        <v>45511</v>
      </c>
      <c r="B1266" s="11"/>
      <c r="C1266" s="11" t="s">
        <v>4356</v>
      </c>
      <c r="D1266" s="11" t="s">
        <v>4212</v>
      </c>
      <c r="E1266" s="11" t="s">
        <v>2499</v>
      </c>
      <c r="F1266" s="11" t="str">
        <f>IFERROR(VLOOKUP(VENTAS[[#This Row],[Código del producto Vendido]],STOCK[],5,FALSE),"-")</f>
        <v>Bolso tejido redondo de gran capidad </v>
      </c>
      <c r="G1266" s="11">
        <v>1</v>
      </c>
      <c r="H1266" s="14">
        <v>25</v>
      </c>
      <c r="I1266" s="14">
        <f>VENTAS[[#This Row],[Cantidad]]*VENTAS[[#This Row],[Precio Venta]]</f>
        <v>25</v>
      </c>
      <c r="J1266" s="14">
        <f>IF(VENTAS[[#This Row],[Nombre del Gestor]]&gt;1,VENTAS[[#This Row],[Total]]*10%,0)</f>
        <v>2.5</v>
      </c>
      <c r="K1266" s="14">
        <f>IFERROR(VLOOKUP(VENTAS[[#This Row],[Código del producto Vendido]],STOCK[],16,FALSE)*VENTAS[[#This Row],[Cantidad]]+VLOOKUP(VENTAS[[#This Row],[Código del producto Vendido]],STOCK[],19,FALSE)*VENTAS[[#This Row],[Cantidad]],VENTAS[[#This Row],[Total]])</f>
        <v>11.67</v>
      </c>
      <c r="L1266" s="14">
        <f>VENTAS[[#This Row],[Total]]-VENTAS[[#This Row],[Comisión 10%]]-VENTAS[[#This Row],[Costo SIN Comision]]</f>
        <v>10.83</v>
      </c>
      <c r="M1266" s="14"/>
    </row>
    <row r="1267" ht="20" hidden="1" customHeight="1" spans="1:13">
      <c r="A1267" s="10">
        <v>45527</v>
      </c>
      <c r="B1267" s="11"/>
      <c r="C1267" s="11" t="s">
        <v>4301</v>
      </c>
      <c r="D1267" s="11" t="s">
        <v>4212</v>
      </c>
      <c r="E1267" s="11" t="s">
        <v>2510</v>
      </c>
      <c r="F1267" s="11" t="str">
        <f>IFERROR(VLOOKUP(VENTAS[[#This Row],[Código del producto Vendido]],STOCK[],5,FALSE),"-")</f>
        <v>Falda Pantalón de mezclilla</v>
      </c>
      <c r="G1267" s="11">
        <v>1</v>
      </c>
      <c r="H1267" s="14">
        <v>30</v>
      </c>
      <c r="I1267" s="14">
        <f>VENTAS[[#This Row],[Cantidad]]*VENTAS[[#This Row],[Precio Venta]]</f>
        <v>30</v>
      </c>
      <c r="J1267" s="14">
        <f>IF(VENTAS[[#This Row],[Nombre del Gestor]]&gt;1,VENTAS[[#This Row],[Total]]*10%,0)</f>
        <v>3</v>
      </c>
      <c r="K1267" s="14">
        <f>IFERROR(VLOOKUP(VENTAS[[#This Row],[Código del producto Vendido]],STOCK[],16,FALSE)*VENTAS[[#This Row],[Cantidad]]+VLOOKUP(VENTAS[[#This Row],[Código del producto Vendido]],STOCK[],19,FALSE)*VENTAS[[#This Row],[Cantidad]],VENTAS[[#This Row],[Total]])</f>
        <v>19.19</v>
      </c>
      <c r="L1267" s="14">
        <f>VENTAS[[#This Row],[Total]]-VENTAS[[#This Row],[Comisión 10%]]-VENTAS[[#This Row],[Costo SIN Comision]]</f>
        <v>7.81</v>
      </c>
      <c r="M1267" s="14"/>
    </row>
    <row r="1268" ht="20" hidden="1" customHeight="1" spans="1:13">
      <c r="A1268" s="10">
        <v>45527</v>
      </c>
      <c r="B1268" s="11"/>
      <c r="C1268" s="11" t="s">
        <v>4301</v>
      </c>
      <c r="D1268" s="11" t="s">
        <v>4212</v>
      </c>
      <c r="E1268" s="11" t="s">
        <v>102</v>
      </c>
      <c r="F1268" s="11" t="str">
        <f>IFERROR(VLOOKUP(VENTAS[[#This Row],[Código del producto Vendido]],STOCK[],5,FALSE),"-")</f>
        <v>Pareo pantalón de malla</v>
      </c>
      <c r="G1268" s="11">
        <v>1</v>
      </c>
      <c r="H1268" s="14">
        <v>15</v>
      </c>
      <c r="I1268" s="14">
        <f>VENTAS[[#This Row],[Cantidad]]*VENTAS[[#This Row],[Precio Venta]]</f>
        <v>15</v>
      </c>
      <c r="J1268" s="14">
        <f>IF(VENTAS[[#This Row],[Nombre del Gestor]]&gt;1,VENTAS[[#This Row],[Total]]*10%,0)</f>
        <v>1.5</v>
      </c>
      <c r="K1268" s="14">
        <f>IFERROR(VLOOKUP(VENTAS[[#This Row],[Código del producto Vendido]],STOCK[],16,FALSE)*VENTAS[[#This Row],[Cantidad]]+VLOOKUP(VENTAS[[#This Row],[Código del producto Vendido]],STOCK[],19,FALSE)*VENTAS[[#This Row],[Cantidad]],VENTAS[[#This Row],[Total]])</f>
        <v>9.78555555555556</v>
      </c>
      <c r="L1268" s="14">
        <f>VENTAS[[#This Row],[Total]]-VENTAS[[#This Row],[Comisión 10%]]-VENTAS[[#This Row],[Costo SIN Comision]]</f>
        <v>3.71444444444444</v>
      </c>
      <c r="M1268" s="14"/>
    </row>
    <row r="1269" ht="20" hidden="1" customHeight="1" spans="1:13">
      <c r="A1269" s="10">
        <v>45526</v>
      </c>
      <c r="B1269" s="11"/>
      <c r="C1269" s="11" t="s">
        <v>4357</v>
      </c>
      <c r="D1269" s="11" t="s">
        <v>4212</v>
      </c>
      <c r="E1269" s="11" t="s">
        <v>2489</v>
      </c>
      <c r="F1269" s="11" t="str">
        <f>IFERROR(VLOOKUP(VENTAS[[#This Row],[Código del producto Vendido]],STOCK[],5,FALSE),"-")</f>
        <v>Sandalias prácticas chunky blanco crema</v>
      </c>
      <c r="G1269" s="11">
        <v>1</v>
      </c>
      <c r="H1269" s="14">
        <v>35</v>
      </c>
      <c r="I1269" s="14">
        <f>VENTAS[[#This Row],[Cantidad]]*VENTAS[[#This Row],[Precio Venta]]</f>
        <v>35</v>
      </c>
      <c r="J1269" s="14">
        <f>IF(VENTAS[[#This Row],[Nombre del Gestor]]&gt;1,VENTAS[[#This Row],[Total]]*10%,0)</f>
        <v>3.5</v>
      </c>
      <c r="K1269" s="14">
        <f>IFERROR(VLOOKUP(VENTAS[[#This Row],[Código del producto Vendido]],STOCK[],16,FALSE)*VENTAS[[#This Row],[Cantidad]]+VLOOKUP(VENTAS[[#This Row],[Código del producto Vendido]],STOCK[],19,FALSE)*VENTAS[[#This Row],[Cantidad]],VENTAS[[#This Row],[Total]])</f>
        <v>24.2174</v>
      </c>
      <c r="L1269" s="14">
        <f>VENTAS[[#This Row],[Total]]-VENTAS[[#This Row],[Comisión 10%]]-VENTAS[[#This Row],[Costo SIN Comision]]</f>
        <v>7.2826</v>
      </c>
      <c r="M1269" s="14"/>
    </row>
    <row r="1270" ht="20" hidden="1" customHeight="1" spans="1:13">
      <c r="A1270" s="10">
        <v>45514</v>
      </c>
      <c r="B1270" s="11"/>
      <c r="C1270" s="11" t="s">
        <v>4305</v>
      </c>
      <c r="D1270" s="11" t="s">
        <v>4212</v>
      </c>
      <c r="E1270" s="11" t="s">
        <v>2527</v>
      </c>
      <c r="F1270" s="11" t="str">
        <f>IFERROR(VLOOKUP(VENTAS[[#This Row],[Código del producto Vendido]],STOCK[],5,FALSE),"-")</f>
        <v>Blusa de lazos color negro</v>
      </c>
      <c r="G1270" s="11">
        <v>1</v>
      </c>
      <c r="H1270" s="14">
        <v>18</v>
      </c>
      <c r="I1270" s="14">
        <f>VENTAS[[#This Row],[Cantidad]]*VENTAS[[#This Row],[Precio Venta]]</f>
        <v>18</v>
      </c>
      <c r="J1270" s="14">
        <f>IF(VENTAS[[#This Row],[Nombre del Gestor]]&gt;1,VENTAS[[#This Row],[Total]]*10%,0)</f>
        <v>1.8</v>
      </c>
      <c r="K1270" s="14">
        <f>IFERROR(VLOOKUP(VENTAS[[#This Row],[Código del producto Vendido]],STOCK[],16,FALSE)*VENTAS[[#This Row],[Cantidad]]+VLOOKUP(VENTAS[[#This Row],[Código del producto Vendido]],STOCK[],19,FALSE)*VENTAS[[#This Row],[Cantidad]],VENTAS[[#This Row],[Total]])</f>
        <v>10.22</v>
      </c>
      <c r="L1270" s="14">
        <f>VENTAS[[#This Row],[Total]]-VENTAS[[#This Row],[Comisión 10%]]-VENTAS[[#This Row],[Costo SIN Comision]]</f>
        <v>5.98</v>
      </c>
      <c r="M1270" s="14"/>
    </row>
    <row r="1271" ht="20" hidden="1" customHeight="1" spans="1:13">
      <c r="A1271" s="10">
        <v>45513</v>
      </c>
      <c r="B1271" s="11"/>
      <c r="C1271" s="11" t="s">
        <v>4358</v>
      </c>
      <c r="D1271" s="11" t="s">
        <v>4212</v>
      </c>
      <c r="E1271" s="11" t="s">
        <v>2587</v>
      </c>
      <c r="F1271" s="11" t="str">
        <f>IFERROR(VLOOKUP(VENTAS[[#This Row],[Código del producto Vendido]],STOCK[],5,FALSE),"-")</f>
        <v>Vestido blanco espalda cruzada</v>
      </c>
      <c r="G1271" s="11">
        <v>1</v>
      </c>
      <c r="H1271" s="14">
        <v>30</v>
      </c>
      <c r="I1271" s="14">
        <f>VENTAS[[#This Row],[Cantidad]]*VENTAS[[#This Row],[Precio Venta]]</f>
        <v>30</v>
      </c>
      <c r="J1271" s="14">
        <f>IF(VENTAS[[#This Row],[Nombre del Gestor]]&gt;1,VENTAS[[#This Row],[Total]]*10%,0)</f>
        <v>3</v>
      </c>
      <c r="K1271" s="14">
        <f>IFERROR(VLOOKUP(VENTAS[[#This Row],[Código del producto Vendido]],STOCK[],16,FALSE)*VENTAS[[#This Row],[Cantidad]]+VLOOKUP(VENTAS[[#This Row],[Código del producto Vendido]],STOCK[],19,FALSE)*VENTAS[[#This Row],[Cantidad]],VENTAS[[#This Row],[Total]])</f>
        <v>15.44</v>
      </c>
      <c r="L1271" s="14">
        <f>VENTAS[[#This Row],[Total]]-VENTAS[[#This Row],[Comisión 10%]]-VENTAS[[#This Row],[Costo SIN Comision]]</f>
        <v>11.56</v>
      </c>
      <c r="M1271" s="14"/>
    </row>
    <row r="1272" ht="20" hidden="1" customHeight="1" spans="1:13">
      <c r="A1272" s="10">
        <v>45514</v>
      </c>
      <c r="B1272" s="11"/>
      <c r="C1272" s="11" t="s">
        <v>4359</v>
      </c>
      <c r="D1272" s="11" t="s">
        <v>4212</v>
      </c>
      <c r="E1272" s="11" t="s">
        <v>2465</v>
      </c>
      <c r="F1272" s="11" t="str">
        <f>IFERROR(VLOOKUP(VENTAS[[#This Row],[Código del producto Vendido]],STOCK[],5,FALSE),"-")</f>
        <v>Sandalias de plataforma en bloque de color</v>
      </c>
      <c r="G1272" s="11">
        <v>1</v>
      </c>
      <c r="H1272" s="14">
        <v>35</v>
      </c>
      <c r="I1272" s="14">
        <f>VENTAS[[#This Row],[Cantidad]]*VENTAS[[#This Row],[Precio Venta]]</f>
        <v>35</v>
      </c>
      <c r="J1272" s="14">
        <f>IF(VENTAS[[#This Row],[Nombre del Gestor]]&gt;1,VENTAS[[#This Row],[Total]]*10%,0)</f>
        <v>3.5</v>
      </c>
      <c r="K1272" s="14">
        <f>IFERROR(VLOOKUP(VENTAS[[#This Row],[Código del producto Vendido]],STOCK[],16,FALSE)*VENTAS[[#This Row],[Cantidad]]+VLOOKUP(VENTAS[[#This Row],[Código del producto Vendido]],STOCK[],19,FALSE)*VENTAS[[#This Row],[Cantidad]],VENTAS[[#This Row],[Total]])</f>
        <v>21.97</v>
      </c>
      <c r="L1272" s="14">
        <f>VENTAS[[#This Row],[Total]]-VENTAS[[#This Row],[Comisión 10%]]-VENTAS[[#This Row],[Costo SIN Comision]]</f>
        <v>9.53</v>
      </c>
      <c r="M1272" s="14"/>
    </row>
    <row r="1273" ht="20" hidden="1" customHeight="1" spans="1:13">
      <c r="A1273" s="10">
        <v>45521</v>
      </c>
      <c r="B1273" s="11"/>
      <c r="C1273" s="11" t="s">
        <v>4211</v>
      </c>
      <c r="D1273" s="11" t="s">
        <v>4212</v>
      </c>
      <c r="E1273" s="11" t="s">
        <v>1124</v>
      </c>
      <c r="F1273" s="11" t="str">
        <f>IFERROR(VLOOKUP(VENTAS[[#This Row],[Código del producto Vendido]],STOCK[],5,FALSE),"-")</f>
        <v>Sandalias de tacón con tiras </v>
      </c>
      <c r="G1273" s="11">
        <v>1</v>
      </c>
      <c r="H1273" s="14">
        <v>40</v>
      </c>
      <c r="I1273" s="14">
        <f>VENTAS[[#This Row],[Cantidad]]*VENTAS[[#This Row],[Precio Venta]]</f>
        <v>40</v>
      </c>
      <c r="J1273" s="14">
        <f>IF(VENTAS[[#This Row],[Nombre del Gestor]]&gt;1,VENTAS[[#This Row],[Total]]*10%,0)</f>
        <v>4</v>
      </c>
      <c r="K1273" s="14">
        <f>IFERROR(VLOOKUP(VENTAS[[#This Row],[Código del producto Vendido]],STOCK[],16,FALSE)*VENTAS[[#This Row],[Cantidad]]+VLOOKUP(VENTAS[[#This Row],[Código del producto Vendido]],STOCK[],19,FALSE)*VENTAS[[#This Row],[Cantidad]],VENTAS[[#This Row],[Total]])</f>
        <v>27.1529411764706</v>
      </c>
      <c r="L1273" s="14">
        <f>VENTAS[[#This Row],[Total]]-VENTAS[[#This Row],[Comisión 10%]]-VENTAS[[#This Row],[Costo SIN Comision]]</f>
        <v>8.8470588235294</v>
      </c>
      <c r="M1273" s="14"/>
    </row>
    <row r="1274" ht="20" hidden="1" customHeight="1" spans="1:13">
      <c r="A1274" s="10">
        <v>45523</v>
      </c>
      <c r="B1274" s="11"/>
      <c r="C1274" s="11" t="s">
        <v>4360</v>
      </c>
      <c r="D1274" s="11" t="s">
        <v>4212</v>
      </c>
      <c r="E1274" s="11" t="s">
        <v>1737</v>
      </c>
      <c r="F1274" s="11" t="str">
        <f>IFERROR(VLOOKUP(VENTAS[[#This Row],[Código del producto Vendido]],STOCK[],5,FALSE),"-")</f>
        <v>Chaleco de traje Negro</v>
      </c>
      <c r="G1274" s="11">
        <v>1</v>
      </c>
      <c r="H1274" s="14">
        <v>25</v>
      </c>
      <c r="I1274" s="14">
        <f>VENTAS[[#This Row],[Cantidad]]*VENTAS[[#This Row],[Precio Venta]]</f>
        <v>25</v>
      </c>
      <c r="J1274" s="14">
        <f>IF(VENTAS[[#This Row],[Nombre del Gestor]]&gt;1,VENTAS[[#This Row],[Total]]*10%,0)</f>
        <v>2.5</v>
      </c>
      <c r="K1274" s="14">
        <f>IFERROR(VLOOKUP(VENTAS[[#This Row],[Código del producto Vendido]],STOCK[],16,FALSE)*VENTAS[[#This Row],[Cantidad]]+VLOOKUP(VENTAS[[#This Row],[Código del producto Vendido]],STOCK[],19,FALSE)*VENTAS[[#This Row],[Cantidad]],VENTAS[[#This Row],[Total]])</f>
        <v>17.9411764705882</v>
      </c>
      <c r="L1274" s="14">
        <f>VENTAS[[#This Row],[Total]]-VENTAS[[#This Row],[Comisión 10%]]-VENTAS[[#This Row],[Costo SIN Comision]]</f>
        <v>4.5588235294118</v>
      </c>
      <c r="M1274" s="14"/>
    </row>
    <row r="1275" ht="20" hidden="1" customHeight="1" spans="1:13">
      <c r="A1275" s="10">
        <v>45513</v>
      </c>
      <c r="B1275" s="11"/>
      <c r="C1275" s="11" t="s">
        <v>4361</v>
      </c>
      <c r="D1275" s="11" t="s">
        <v>4212</v>
      </c>
      <c r="E1275" s="11" t="s">
        <v>2628</v>
      </c>
      <c r="F1275" s="11" t="str">
        <f>IFERROR(VLOOKUP(VENTAS[[#This Row],[Código del producto Vendido]],STOCK[],5,FALSE),"-")</f>
        <v>Vestido verde cruzado H&amp;M</v>
      </c>
      <c r="G1275" s="11">
        <v>1</v>
      </c>
      <c r="H1275" s="14">
        <v>28</v>
      </c>
      <c r="I1275" s="14">
        <f>VENTAS[[#This Row],[Cantidad]]*VENTAS[[#This Row],[Precio Venta]]</f>
        <v>28</v>
      </c>
      <c r="J1275" s="14">
        <f>IF(VENTAS[[#This Row],[Nombre del Gestor]]&gt;1,VENTAS[[#This Row],[Total]]*10%,0)</f>
        <v>2.8</v>
      </c>
      <c r="K1275" s="14">
        <f>IFERROR(VLOOKUP(VENTAS[[#This Row],[Código del producto Vendido]],STOCK[],16,FALSE)*VENTAS[[#This Row],[Cantidad]]+VLOOKUP(VENTAS[[#This Row],[Código del producto Vendido]],STOCK[],19,FALSE)*VENTAS[[#This Row],[Cantidad]],VENTAS[[#This Row],[Total]])</f>
        <v>13.96</v>
      </c>
      <c r="L1275" s="14">
        <f>VENTAS[[#This Row],[Total]]-VENTAS[[#This Row],[Comisión 10%]]-VENTAS[[#This Row],[Costo SIN Comision]]</f>
        <v>11.24</v>
      </c>
      <c r="M1275" s="14"/>
    </row>
    <row r="1276" ht="20" hidden="1" customHeight="1" spans="1:13">
      <c r="A1276" s="10">
        <v>45513</v>
      </c>
      <c r="B1276" s="11"/>
      <c r="C1276" s="11" t="s">
        <v>4361</v>
      </c>
      <c r="D1276" s="11" t="s">
        <v>4212</v>
      </c>
      <c r="E1276" s="11" t="s">
        <v>2614</v>
      </c>
      <c r="F1276" s="11" t="str">
        <f>IFERROR(VLOOKUP(VENTAS[[#This Row],[Código del producto Vendido]],STOCK[],5,FALSE),"-")</f>
        <v>Vestido Maxi Negro Ajustado Elegante de hombro atado</v>
      </c>
      <c r="G1276" s="11">
        <v>1</v>
      </c>
      <c r="H1276" s="14">
        <v>25</v>
      </c>
      <c r="I1276" s="14">
        <f>VENTAS[[#This Row],[Cantidad]]*VENTAS[[#This Row],[Precio Venta]]</f>
        <v>25</v>
      </c>
      <c r="J1276" s="14">
        <f>IF(VENTAS[[#This Row],[Nombre del Gestor]]&gt;1,VENTAS[[#This Row],[Total]]*10%,0)</f>
        <v>2.5</v>
      </c>
      <c r="K1276" s="14">
        <f>IFERROR(VLOOKUP(VENTAS[[#This Row],[Código del producto Vendido]],STOCK[],16,FALSE)*VENTAS[[#This Row],[Cantidad]]+VLOOKUP(VENTAS[[#This Row],[Código del producto Vendido]],STOCK[],19,FALSE)*VENTAS[[#This Row],[Cantidad]],VENTAS[[#This Row],[Total]])</f>
        <v>13.14</v>
      </c>
      <c r="L1276" s="14">
        <f>VENTAS[[#This Row],[Total]]-VENTAS[[#This Row],[Comisión 10%]]-VENTAS[[#This Row],[Costo SIN Comision]]</f>
        <v>9.36</v>
      </c>
      <c r="M1276" s="14"/>
    </row>
    <row r="1277" ht="20" hidden="1" customHeight="1" spans="1:13">
      <c r="A1277" s="10">
        <v>45527</v>
      </c>
      <c r="B1277" s="11"/>
      <c r="C1277" s="11" t="s">
        <v>4362</v>
      </c>
      <c r="D1277" s="11" t="s">
        <v>4363</v>
      </c>
      <c r="E1277" s="11" t="s">
        <v>2564</v>
      </c>
      <c r="F1277" s="11" t="str">
        <f>IFERROR(VLOOKUP(VENTAS[[#This Row],[Código del producto Vendido]],STOCK[],5,FALSE),"-")</f>
        <v>Top corto de lazo delantero </v>
      </c>
      <c r="G1277" s="11">
        <v>1</v>
      </c>
      <c r="H1277" s="14">
        <v>17</v>
      </c>
      <c r="I1277" s="14">
        <f>VENTAS[[#This Row],[Cantidad]]*VENTAS[[#This Row],[Precio Venta]]</f>
        <v>17</v>
      </c>
      <c r="J1277" s="14">
        <f>IF(VENTAS[[#This Row],[Nombre del Gestor]]&gt;1,VENTAS[[#This Row],[Total]]*10%,0)</f>
        <v>1.7</v>
      </c>
      <c r="K1277" s="14">
        <f>IFERROR(VLOOKUP(VENTAS[[#This Row],[Código del producto Vendido]],STOCK[],16,FALSE)*VENTAS[[#This Row],[Cantidad]]+VLOOKUP(VENTAS[[#This Row],[Código del producto Vendido]],STOCK[],19,FALSE)*VENTAS[[#This Row],[Cantidad]],VENTAS[[#This Row],[Total]])</f>
        <v>11.45</v>
      </c>
      <c r="L1277" s="14">
        <f>VENTAS[[#This Row],[Total]]-VENTAS[[#This Row],[Comisión 10%]]-VENTAS[[#This Row],[Costo SIN Comision]]</f>
        <v>3.85</v>
      </c>
      <c r="M1277" s="14"/>
    </row>
    <row r="1278" ht="20" hidden="1" customHeight="1" spans="1:13">
      <c r="A1278" s="10">
        <v>45527</v>
      </c>
      <c r="B1278" s="11"/>
      <c r="C1278" s="11" t="s">
        <v>4364</v>
      </c>
      <c r="D1278" s="11" t="s">
        <v>4365</v>
      </c>
      <c r="E1278" s="11" t="s">
        <v>2306</v>
      </c>
      <c r="F1278" s="11" t="str">
        <f>IFERROR(VLOOKUP(VENTAS[[#This Row],[Código del producto Vendido]],STOCK[],5,FALSE),"-")</f>
        <v>Bikini atado a los lados con estampado de cerezas</v>
      </c>
      <c r="G1278" s="11">
        <v>1</v>
      </c>
      <c r="H1278" s="14">
        <v>18</v>
      </c>
      <c r="I1278" s="14">
        <f>VENTAS[[#This Row],[Cantidad]]*VENTAS[[#This Row],[Precio Venta]]</f>
        <v>18</v>
      </c>
      <c r="J1278" s="14">
        <f>IF(VENTAS[[#This Row],[Nombre del Gestor]]&gt;1,VENTAS[[#This Row],[Total]]*10%,0)</f>
        <v>1.8</v>
      </c>
      <c r="K1278" s="14">
        <f>IFERROR(VLOOKUP(VENTAS[[#This Row],[Código del producto Vendido]],STOCK[],16,FALSE)*VENTAS[[#This Row],[Cantidad]]+VLOOKUP(VENTAS[[#This Row],[Código del producto Vendido]],STOCK[],19,FALSE)*VENTAS[[#This Row],[Cantidad]],VENTAS[[#This Row],[Total]])</f>
        <v>11.009375</v>
      </c>
      <c r="L1278" s="14">
        <f>VENTAS[[#This Row],[Total]]-VENTAS[[#This Row],[Comisión 10%]]-VENTAS[[#This Row],[Costo SIN Comision]]</f>
        <v>5.190625</v>
      </c>
      <c r="M1278" s="14"/>
    </row>
    <row r="1279" ht="20" hidden="1" customHeight="1" spans="1:13">
      <c r="A1279" s="10">
        <v>45527</v>
      </c>
      <c r="B1279" s="11"/>
      <c r="C1279" s="11" t="s">
        <v>4364</v>
      </c>
      <c r="D1279" s="11" t="s">
        <v>4365</v>
      </c>
      <c r="E1279" s="11" t="s">
        <v>2351</v>
      </c>
      <c r="F1279" s="11" t="str">
        <f>IFERROR(VLOOKUP(VENTAS[[#This Row],[Código del producto Vendido]],STOCK[],5,FALSE),"-")</f>
        <v>Set de 3 piezas bikini de moda estampado de hoja</v>
      </c>
      <c r="G1279" s="11">
        <v>1</v>
      </c>
      <c r="H1279" s="14">
        <v>28</v>
      </c>
      <c r="I1279" s="14">
        <f>VENTAS[[#This Row],[Cantidad]]*VENTAS[[#This Row],[Precio Venta]]</f>
        <v>28</v>
      </c>
      <c r="J1279" s="14">
        <f>IF(VENTAS[[#This Row],[Nombre del Gestor]]&gt;1,VENTAS[[#This Row],[Total]]*10%,0)</f>
        <v>2.8</v>
      </c>
      <c r="K1279" s="14">
        <f>IFERROR(VLOOKUP(VENTAS[[#This Row],[Código del producto Vendido]],STOCK[],16,FALSE)*VENTAS[[#This Row],[Cantidad]]+VLOOKUP(VENTAS[[#This Row],[Código del producto Vendido]],STOCK[],19,FALSE)*VENTAS[[#This Row],[Cantidad]],VENTAS[[#This Row],[Total]])</f>
        <v>17.665625</v>
      </c>
      <c r="L1279" s="14">
        <f>VENTAS[[#This Row],[Total]]-VENTAS[[#This Row],[Comisión 10%]]-VENTAS[[#This Row],[Costo SIN Comision]]</f>
        <v>7.534375</v>
      </c>
      <c r="M1279" s="14"/>
    </row>
    <row r="1280" ht="20" hidden="1" customHeight="1" spans="1:13">
      <c r="A1280" s="10">
        <v>45522</v>
      </c>
      <c r="B1280" s="11"/>
      <c r="C1280" s="11" t="s">
        <v>4366</v>
      </c>
      <c r="D1280" s="11" t="s">
        <v>4365</v>
      </c>
      <c r="E1280" s="11" t="s">
        <v>2523</v>
      </c>
      <c r="F1280" s="11" t="str">
        <f>IFERROR(VLOOKUP(VENTAS[[#This Row],[Código del producto Vendido]],STOCK[],5,FALSE),"-")</f>
        <v>Cinturón fino de hebilla de estilo elegante negro</v>
      </c>
      <c r="G1280" s="11">
        <v>1</v>
      </c>
      <c r="H1280" s="14">
        <v>12</v>
      </c>
      <c r="I1280" s="14">
        <f>VENTAS[[#This Row],[Cantidad]]*VENTAS[[#This Row],[Precio Venta]]</f>
        <v>12</v>
      </c>
      <c r="J1280" s="14">
        <f>IF(VENTAS[[#This Row],[Nombre del Gestor]]&gt;1,VENTAS[[#This Row],[Total]]*10%,0)</f>
        <v>1.2</v>
      </c>
      <c r="K1280" s="14">
        <f>IFERROR(VLOOKUP(VENTAS[[#This Row],[Código del producto Vendido]],STOCK[],16,FALSE)*VENTAS[[#This Row],[Cantidad]]+VLOOKUP(VENTAS[[#This Row],[Código del producto Vendido]],STOCK[],19,FALSE)*VENTAS[[#This Row],[Cantidad]],VENTAS[[#This Row],[Total]])</f>
        <v>5.13</v>
      </c>
      <c r="L1280" s="14">
        <f>VENTAS[[#This Row],[Total]]-VENTAS[[#This Row],[Comisión 10%]]-VENTAS[[#This Row],[Costo SIN Comision]]</f>
        <v>5.67</v>
      </c>
      <c r="M1280" s="14"/>
    </row>
    <row r="1281" ht="20" hidden="1" customHeight="1" spans="1:13">
      <c r="A1281" s="10">
        <v>45522</v>
      </c>
      <c r="B1281" s="11"/>
      <c r="C1281" s="11" t="s">
        <v>4366</v>
      </c>
      <c r="D1281" s="11" t="s">
        <v>4365</v>
      </c>
      <c r="E1281" s="11" t="s">
        <v>2678</v>
      </c>
      <c r="F1281" s="11" t="str">
        <f>IFERROR(VLOOKUP(VENTAS[[#This Row],[Código del producto Vendido]],STOCK[],5,FALSE),"-")</f>
        <v>Traje de baño clásico en bloque de color de talle alto</v>
      </c>
      <c r="G1281" s="11">
        <v>1</v>
      </c>
      <c r="H1281" s="14">
        <v>28</v>
      </c>
      <c r="I1281" s="14">
        <f>VENTAS[[#This Row],[Cantidad]]*VENTAS[[#This Row],[Precio Venta]]</f>
        <v>28</v>
      </c>
      <c r="J1281" s="14">
        <f>IF(VENTAS[[#This Row],[Nombre del Gestor]]&gt;1,VENTAS[[#This Row],[Total]]*10%,0)</f>
        <v>2.8</v>
      </c>
      <c r="K1281" s="14">
        <f>IFERROR(VLOOKUP(VENTAS[[#This Row],[Código del producto Vendido]],STOCK[],16,FALSE)*VENTAS[[#This Row],[Cantidad]]+VLOOKUP(VENTAS[[#This Row],[Código del producto Vendido]],STOCK[],19,FALSE)*VENTAS[[#This Row],[Cantidad]],VENTAS[[#This Row],[Total]])</f>
        <v>10.41</v>
      </c>
      <c r="L1281" s="14">
        <f>VENTAS[[#This Row],[Total]]-VENTAS[[#This Row],[Comisión 10%]]-VENTAS[[#This Row],[Costo SIN Comision]]</f>
        <v>14.79</v>
      </c>
      <c r="M1281" s="14"/>
    </row>
    <row r="1282" ht="20" hidden="1" customHeight="1" spans="1:13">
      <c r="A1282" s="10">
        <v>45519</v>
      </c>
      <c r="B1282" s="11"/>
      <c r="C1282" s="11" t="s">
        <v>4367</v>
      </c>
      <c r="D1282" s="11" t="s">
        <v>4365</v>
      </c>
      <c r="E1282" s="11" t="s">
        <v>2679</v>
      </c>
      <c r="F1282" s="11" t="str">
        <f>IFERROR(VLOOKUP(VENTAS[[#This Row],[Código del producto Vendido]],STOCK[],5,FALSE),"-")</f>
        <v>Traje de baño clásico en bloque de color de talle alto</v>
      </c>
      <c r="G1282" s="11">
        <v>1</v>
      </c>
      <c r="H1282" s="14">
        <v>28</v>
      </c>
      <c r="I1282" s="14">
        <f>VENTAS[[#This Row],[Cantidad]]*VENTAS[[#This Row],[Precio Venta]]</f>
        <v>28</v>
      </c>
      <c r="J1282" s="14">
        <f>IF(VENTAS[[#This Row],[Nombre del Gestor]]&gt;1,VENTAS[[#This Row],[Total]]*10%,0)</f>
        <v>2.8</v>
      </c>
      <c r="K1282" s="14">
        <f>IFERROR(VLOOKUP(VENTAS[[#This Row],[Código del producto Vendido]],STOCK[],16,FALSE)*VENTAS[[#This Row],[Cantidad]]+VLOOKUP(VENTAS[[#This Row],[Código del producto Vendido]],STOCK[],19,FALSE)*VENTAS[[#This Row],[Cantidad]],VENTAS[[#This Row],[Total]])</f>
        <v>10.4</v>
      </c>
      <c r="L1282" s="14">
        <f>VENTAS[[#This Row],[Total]]-VENTAS[[#This Row],[Comisión 10%]]-VENTAS[[#This Row],[Costo SIN Comision]]</f>
        <v>14.8</v>
      </c>
      <c r="M1282" s="14"/>
    </row>
    <row r="1283" ht="20" hidden="1" customHeight="1" spans="1:13">
      <c r="A1283" s="10">
        <v>45518</v>
      </c>
      <c r="B1283" s="11"/>
      <c r="C1283" s="11" t="s">
        <v>4368</v>
      </c>
      <c r="D1283" s="11" t="s">
        <v>4365</v>
      </c>
      <c r="E1283" s="11" t="s">
        <v>2477</v>
      </c>
      <c r="F1283" s="11" t="str">
        <f>IFERROR(VLOOKUP(VENTAS[[#This Row],[Código del producto Vendido]],STOCK[],5,FALSE),"-")</f>
        <v>Sandalias espadriles nude</v>
      </c>
      <c r="G1283" s="11">
        <v>1</v>
      </c>
      <c r="H1283" s="14">
        <v>45</v>
      </c>
      <c r="I1283" s="14">
        <f>VENTAS[[#This Row],[Cantidad]]*VENTAS[[#This Row],[Precio Venta]]</f>
        <v>45</v>
      </c>
      <c r="J1283" s="14">
        <f>IF(VENTAS[[#This Row],[Nombre del Gestor]]&gt;1,VENTAS[[#This Row],[Total]]*10%,0)</f>
        <v>4.5</v>
      </c>
      <c r="K1283" s="14">
        <f>IFERROR(VLOOKUP(VENTAS[[#This Row],[Código del producto Vendido]],STOCK[],16,FALSE)*VENTAS[[#This Row],[Cantidad]]+VLOOKUP(VENTAS[[#This Row],[Código del producto Vendido]],STOCK[],19,FALSE)*VENTAS[[#This Row],[Cantidad]],VENTAS[[#This Row],[Total]])</f>
        <v>31.9517</v>
      </c>
      <c r="L1283" s="14">
        <f>VENTAS[[#This Row],[Total]]-VENTAS[[#This Row],[Comisión 10%]]-VENTAS[[#This Row],[Costo SIN Comision]]</f>
        <v>8.5483</v>
      </c>
      <c r="M1283" s="14"/>
    </row>
    <row r="1284" ht="20" hidden="1" customHeight="1" spans="1:13">
      <c r="A1284" s="10">
        <v>45517</v>
      </c>
      <c r="B1284" s="11"/>
      <c r="C1284" s="11" t="s">
        <v>4369</v>
      </c>
      <c r="D1284" s="11" t="s">
        <v>4365</v>
      </c>
      <c r="E1284" s="11" t="s">
        <v>1777</v>
      </c>
      <c r="F1284" s="11" t="str">
        <f>IFERROR(VLOOKUP(VENTAS[[#This Row],[Código del producto Vendido]],STOCK[],5,FALSE),"-")</f>
        <v>Conjunto de bikini</v>
      </c>
      <c r="G1284" s="11">
        <v>1</v>
      </c>
      <c r="H1284" s="14">
        <v>20</v>
      </c>
      <c r="I1284" s="14">
        <f>VENTAS[[#This Row],[Cantidad]]*VENTAS[[#This Row],[Precio Venta]]</f>
        <v>20</v>
      </c>
      <c r="J1284" s="14">
        <f>IF(VENTAS[[#This Row],[Nombre del Gestor]]&gt;1,VENTAS[[#This Row],[Total]]*10%,0)</f>
        <v>2</v>
      </c>
      <c r="K1284" s="14">
        <f>IFERROR(VLOOKUP(VENTAS[[#This Row],[Código del producto Vendido]],STOCK[],16,FALSE)*VENTAS[[#This Row],[Cantidad]]+VLOOKUP(VENTAS[[#This Row],[Código del producto Vendido]],STOCK[],19,FALSE)*VENTAS[[#This Row],[Cantidad]],VENTAS[[#This Row],[Total]])</f>
        <v>12.3529411764706</v>
      </c>
      <c r="L1284" s="14">
        <f>VENTAS[[#This Row],[Total]]-VENTAS[[#This Row],[Comisión 10%]]-VENTAS[[#This Row],[Costo SIN Comision]]</f>
        <v>5.64705882352941</v>
      </c>
      <c r="M1284" s="14"/>
    </row>
    <row r="1285" ht="20" hidden="1" customHeight="1" spans="1:13">
      <c r="A1285" s="10">
        <v>45517</v>
      </c>
      <c r="B1285" s="11"/>
      <c r="C1285" s="11" t="s">
        <v>4370</v>
      </c>
      <c r="D1285" s="11" t="s">
        <v>4365</v>
      </c>
      <c r="E1285" s="11" t="s">
        <v>2538</v>
      </c>
      <c r="F1285" s="11" t="str">
        <f>IFERROR(VLOOKUP(VENTAS[[#This Row],[Código del producto Vendido]],STOCK[],5,FALSE),"-")</f>
        <v>Pullover corto unicolor blanco</v>
      </c>
      <c r="G1285" s="11">
        <v>1</v>
      </c>
      <c r="H1285" s="14">
        <v>10</v>
      </c>
      <c r="I1285" s="14">
        <f>VENTAS[[#This Row],[Cantidad]]*VENTAS[[#This Row],[Precio Venta]]</f>
        <v>10</v>
      </c>
      <c r="J1285" s="14">
        <f>IF(VENTAS[[#This Row],[Nombre del Gestor]]&gt;1,VENTAS[[#This Row],[Total]]*10%,0)</f>
        <v>1</v>
      </c>
      <c r="K1285" s="14">
        <f>IFERROR(VLOOKUP(VENTAS[[#This Row],[Código del producto Vendido]],STOCK[],16,FALSE)*VENTAS[[#This Row],[Cantidad]]+VLOOKUP(VENTAS[[#This Row],[Código del producto Vendido]],STOCK[],19,FALSE)*VENTAS[[#This Row],[Cantidad]],VENTAS[[#This Row],[Total]])</f>
        <v>4.32</v>
      </c>
      <c r="L1285" s="14">
        <f>VENTAS[[#This Row],[Total]]-VENTAS[[#This Row],[Comisión 10%]]-VENTAS[[#This Row],[Costo SIN Comision]]</f>
        <v>4.68</v>
      </c>
      <c r="M1285" s="14"/>
    </row>
    <row r="1286" ht="20" hidden="1" customHeight="1" spans="1:13">
      <c r="A1286" s="10">
        <v>45509</v>
      </c>
      <c r="B1286" s="11"/>
      <c r="C1286" s="11" t="s">
        <v>4371</v>
      </c>
      <c r="D1286" s="11" t="s">
        <v>4365</v>
      </c>
      <c r="E1286" s="11" t="s">
        <v>2539</v>
      </c>
      <c r="F1286" s="11" t="str">
        <f>IFERROR(VLOOKUP(VENTAS[[#This Row],[Código del producto Vendido]],STOCK[],5,FALSE),"-")</f>
        <v>Pullover corto unicolor beige</v>
      </c>
      <c r="G1286" s="11">
        <v>1</v>
      </c>
      <c r="H1286" s="14">
        <v>10</v>
      </c>
      <c r="I1286" s="14">
        <f>VENTAS[[#This Row],[Cantidad]]*VENTAS[[#This Row],[Precio Venta]]</f>
        <v>10</v>
      </c>
      <c r="J1286" s="14">
        <f>IF(VENTAS[[#This Row],[Nombre del Gestor]]&gt;1,VENTAS[[#This Row],[Total]]*10%,0)</f>
        <v>1</v>
      </c>
      <c r="K1286" s="14">
        <f>IFERROR(VLOOKUP(VENTAS[[#This Row],[Código del producto Vendido]],STOCK[],16,FALSE)*VENTAS[[#This Row],[Cantidad]]+VLOOKUP(VENTAS[[#This Row],[Código del producto Vendido]],STOCK[],19,FALSE)*VENTAS[[#This Row],[Cantidad]],VENTAS[[#This Row],[Total]])</f>
        <v>2.35</v>
      </c>
      <c r="L1286" s="14">
        <f>VENTAS[[#This Row],[Total]]-VENTAS[[#This Row],[Comisión 10%]]-VENTAS[[#This Row],[Costo SIN Comision]]</f>
        <v>6.65</v>
      </c>
      <c r="M1286" s="14"/>
    </row>
    <row r="1287" ht="20" hidden="1" customHeight="1" spans="1:13">
      <c r="A1287" s="10">
        <v>45509</v>
      </c>
      <c r="B1287" s="11"/>
      <c r="C1287" s="11" t="s">
        <v>4371</v>
      </c>
      <c r="D1287" s="11" t="s">
        <v>4365</v>
      </c>
      <c r="E1287" s="11" t="s">
        <v>2538</v>
      </c>
      <c r="F1287" s="11" t="str">
        <f>IFERROR(VLOOKUP(VENTAS[[#This Row],[Código del producto Vendido]],STOCK[],5,FALSE),"-")</f>
        <v>Pullover corto unicolor blanco</v>
      </c>
      <c r="G1287" s="11">
        <v>1</v>
      </c>
      <c r="H1287" s="14">
        <v>10</v>
      </c>
      <c r="I1287" s="14">
        <f>VENTAS[[#This Row],[Cantidad]]*VENTAS[[#This Row],[Precio Venta]]</f>
        <v>10</v>
      </c>
      <c r="J1287" s="14">
        <f>IF(VENTAS[[#This Row],[Nombre del Gestor]]&gt;1,VENTAS[[#This Row],[Total]]*10%,0)</f>
        <v>1</v>
      </c>
      <c r="K1287" s="14">
        <f>IFERROR(VLOOKUP(VENTAS[[#This Row],[Código del producto Vendido]],STOCK[],16,FALSE)*VENTAS[[#This Row],[Cantidad]]+VLOOKUP(VENTAS[[#This Row],[Código del producto Vendido]],STOCK[],19,FALSE)*VENTAS[[#This Row],[Cantidad]],VENTAS[[#This Row],[Total]])</f>
        <v>4.32</v>
      </c>
      <c r="L1287" s="14">
        <f>VENTAS[[#This Row],[Total]]-VENTAS[[#This Row],[Comisión 10%]]-VENTAS[[#This Row],[Costo SIN Comision]]</f>
        <v>4.68</v>
      </c>
      <c r="M1287" s="14"/>
    </row>
    <row r="1288" ht="20" hidden="1" customHeight="1" spans="1:13">
      <c r="A1288" s="10">
        <v>45509</v>
      </c>
      <c r="B1288" s="11"/>
      <c r="C1288" s="11" t="s">
        <v>4371</v>
      </c>
      <c r="D1288" s="11" t="s">
        <v>4365</v>
      </c>
      <c r="E1288" s="11" t="s">
        <v>2534</v>
      </c>
      <c r="F1288" s="11" t="str">
        <f>IFERROR(VLOOKUP(VENTAS[[#This Row],[Código del producto Vendido]],STOCK[],5,FALSE),"-")</f>
        <v>Pullover corto unicolor carmelita</v>
      </c>
      <c r="G1288" s="11">
        <v>1</v>
      </c>
      <c r="H1288" s="14">
        <v>10</v>
      </c>
      <c r="I1288" s="14">
        <f>VENTAS[[#This Row],[Cantidad]]*VENTAS[[#This Row],[Precio Venta]]</f>
        <v>10</v>
      </c>
      <c r="J1288" s="14">
        <f>IF(VENTAS[[#This Row],[Nombre del Gestor]]&gt;1,VENTAS[[#This Row],[Total]]*10%,0)</f>
        <v>1</v>
      </c>
      <c r="K1288" s="14">
        <f>IFERROR(VLOOKUP(VENTAS[[#This Row],[Código del producto Vendido]],STOCK[],16,FALSE)*VENTAS[[#This Row],[Cantidad]]+VLOOKUP(VENTAS[[#This Row],[Código del producto Vendido]],STOCK[],19,FALSE)*VENTAS[[#This Row],[Cantidad]],VENTAS[[#This Row],[Total]])</f>
        <v>4.32</v>
      </c>
      <c r="L1288" s="14">
        <f>VENTAS[[#This Row],[Total]]-VENTAS[[#This Row],[Comisión 10%]]-VENTAS[[#This Row],[Costo SIN Comision]]</f>
        <v>4.68</v>
      </c>
      <c r="M1288" s="14"/>
    </row>
    <row r="1289" ht="20" hidden="1" customHeight="1" spans="1:13">
      <c r="A1289" s="10">
        <v>45511</v>
      </c>
      <c r="B1289" s="11"/>
      <c r="C1289" s="11" t="s">
        <v>4372</v>
      </c>
      <c r="D1289" s="11" t="s">
        <v>4365</v>
      </c>
      <c r="E1289" s="11" t="s">
        <v>2523</v>
      </c>
      <c r="F1289" s="11" t="str">
        <f>IFERROR(VLOOKUP(VENTAS[[#This Row],[Código del producto Vendido]],STOCK[],5,FALSE),"-")</f>
        <v>Cinturón fino de hebilla de estilo elegante negro</v>
      </c>
      <c r="G1289" s="11">
        <v>1</v>
      </c>
      <c r="H1289" s="14">
        <v>12</v>
      </c>
      <c r="I1289" s="14">
        <f>VENTAS[[#This Row],[Cantidad]]*VENTAS[[#This Row],[Precio Venta]]</f>
        <v>12</v>
      </c>
      <c r="J1289" s="14">
        <f>IF(VENTAS[[#This Row],[Nombre del Gestor]]&gt;1,VENTAS[[#This Row],[Total]]*10%,0)</f>
        <v>1.2</v>
      </c>
      <c r="K1289" s="14">
        <f>IFERROR(VLOOKUP(VENTAS[[#This Row],[Código del producto Vendido]],STOCK[],16,FALSE)*VENTAS[[#This Row],[Cantidad]]+VLOOKUP(VENTAS[[#This Row],[Código del producto Vendido]],STOCK[],19,FALSE)*VENTAS[[#This Row],[Cantidad]],VENTAS[[#This Row],[Total]])</f>
        <v>5.13</v>
      </c>
      <c r="L1289" s="14">
        <f>VENTAS[[#This Row],[Total]]-VENTAS[[#This Row],[Comisión 10%]]-VENTAS[[#This Row],[Costo SIN Comision]]</f>
        <v>5.67</v>
      </c>
      <c r="M1289" s="14"/>
    </row>
    <row r="1290" ht="20" hidden="1" customHeight="1" spans="1:13">
      <c r="A1290" s="10">
        <v>45511</v>
      </c>
      <c r="B1290" s="11"/>
      <c r="C1290" s="11" t="s">
        <v>4372</v>
      </c>
      <c r="D1290" s="11" t="s">
        <v>4365</v>
      </c>
      <c r="E1290" s="11" t="s">
        <v>2509</v>
      </c>
      <c r="F1290" s="11" t="str">
        <f>IFERROR(VLOOKUP(VENTAS[[#This Row],[Código del producto Vendido]],STOCK[],5,FALSE),"-")</f>
        <v>Falda Pantalón de mezclilla</v>
      </c>
      <c r="G1290" s="11">
        <v>1</v>
      </c>
      <c r="H1290" s="14">
        <v>30</v>
      </c>
      <c r="I1290" s="14">
        <f>VENTAS[[#This Row],[Cantidad]]*VENTAS[[#This Row],[Precio Venta]]</f>
        <v>30</v>
      </c>
      <c r="J1290" s="14">
        <f>IF(VENTAS[[#This Row],[Nombre del Gestor]]&gt;1,VENTAS[[#This Row],[Total]]*10%,0)</f>
        <v>3</v>
      </c>
      <c r="K1290" s="14">
        <f>IFERROR(VLOOKUP(VENTAS[[#This Row],[Código del producto Vendido]],STOCK[],16,FALSE)*VENTAS[[#This Row],[Cantidad]]+VLOOKUP(VENTAS[[#This Row],[Código del producto Vendido]],STOCK[],19,FALSE)*VENTAS[[#This Row],[Cantidad]],VENTAS[[#This Row],[Total]])</f>
        <v>19.19</v>
      </c>
      <c r="L1290" s="14">
        <f>VENTAS[[#This Row],[Total]]-VENTAS[[#This Row],[Comisión 10%]]-VENTAS[[#This Row],[Costo SIN Comision]]</f>
        <v>7.81</v>
      </c>
      <c r="M1290" s="14"/>
    </row>
    <row r="1291" ht="20" hidden="1" customHeight="1" spans="1:13">
      <c r="A1291" s="10">
        <v>45505</v>
      </c>
      <c r="B1291" s="11"/>
      <c r="C1291" s="11" t="s">
        <v>4373</v>
      </c>
      <c r="D1291" s="11" t="s">
        <v>4365</v>
      </c>
      <c r="E1291" s="11" t="s">
        <v>734</v>
      </c>
      <c r="F1291" s="11" t="str">
        <f>IFERROR(VLOOKUP(VENTAS[[#This Row],[Código del producto Vendido]],STOCK[],5,FALSE),"-")</f>
        <v>Vestido corto azul real</v>
      </c>
      <c r="G1291" s="11">
        <v>1</v>
      </c>
      <c r="H1291" s="14">
        <v>13</v>
      </c>
      <c r="I1291" s="14">
        <f>VENTAS[[#This Row],[Cantidad]]*VENTAS[[#This Row],[Precio Venta]]</f>
        <v>13</v>
      </c>
      <c r="J1291" s="14">
        <f>IF(VENTAS[[#This Row],[Nombre del Gestor]]&gt;1,VENTAS[[#This Row],[Total]]*10%,0)</f>
        <v>1.3</v>
      </c>
      <c r="K1291" s="14">
        <f>IFERROR(VLOOKUP(VENTAS[[#This Row],[Código del producto Vendido]],STOCK[],16,FALSE)*VENTAS[[#This Row],[Cantidad]]+VLOOKUP(VENTAS[[#This Row],[Código del producto Vendido]],STOCK[],19,FALSE)*VENTAS[[#This Row],[Cantidad]],VENTAS[[#This Row],[Total]])</f>
        <v>11.9444444444444</v>
      </c>
      <c r="L1291" s="14">
        <f>VENTAS[[#This Row],[Total]]-VENTAS[[#This Row],[Comisión 10%]]-VENTAS[[#This Row],[Costo SIN Comision]]</f>
        <v>-0.24444444444444</v>
      </c>
      <c r="M1291" s="14"/>
    </row>
    <row r="1292" ht="20" hidden="1" customHeight="1" spans="1:13">
      <c r="A1292" s="10">
        <v>45505</v>
      </c>
      <c r="B1292" s="11"/>
      <c r="C1292" s="11" t="s">
        <v>4373</v>
      </c>
      <c r="D1292" s="11" t="s">
        <v>4365</v>
      </c>
      <c r="E1292" s="11" t="s">
        <v>2150</v>
      </c>
      <c r="F1292" s="11" t="str">
        <f>IFERROR(VLOOKUP(VENTAS[[#This Row],[Código del producto Vendido]],STOCK[],5,FALSE),"-")</f>
        <v>Set de 3 piezas de bikini con estampado floral</v>
      </c>
      <c r="G1292" s="11">
        <v>1</v>
      </c>
      <c r="H1292" s="14">
        <v>25</v>
      </c>
      <c r="I1292" s="14">
        <f>VENTAS[[#This Row],[Cantidad]]*VENTAS[[#This Row],[Precio Venta]]</f>
        <v>25</v>
      </c>
      <c r="J1292" s="14">
        <f>IF(VENTAS[[#This Row],[Nombre del Gestor]]&gt;1,VENTAS[[#This Row],[Total]]*10%,0)</f>
        <v>2.5</v>
      </c>
      <c r="K1292" s="14">
        <f>IFERROR(VLOOKUP(VENTAS[[#This Row],[Código del producto Vendido]],STOCK[],16,FALSE)*VENTAS[[#This Row],[Cantidad]]+VLOOKUP(VENTAS[[#This Row],[Código del producto Vendido]],STOCK[],19,FALSE)*VENTAS[[#This Row],[Cantidad]],VENTAS[[#This Row],[Total]])</f>
        <v>9.67</v>
      </c>
      <c r="L1292" s="14">
        <f>VENTAS[[#This Row],[Total]]-VENTAS[[#This Row],[Comisión 10%]]-VENTAS[[#This Row],[Costo SIN Comision]]</f>
        <v>12.83</v>
      </c>
      <c r="M1292" s="14"/>
    </row>
    <row r="1293" ht="20" hidden="1" customHeight="1" spans="1:13">
      <c r="A1293" s="10">
        <v>45505</v>
      </c>
      <c r="B1293" s="11"/>
      <c r="C1293" s="11" t="s">
        <v>4374</v>
      </c>
      <c r="D1293" s="11" t="s">
        <v>4365</v>
      </c>
      <c r="E1293" s="11" t="s">
        <v>832</v>
      </c>
      <c r="F1293" s="11" t="str">
        <f>IFERROR(VLOOKUP(VENTAS[[#This Row],[Código del producto Vendido]],STOCK[],5,FALSE),"-")</f>
        <v>Vestido estampado malva</v>
      </c>
      <c r="G1293" s="11">
        <v>1</v>
      </c>
      <c r="H1293" s="14">
        <v>12</v>
      </c>
      <c r="I1293" s="14">
        <f>VENTAS[[#This Row],[Cantidad]]*VENTAS[[#This Row],[Precio Venta]]</f>
        <v>12</v>
      </c>
      <c r="J1293" s="14">
        <f>IF(VENTAS[[#This Row],[Nombre del Gestor]]&gt;1,VENTAS[[#This Row],[Total]]*10%,0)</f>
        <v>1.2</v>
      </c>
      <c r="K1293" s="14">
        <f>IFERROR(VLOOKUP(VENTAS[[#This Row],[Código del producto Vendido]],STOCK[],16,FALSE)*VENTAS[[#This Row],[Cantidad]]+VLOOKUP(VENTAS[[#This Row],[Código del producto Vendido]],STOCK[],19,FALSE)*VENTAS[[#This Row],[Cantidad]],VENTAS[[#This Row],[Total]])</f>
        <v>9.33333333333333</v>
      </c>
      <c r="L1293" s="14">
        <f>VENTAS[[#This Row],[Total]]-VENTAS[[#This Row],[Comisión 10%]]-VENTAS[[#This Row],[Costo SIN Comision]]</f>
        <v>1.46666666666667</v>
      </c>
      <c r="M1293" s="14"/>
    </row>
    <row r="1294" ht="20" hidden="1" customHeight="1" spans="1:13">
      <c r="A1294" s="10">
        <v>45505</v>
      </c>
      <c r="B1294" s="11"/>
      <c r="C1294" s="11" t="s">
        <v>4374</v>
      </c>
      <c r="D1294" s="11" t="s">
        <v>4365</v>
      </c>
      <c r="E1294" s="11" t="s">
        <v>1708</v>
      </c>
      <c r="F1294" s="11" t="str">
        <f>IFERROR(VLOOKUP(VENTAS[[#This Row],[Código del producto Vendido]],STOCK[],5,FALSE),"-")</f>
        <v>Vestido acanalado de manga larga</v>
      </c>
      <c r="G1294" s="11">
        <v>1</v>
      </c>
      <c r="H1294" s="14">
        <v>25</v>
      </c>
      <c r="I1294" s="14">
        <f>VENTAS[[#This Row],[Cantidad]]*VENTAS[[#This Row],[Precio Venta]]</f>
        <v>25</v>
      </c>
      <c r="J1294" s="14">
        <f>IF(VENTAS[[#This Row],[Nombre del Gestor]]&gt;1,VENTAS[[#This Row],[Total]]*10%,0)</f>
        <v>2.5</v>
      </c>
      <c r="K1294" s="14">
        <f>IFERROR(VLOOKUP(VENTAS[[#This Row],[Código del producto Vendido]],STOCK[],16,FALSE)*VENTAS[[#This Row],[Cantidad]]+VLOOKUP(VENTAS[[#This Row],[Código del producto Vendido]],STOCK[],19,FALSE)*VENTAS[[#This Row],[Cantidad]],VENTAS[[#This Row],[Total]])</f>
        <v>18.1</v>
      </c>
      <c r="L1294" s="14">
        <f>VENTAS[[#This Row],[Total]]-VENTAS[[#This Row],[Comisión 10%]]-VENTAS[[#This Row],[Costo SIN Comision]]</f>
        <v>4.4</v>
      </c>
      <c r="M1294" s="14"/>
    </row>
    <row r="1295" ht="20" hidden="1" customHeight="1" spans="1:13">
      <c r="A1295" s="10">
        <v>45526</v>
      </c>
      <c r="B1295" s="11"/>
      <c r="C1295" s="11" t="s">
        <v>4375</v>
      </c>
      <c r="D1295" s="11" t="s">
        <v>4376</v>
      </c>
      <c r="E1295" s="11" t="s">
        <v>2696</v>
      </c>
      <c r="F1295" s="11" t="str">
        <f>IFERROR(VLOOKUP(VENTAS[[#This Row],[Código del producto Vendido]],STOCK[],5,FALSE),"-")</f>
        <v>Set de Splash y crema de Victoria Secret (Original) Aqua Kiss</v>
      </c>
      <c r="G1295" s="11">
        <v>1</v>
      </c>
      <c r="H1295" s="14">
        <v>40</v>
      </c>
      <c r="I1295" s="14">
        <f>VENTAS[[#This Row],[Cantidad]]*VENTAS[[#This Row],[Precio Venta]]</f>
        <v>40</v>
      </c>
      <c r="J1295" s="14">
        <f>IF(VENTAS[[#This Row],[Nombre del Gestor]]&gt;1,VENTAS[[#This Row],[Total]]*10%,0)</f>
        <v>4</v>
      </c>
      <c r="K1295" s="14">
        <f>IFERROR(VLOOKUP(VENTAS[[#This Row],[Código del producto Vendido]],STOCK[],16,FALSE)*VENTAS[[#This Row],[Cantidad]]+VLOOKUP(VENTAS[[#This Row],[Código del producto Vendido]],STOCK[],19,FALSE)*VENTAS[[#This Row],[Cantidad]],VENTAS[[#This Row],[Total]])</f>
        <v>16.37</v>
      </c>
      <c r="L1295" s="14">
        <f>VENTAS[[#This Row],[Total]]-VENTAS[[#This Row],[Comisión 10%]]-VENTAS[[#This Row],[Costo SIN Comision]]</f>
        <v>19.63</v>
      </c>
      <c r="M1295" s="14"/>
    </row>
    <row r="1296" ht="20" hidden="1" customHeight="1" spans="1:13">
      <c r="A1296" s="10">
        <v>45528</v>
      </c>
      <c r="B1296" s="11"/>
      <c r="C1296" s="11" t="s">
        <v>4347</v>
      </c>
      <c r="D1296" s="11" t="s">
        <v>4266</v>
      </c>
      <c r="E1296" s="11" t="s">
        <v>861</v>
      </c>
      <c r="F1296" s="11" t="str">
        <f>IFERROR(VLOOKUP(VENTAS[[#This Row],[Código del producto Vendido]],STOCK[],5,FALSE),"-")</f>
        <v>Vestido venturina</v>
      </c>
      <c r="G1296" s="11">
        <v>0</v>
      </c>
      <c r="H1296" s="14">
        <v>0</v>
      </c>
      <c r="I1296" s="14">
        <f>VENTAS[[#This Row],[Cantidad]]*VENTAS[[#This Row],[Precio Venta]]</f>
        <v>0</v>
      </c>
      <c r="J1296" s="14">
        <f>IF(VENTAS[[#This Row],[Nombre del Gestor]]&gt;1,VENTAS[[#This Row],[Total]]*10%,0)</f>
        <v>0</v>
      </c>
      <c r="K1296" s="14">
        <f>IFERROR(VLOOKUP(VENTAS[[#This Row],[Código del producto Vendido]],STOCK[],16,FALSE)*VENTAS[[#This Row],[Cantidad]]+VLOOKUP(VENTAS[[#This Row],[Código del producto Vendido]],STOCK[],19,FALSE)*VENTAS[[#This Row],[Cantidad]],VENTAS[[#This Row],[Total]])</f>
        <v>0</v>
      </c>
      <c r="L1296" s="14">
        <f>VENTAS[[#This Row],[Total]]-VENTAS[[#This Row],[Comisión 10%]]-VENTAS[[#This Row],[Costo SIN Comision]]</f>
        <v>0</v>
      </c>
      <c r="M1296" s="14"/>
    </row>
    <row r="1297" ht="20" hidden="1" customHeight="1" spans="1:13">
      <c r="A1297" s="10">
        <v>45529</v>
      </c>
      <c r="B1297" s="11"/>
      <c r="C1297" s="11" t="s">
        <v>4377</v>
      </c>
      <c r="D1297" s="11" t="s">
        <v>4241</v>
      </c>
      <c r="E1297" s="11" t="s">
        <v>2489</v>
      </c>
      <c r="F1297" s="11" t="str">
        <f>IFERROR(VLOOKUP(VENTAS[[#This Row],[Código del producto Vendido]],STOCK[],5,FALSE),"-")</f>
        <v>Sandalias prácticas chunky blanco crema</v>
      </c>
      <c r="G1297" s="11">
        <v>1</v>
      </c>
      <c r="H1297" s="14">
        <v>35</v>
      </c>
      <c r="I1297" s="14">
        <f>VENTAS[[#This Row],[Cantidad]]*VENTAS[[#This Row],[Precio Venta]]</f>
        <v>35</v>
      </c>
      <c r="J1297" s="14">
        <f>IF(VENTAS[[#This Row],[Nombre del Gestor]]&gt;1,VENTAS[[#This Row],[Total]]*10%,0)</f>
        <v>3.5</v>
      </c>
      <c r="K1297" s="14">
        <f>IFERROR(VLOOKUP(VENTAS[[#This Row],[Código del producto Vendido]],STOCK[],16,FALSE)*VENTAS[[#This Row],[Cantidad]]+VLOOKUP(VENTAS[[#This Row],[Código del producto Vendido]],STOCK[],19,FALSE)*VENTAS[[#This Row],[Cantidad]],VENTAS[[#This Row],[Total]])</f>
        <v>24.2174</v>
      </c>
      <c r="L1297" s="14">
        <f>VENTAS[[#This Row],[Total]]-VENTAS[[#This Row],[Comisión 10%]]-VENTAS[[#This Row],[Costo SIN Comision]]</f>
        <v>7.2826</v>
      </c>
      <c r="M1297" s="14"/>
    </row>
    <row r="1298" ht="20" hidden="1" customHeight="1" spans="1:13">
      <c r="A1298" s="10">
        <v>45529</v>
      </c>
      <c r="B1298" s="11"/>
      <c r="C1298" s="11" t="s">
        <v>4378</v>
      </c>
      <c r="D1298" s="11" t="s">
        <v>4241</v>
      </c>
      <c r="E1298" s="11" t="s">
        <v>1205</v>
      </c>
      <c r="F1298" s="11" t="str">
        <f>IFERROR(VLOOKUP(VENTAS[[#This Row],[Código del producto Vendido]],STOCK[],5,FALSE),"-")</f>
        <v>Camisa Blanca</v>
      </c>
      <c r="G1298" s="11">
        <v>1</v>
      </c>
      <c r="H1298" s="14">
        <v>22</v>
      </c>
      <c r="I1298" s="14">
        <f>VENTAS[[#This Row],[Cantidad]]*VENTAS[[#This Row],[Precio Venta]]</f>
        <v>22</v>
      </c>
      <c r="J1298" s="14">
        <f>IF(VENTAS[[#This Row],[Nombre del Gestor]]&gt;1,VENTAS[[#This Row],[Total]]*10%,0)</f>
        <v>2.2</v>
      </c>
      <c r="K1298" s="14">
        <f>IFERROR(VLOOKUP(VENTAS[[#This Row],[Código del producto Vendido]],STOCK[],16,FALSE)*VENTAS[[#This Row],[Cantidad]]+VLOOKUP(VENTAS[[#This Row],[Código del producto Vendido]],STOCK[],19,FALSE)*VENTAS[[#This Row],[Cantidad]],VENTAS[[#This Row],[Total]])</f>
        <v>12.9</v>
      </c>
      <c r="L1298" s="14">
        <f>VENTAS[[#This Row],[Total]]-VENTAS[[#This Row],[Comisión 10%]]-VENTAS[[#This Row],[Costo SIN Comision]]</f>
        <v>6.9</v>
      </c>
      <c r="M1298" s="14"/>
    </row>
    <row r="1299" ht="20" hidden="1" customHeight="1" spans="1:13">
      <c r="A1299" s="10">
        <v>45529</v>
      </c>
      <c r="B1299" s="11"/>
      <c r="C1299" s="11" t="s">
        <v>4361</v>
      </c>
      <c r="D1299" s="11" t="s">
        <v>4241</v>
      </c>
      <c r="E1299" s="11" t="s">
        <v>2147</v>
      </c>
      <c r="F1299" s="11" t="str">
        <f>IFERROR(VLOOKUP(VENTAS[[#This Row],[Código del producto Vendido]],STOCK[],5,FALSE),"-")</f>
        <v>Set de 3 piezas de bikini con estampado floral</v>
      </c>
      <c r="G1299" s="11">
        <v>1</v>
      </c>
      <c r="H1299" s="14">
        <v>25</v>
      </c>
      <c r="I1299" s="14">
        <f>VENTAS[[#This Row],[Cantidad]]*VENTAS[[#This Row],[Precio Venta]]</f>
        <v>25</v>
      </c>
      <c r="J1299" s="14">
        <f>IF(VENTAS[[#This Row],[Nombre del Gestor]]&gt;1,VENTAS[[#This Row],[Total]]*10%,0)</f>
        <v>2.5</v>
      </c>
      <c r="K1299" s="14">
        <f>IFERROR(VLOOKUP(VENTAS[[#This Row],[Código del producto Vendido]],STOCK[],16,FALSE)*VENTAS[[#This Row],[Cantidad]]+VLOOKUP(VENTAS[[#This Row],[Código del producto Vendido]],STOCK[],19,FALSE)*VENTAS[[#This Row],[Cantidad]],VENTAS[[#This Row],[Total]])</f>
        <v>9.67</v>
      </c>
      <c r="L1299" s="14">
        <f>VENTAS[[#This Row],[Total]]-VENTAS[[#This Row],[Comisión 10%]]-VENTAS[[#This Row],[Costo SIN Comision]]</f>
        <v>12.83</v>
      </c>
      <c r="M1299" s="14"/>
    </row>
    <row r="1300" ht="20" hidden="1" customHeight="1" spans="1:13">
      <c r="A1300" s="10">
        <v>45529</v>
      </c>
      <c r="B1300" s="11" t="s">
        <v>4379</v>
      </c>
      <c r="C1300" s="11" t="s">
        <v>4380</v>
      </c>
      <c r="D1300" s="11" t="s">
        <v>4076</v>
      </c>
      <c r="E1300" s="11" t="s">
        <v>2521</v>
      </c>
      <c r="F1300" s="11" t="str">
        <f>IFERROR(VLOOKUP(VENTAS[[#This Row],[Código del producto Vendido]],STOCK[],5,FALSE),"-")</f>
        <v>Pantalones cortos de mezclilla de moda</v>
      </c>
      <c r="G1300" s="11">
        <v>1</v>
      </c>
      <c r="H1300" s="14">
        <v>0</v>
      </c>
      <c r="I1300" s="14">
        <f>VENTAS[[#This Row],[Cantidad]]*VENTAS[[#This Row],[Precio Venta]]</f>
        <v>0</v>
      </c>
      <c r="J1300" s="14">
        <f>IF(VENTAS[[#This Row],[Nombre del Gestor]]&gt;1,VENTAS[[#This Row],[Total]]*10%,0)</f>
        <v>0</v>
      </c>
      <c r="K1300" s="14">
        <f>IFERROR(VLOOKUP(VENTAS[[#This Row],[Código del producto Vendido]],STOCK[],16,FALSE)*VENTAS[[#This Row],[Cantidad]]+VLOOKUP(VENTAS[[#This Row],[Código del producto Vendido]],STOCK[],19,FALSE)*VENTAS[[#This Row],[Cantidad]],VENTAS[[#This Row],[Total]])</f>
        <v>15.79</v>
      </c>
      <c r="L1300" s="14">
        <f>VENTAS[[#This Row],[Total]]-VENTAS[[#This Row],[Comisión 10%]]-VENTAS[[#This Row],[Costo SIN Comision]]</f>
        <v>-15.79</v>
      </c>
      <c r="M1300" s="14"/>
    </row>
    <row r="1301" ht="20" hidden="1" customHeight="1" spans="1:13">
      <c r="A1301" s="10">
        <v>45529</v>
      </c>
      <c r="B1301" s="11"/>
      <c r="C1301" s="11" t="s">
        <v>4381</v>
      </c>
      <c r="D1301" s="11" t="s">
        <v>4272</v>
      </c>
      <c r="E1301" s="11" t="s">
        <v>2362</v>
      </c>
      <c r="F1301" s="11" t="str">
        <f>IFERROR(VLOOKUP(VENTAS[[#This Row],[Código del producto Vendido]],STOCK[],5,FALSE),"-")</f>
        <v>Espejuelos estilo cat eye</v>
      </c>
      <c r="G1301" s="11">
        <v>0</v>
      </c>
      <c r="H1301" s="14">
        <v>10</v>
      </c>
      <c r="I1301" s="14">
        <f>VENTAS[[#This Row],[Cantidad]]*VENTAS[[#This Row],[Precio Venta]]</f>
        <v>0</v>
      </c>
      <c r="J1301" s="14">
        <f>IF(VENTAS[[#This Row],[Nombre del Gestor]]&gt;1,VENTAS[[#This Row],[Total]]*10%,0)</f>
        <v>0</v>
      </c>
      <c r="K1301" s="14">
        <f>IFERROR(VLOOKUP(VENTAS[[#This Row],[Código del producto Vendido]],STOCK[],16,FALSE)*VENTAS[[#This Row],[Cantidad]]+VLOOKUP(VENTAS[[#This Row],[Código del producto Vendido]],STOCK[],19,FALSE)*VENTAS[[#This Row],[Cantidad]],VENTAS[[#This Row],[Total]])</f>
        <v>0</v>
      </c>
      <c r="L1301" s="14">
        <f>VENTAS[[#This Row],[Total]]-VENTAS[[#This Row],[Comisión 10%]]-VENTAS[[#This Row],[Costo SIN Comision]]</f>
        <v>0</v>
      </c>
      <c r="M1301" s="14"/>
    </row>
    <row r="1302" ht="20" hidden="1" customHeight="1" spans="1:13">
      <c r="A1302" s="10">
        <v>45507</v>
      </c>
      <c r="B1302" s="11"/>
      <c r="C1302" s="11" t="s">
        <v>4382</v>
      </c>
      <c r="D1302" s="11" t="s">
        <v>4222</v>
      </c>
      <c r="E1302" s="11" t="s">
        <v>2561</v>
      </c>
      <c r="F1302" s="11" t="str">
        <f>IFERROR(VLOOKUP(VENTAS[[#This Row],[Código del producto Vendido]],STOCK[],5,FALSE),"-")</f>
        <v>Sombrero Visera de Verano</v>
      </c>
      <c r="G1302" s="11">
        <v>1</v>
      </c>
      <c r="H1302" s="14">
        <v>15</v>
      </c>
      <c r="I1302" s="14">
        <f>VENTAS[[#This Row],[Cantidad]]*VENTAS[[#This Row],[Precio Venta]]</f>
        <v>15</v>
      </c>
      <c r="J1302" s="14">
        <f>IF(VENTAS[[#This Row],[Nombre del Gestor]]&gt;1,VENTAS[[#This Row],[Total]]*10%,0)</f>
        <v>1.5</v>
      </c>
      <c r="K1302" s="14">
        <f>IFERROR(VLOOKUP(VENTAS[[#This Row],[Código del producto Vendido]],STOCK[],16,FALSE)*VENTAS[[#This Row],[Cantidad]]+VLOOKUP(VENTAS[[#This Row],[Código del producto Vendido]],STOCK[],19,FALSE)*VENTAS[[#This Row],[Cantidad]],VENTAS[[#This Row],[Total]])</f>
        <v>6.36</v>
      </c>
      <c r="L1302" s="14">
        <f>VENTAS[[#This Row],[Total]]-VENTAS[[#This Row],[Comisión 10%]]-VENTAS[[#This Row],[Costo SIN Comision]]</f>
        <v>7.14</v>
      </c>
      <c r="M1302" s="14"/>
    </row>
    <row r="1303" ht="20" hidden="1" customHeight="1" spans="1:13">
      <c r="A1303" s="10">
        <v>45509</v>
      </c>
      <c r="B1303" s="11"/>
      <c r="C1303" s="11" t="s">
        <v>4383</v>
      </c>
      <c r="D1303" s="11" t="s">
        <v>4222</v>
      </c>
      <c r="E1303" s="11" t="s">
        <v>2501</v>
      </c>
      <c r="F1303" s="11" t="str">
        <f>IFERROR(VLOOKUP(VENTAS[[#This Row],[Código del producto Vendido]],STOCK[],5,FALSE),"-")</f>
        <v>Bolso de playa con diseño de rayas tamaño mediano</v>
      </c>
      <c r="G1303" s="11">
        <v>1</v>
      </c>
      <c r="H1303" s="14">
        <v>22</v>
      </c>
      <c r="I1303" s="14">
        <f>VENTAS[[#This Row],[Cantidad]]*VENTAS[[#This Row],[Precio Venta]]</f>
        <v>22</v>
      </c>
      <c r="J1303" s="14">
        <f>IF(VENTAS[[#This Row],[Nombre del Gestor]]&gt;1,VENTAS[[#This Row],[Total]]*10%,0)</f>
        <v>2.2</v>
      </c>
      <c r="K1303" s="14">
        <f>IFERROR(VLOOKUP(VENTAS[[#This Row],[Código del producto Vendido]],STOCK[],16,FALSE)*VENTAS[[#This Row],[Cantidad]]+VLOOKUP(VENTAS[[#This Row],[Código del producto Vendido]],STOCK[],19,FALSE)*VENTAS[[#This Row],[Cantidad]],VENTAS[[#This Row],[Total]])</f>
        <v>11.3</v>
      </c>
      <c r="L1303" s="14">
        <f>VENTAS[[#This Row],[Total]]-VENTAS[[#This Row],[Comisión 10%]]-VENTAS[[#This Row],[Costo SIN Comision]]</f>
        <v>8.5</v>
      </c>
      <c r="M1303" s="14"/>
    </row>
    <row r="1304" ht="20" hidden="1" customHeight="1" spans="1:13">
      <c r="A1304" s="10">
        <v>45509</v>
      </c>
      <c r="B1304" s="11"/>
      <c r="C1304" s="11" t="s">
        <v>4384</v>
      </c>
      <c r="D1304" s="11" t="s">
        <v>4222</v>
      </c>
      <c r="E1304" s="11" t="s">
        <v>2501</v>
      </c>
      <c r="F1304" s="11" t="str">
        <f>IFERROR(VLOOKUP(VENTAS[[#This Row],[Código del producto Vendido]],STOCK[],5,FALSE),"-")</f>
        <v>Bolso de playa con diseño de rayas tamaño mediano</v>
      </c>
      <c r="G1304" s="11">
        <v>1</v>
      </c>
      <c r="H1304" s="14">
        <v>22</v>
      </c>
      <c r="I1304" s="14">
        <f>VENTAS[[#This Row],[Cantidad]]*VENTAS[[#This Row],[Precio Venta]]</f>
        <v>22</v>
      </c>
      <c r="J1304" s="14">
        <f>IF(VENTAS[[#This Row],[Nombre del Gestor]]&gt;1,VENTAS[[#This Row],[Total]]*10%,0)</f>
        <v>2.2</v>
      </c>
      <c r="K1304" s="14">
        <f>IFERROR(VLOOKUP(VENTAS[[#This Row],[Código del producto Vendido]],STOCK[],16,FALSE)*VENTAS[[#This Row],[Cantidad]]+VLOOKUP(VENTAS[[#This Row],[Código del producto Vendido]],STOCK[],19,FALSE)*VENTAS[[#This Row],[Cantidad]],VENTAS[[#This Row],[Total]])</f>
        <v>11.3</v>
      </c>
      <c r="L1304" s="14">
        <f>VENTAS[[#This Row],[Total]]-VENTAS[[#This Row],[Comisión 10%]]-VENTAS[[#This Row],[Costo SIN Comision]]</f>
        <v>8.5</v>
      </c>
      <c r="M1304" s="14"/>
    </row>
    <row r="1305" ht="20" hidden="1" customHeight="1" spans="1:13">
      <c r="A1305" s="10">
        <v>45511</v>
      </c>
      <c r="B1305" s="11"/>
      <c r="C1305" s="11" t="s">
        <v>4385</v>
      </c>
      <c r="D1305" s="11" t="s">
        <v>4386</v>
      </c>
      <c r="E1305" s="11" t="s">
        <v>2545</v>
      </c>
      <c r="F1305" s="11" t="str">
        <f>IFERROR(VLOOKUP(VENTAS[[#This Row],[Código del producto Vendido]],STOCK[],5,FALSE),"-")</f>
        <v>Pullover largo unicolor tela traslúcida negro</v>
      </c>
      <c r="G1305" s="11">
        <v>0</v>
      </c>
      <c r="H1305" s="14">
        <v>10</v>
      </c>
      <c r="I1305" s="14">
        <f>VENTAS[[#This Row],[Cantidad]]*VENTAS[[#This Row],[Precio Venta]]</f>
        <v>0</v>
      </c>
      <c r="J1305" s="14">
        <f>IF(VENTAS[[#This Row],[Nombre del Gestor]]&gt;1,VENTAS[[#This Row],[Total]]*10%,0)</f>
        <v>0</v>
      </c>
      <c r="K1305" s="14">
        <f>IFERROR(VLOOKUP(VENTAS[[#This Row],[Código del producto Vendido]],STOCK[],16,FALSE)*VENTAS[[#This Row],[Cantidad]]+VLOOKUP(VENTAS[[#This Row],[Código del producto Vendido]],STOCK[],19,FALSE)*VENTAS[[#This Row],[Cantidad]],VENTAS[[#This Row],[Total]])</f>
        <v>0</v>
      </c>
      <c r="L1305" s="14">
        <f>VENTAS[[#This Row],[Total]]-VENTAS[[#This Row],[Comisión 10%]]-VENTAS[[#This Row],[Costo SIN Comision]]</f>
        <v>0</v>
      </c>
      <c r="M1305" s="14"/>
    </row>
    <row r="1306" ht="20" hidden="1" customHeight="1" spans="1:13">
      <c r="A1306" s="10">
        <v>45511</v>
      </c>
      <c r="B1306" s="11"/>
      <c r="C1306" s="11" t="s">
        <v>4387</v>
      </c>
      <c r="D1306" s="11" t="s">
        <v>4386</v>
      </c>
      <c r="E1306" s="11" t="s">
        <v>2499</v>
      </c>
      <c r="F1306" s="11" t="str">
        <f>IFERROR(VLOOKUP(VENTAS[[#This Row],[Código del producto Vendido]],STOCK[],5,FALSE),"-")</f>
        <v>Bolso tejido redondo de gran capidad </v>
      </c>
      <c r="G1306" s="11">
        <v>1</v>
      </c>
      <c r="H1306" s="14">
        <v>25</v>
      </c>
      <c r="I1306" s="14">
        <f>VENTAS[[#This Row],[Cantidad]]*VENTAS[[#This Row],[Precio Venta]]</f>
        <v>25</v>
      </c>
      <c r="J1306" s="14">
        <f>IF(VENTAS[[#This Row],[Nombre del Gestor]]&gt;1,VENTAS[[#This Row],[Total]]*10%,0)</f>
        <v>2.5</v>
      </c>
      <c r="K1306" s="14">
        <f>IFERROR(VLOOKUP(VENTAS[[#This Row],[Código del producto Vendido]],STOCK[],16,FALSE)*VENTAS[[#This Row],[Cantidad]]+VLOOKUP(VENTAS[[#This Row],[Código del producto Vendido]],STOCK[],19,FALSE)*VENTAS[[#This Row],[Cantidad]],VENTAS[[#This Row],[Total]])</f>
        <v>11.67</v>
      </c>
      <c r="L1306" s="14">
        <f>VENTAS[[#This Row],[Total]]-VENTAS[[#This Row],[Comisión 10%]]-VENTAS[[#This Row],[Costo SIN Comision]]</f>
        <v>10.83</v>
      </c>
      <c r="M1306" s="14"/>
    </row>
    <row r="1307" ht="20" hidden="1" customHeight="1" spans="1:13">
      <c r="A1307" s="10">
        <v>45511</v>
      </c>
      <c r="B1307" s="11"/>
      <c r="C1307" s="11" t="s">
        <v>4387</v>
      </c>
      <c r="D1307" s="11" t="s">
        <v>4222</v>
      </c>
      <c r="E1307" s="11" t="s">
        <v>1211</v>
      </c>
      <c r="F1307" s="11" t="str">
        <f>IFERROR(VLOOKUP(VENTAS[[#This Row],[Código del producto Vendido]],STOCK[],5,FALSE),"-")</f>
        <v>Falda negra con flores y abertura</v>
      </c>
      <c r="G1307" s="11">
        <v>1</v>
      </c>
      <c r="H1307" s="14">
        <v>18</v>
      </c>
      <c r="I1307" s="14">
        <f>VENTAS[[#This Row],[Cantidad]]*VENTAS[[#This Row],[Precio Venta]]</f>
        <v>18</v>
      </c>
      <c r="J1307" s="14">
        <f>IF(VENTAS[[#This Row],[Nombre del Gestor]]&gt;1,VENTAS[[#This Row],[Total]]*10%,0)</f>
        <v>1.8</v>
      </c>
      <c r="K1307" s="14">
        <f>IFERROR(VLOOKUP(VENTAS[[#This Row],[Código del producto Vendido]],STOCK[],16,FALSE)*VENTAS[[#This Row],[Cantidad]]+VLOOKUP(VENTAS[[#This Row],[Código del producto Vendido]],STOCK[],19,FALSE)*VENTAS[[#This Row],[Cantidad]],VENTAS[[#This Row],[Total]])</f>
        <v>10.77</v>
      </c>
      <c r="L1307" s="14">
        <f>VENTAS[[#This Row],[Total]]-VENTAS[[#This Row],[Comisión 10%]]-VENTAS[[#This Row],[Costo SIN Comision]]</f>
        <v>5.43</v>
      </c>
      <c r="M1307" s="14"/>
    </row>
    <row r="1308" ht="20" hidden="1" customHeight="1" spans="1:13">
      <c r="A1308" s="10">
        <v>45514</v>
      </c>
      <c r="B1308" s="11"/>
      <c r="C1308" s="11" t="s">
        <v>4346</v>
      </c>
      <c r="D1308" s="11" t="s">
        <v>4222</v>
      </c>
      <c r="E1308" s="11" t="s">
        <v>2495</v>
      </c>
      <c r="F1308" s="11" t="str">
        <f>IFERROR(VLOOKUP(VENTAS[[#This Row],[Código del producto Vendido]],STOCK[],5,FALSE),"-")</f>
        <v>Blusa blanca de lazos y manga abullonada</v>
      </c>
      <c r="G1308" s="11">
        <v>1</v>
      </c>
      <c r="H1308" s="14">
        <v>18</v>
      </c>
      <c r="I1308" s="14">
        <f>VENTAS[[#This Row],[Cantidad]]*VENTAS[[#This Row],[Precio Venta]]</f>
        <v>18</v>
      </c>
      <c r="J1308" s="14">
        <f>IF(VENTAS[[#This Row],[Nombre del Gestor]]&gt;1,VENTAS[[#This Row],[Total]]*10%,0)</f>
        <v>1.8</v>
      </c>
      <c r="K1308" s="14">
        <f>IFERROR(VLOOKUP(VENTAS[[#This Row],[Código del producto Vendido]],STOCK[],16,FALSE)*VENTAS[[#This Row],[Cantidad]]+VLOOKUP(VENTAS[[#This Row],[Código del producto Vendido]],STOCK[],19,FALSE)*VENTAS[[#This Row],[Cantidad]],VENTAS[[#This Row],[Total]])</f>
        <v>10.94</v>
      </c>
      <c r="L1308" s="14">
        <f>VENTAS[[#This Row],[Total]]-VENTAS[[#This Row],[Comisión 10%]]-VENTAS[[#This Row],[Costo SIN Comision]]</f>
        <v>5.26</v>
      </c>
      <c r="M1308" s="14"/>
    </row>
    <row r="1309" ht="20" hidden="1" customHeight="1" spans="1:13">
      <c r="A1309" s="10">
        <v>45514</v>
      </c>
      <c r="B1309" s="11"/>
      <c r="C1309" s="11" t="s">
        <v>4388</v>
      </c>
      <c r="D1309" s="11" t="s">
        <v>4222</v>
      </c>
      <c r="E1309" s="11" t="s">
        <v>2473</v>
      </c>
      <c r="F1309" s="11" t="str">
        <f>IFERROR(VLOOKUP(VENTAS[[#This Row],[Código del producto Vendido]],STOCK[],5,FALSE),"-")</f>
        <v>Sandalias de plataforma de tacón grueso</v>
      </c>
      <c r="G1309" s="11">
        <v>1</v>
      </c>
      <c r="H1309" s="14">
        <v>50</v>
      </c>
      <c r="I1309" s="14">
        <f>VENTAS[[#This Row],[Cantidad]]*VENTAS[[#This Row],[Precio Venta]]</f>
        <v>50</v>
      </c>
      <c r="J1309" s="14">
        <f>IF(VENTAS[[#This Row],[Nombre del Gestor]]&gt;1,VENTAS[[#This Row],[Total]]*10%,0)</f>
        <v>5</v>
      </c>
      <c r="K1309" s="14">
        <f>IFERROR(VLOOKUP(VENTAS[[#This Row],[Código del producto Vendido]],STOCK[],16,FALSE)*VENTAS[[#This Row],[Cantidad]]+VLOOKUP(VENTAS[[#This Row],[Código del producto Vendido]],STOCK[],19,FALSE)*VENTAS[[#This Row],[Cantidad]],VENTAS[[#This Row],[Total]])</f>
        <v>29.47</v>
      </c>
      <c r="L1309" s="14">
        <f>VENTAS[[#This Row],[Total]]-VENTAS[[#This Row],[Comisión 10%]]-VENTAS[[#This Row],[Costo SIN Comision]]</f>
        <v>15.53</v>
      </c>
      <c r="M1309" s="14"/>
    </row>
    <row r="1310" ht="20" hidden="1" customHeight="1" spans="1:13">
      <c r="A1310" s="10">
        <v>45514</v>
      </c>
      <c r="B1310" s="11"/>
      <c r="C1310" s="11" t="s">
        <v>4302</v>
      </c>
      <c r="D1310" s="11" t="s">
        <v>4222</v>
      </c>
      <c r="E1310" s="11" t="s">
        <v>1429</v>
      </c>
      <c r="F1310" s="11" t="str">
        <f>IFERROR(VLOOKUP(VENTAS[[#This Row],[Código del producto Vendido]],STOCK[],5,FALSE),"-")</f>
        <v>Sandalias blancas cruzadas</v>
      </c>
      <c r="G1310" s="11">
        <v>1</v>
      </c>
      <c r="H1310" s="14">
        <v>18</v>
      </c>
      <c r="I1310" s="14">
        <f>VENTAS[[#This Row],[Cantidad]]*VENTAS[[#This Row],[Precio Venta]]</f>
        <v>18</v>
      </c>
      <c r="J1310" s="14">
        <f>IF(VENTAS[[#This Row],[Nombre del Gestor]]&gt;1,VENTAS[[#This Row],[Total]]*10%,0)</f>
        <v>1.8</v>
      </c>
      <c r="K1310" s="14">
        <f>IFERROR(VLOOKUP(VENTAS[[#This Row],[Código del producto Vendido]],STOCK[],16,FALSE)*VENTAS[[#This Row],[Cantidad]]+VLOOKUP(VENTAS[[#This Row],[Código del producto Vendido]],STOCK[],19,FALSE)*VENTAS[[#This Row],[Cantidad]],VENTAS[[#This Row],[Total]])</f>
        <v>11.49</v>
      </c>
      <c r="L1310" s="14">
        <f>VENTAS[[#This Row],[Total]]-VENTAS[[#This Row],[Comisión 10%]]-VENTAS[[#This Row],[Costo SIN Comision]]</f>
        <v>4.71</v>
      </c>
      <c r="M1310" s="14"/>
    </row>
    <row r="1311" ht="20" hidden="1" customHeight="1" spans="1:13">
      <c r="A1311" s="10">
        <v>45518</v>
      </c>
      <c r="B1311" s="11"/>
      <c r="C1311" s="11" t="s">
        <v>4389</v>
      </c>
      <c r="D1311" s="11" t="s">
        <v>4222</v>
      </c>
      <c r="E1311" s="11" t="s">
        <v>2529</v>
      </c>
      <c r="F1311" s="11" t="str">
        <f>IFERROR(VLOOKUP(VENTAS[[#This Row],[Código del producto Vendido]],STOCK[],5,FALSE),"-")</f>
        <v>Blusa de lazos color negro</v>
      </c>
      <c r="G1311" s="11">
        <v>1</v>
      </c>
      <c r="H1311" s="14">
        <v>18</v>
      </c>
      <c r="I1311" s="14">
        <f>VENTAS[[#This Row],[Cantidad]]*VENTAS[[#This Row],[Precio Venta]]</f>
        <v>18</v>
      </c>
      <c r="J1311" s="14">
        <f>IF(VENTAS[[#This Row],[Nombre del Gestor]]&gt;1,VENTAS[[#This Row],[Total]]*10%,0)</f>
        <v>1.8</v>
      </c>
      <c r="K1311" s="14">
        <f>IFERROR(VLOOKUP(VENTAS[[#This Row],[Código del producto Vendido]],STOCK[],16,FALSE)*VENTAS[[#This Row],[Cantidad]]+VLOOKUP(VENTAS[[#This Row],[Código del producto Vendido]],STOCK[],19,FALSE)*VENTAS[[#This Row],[Cantidad]],VENTAS[[#This Row],[Total]])</f>
        <v>10.22</v>
      </c>
      <c r="L1311" s="14">
        <f>VENTAS[[#This Row],[Total]]-VENTAS[[#This Row],[Comisión 10%]]-VENTAS[[#This Row],[Costo SIN Comision]]</f>
        <v>5.98</v>
      </c>
      <c r="M1311" s="14"/>
    </row>
    <row r="1312" ht="20" hidden="1" customHeight="1" spans="1:13">
      <c r="A1312" s="10">
        <v>45519</v>
      </c>
      <c r="B1312" s="11"/>
      <c r="C1312" s="11" t="s">
        <v>4390</v>
      </c>
      <c r="D1312" s="11" t="s">
        <v>4222</v>
      </c>
      <c r="E1312" s="11" t="s">
        <v>2713</v>
      </c>
      <c r="F1312" s="11" t="str">
        <f>IFERROR(VLOOKUP(VENTAS[[#This Row],[Código del producto Vendido]],STOCK[],5,FALSE),"-")</f>
        <v>Set de Splash y crema de Victoria Secret (Original) Midnigth Bloom</v>
      </c>
      <c r="G1312" s="11">
        <v>1</v>
      </c>
      <c r="H1312" s="14">
        <v>40</v>
      </c>
      <c r="I1312" s="14">
        <f>VENTAS[[#This Row],[Cantidad]]*VENTAS[[#This Row],[Precio Venta]]</f>
        <v>40</v>
      </c>
      <c r="J1312" s="14">
        <f>IF(VENTAS[[#This Row],[Nombre del Gestor]]&gt;1,VENTAS[[#This Row],[Total]]*10%,0)</f>
        <v>4</v>
      </c>
      <c r="K1312" s="14">
        <f>IFERROR(VLOOKUP(VENTAS[[#This Row],[Código del producto Vendido]],STOCK[],16,FALSE)*VENTAS[[#This Row],[Cantidad]]+VLOOKUP(VENTAS[[#This Row],[Código del producto Vendido]],STOCK[],19,FALSE)*VENTAS[[#This Row],[Cantidad]],VENTAS[[#This Row],[Total]])</f>
        <v>16.37</v>
      </c>
      <c r="L1312" s="14">
        <f>VENTAS[[#This Row],[Total]]-VENTAS[[#This Row],[Comisión 10%]]-VENTAS[[#This Row],[Costo SIN Comision]]</f>
        <v>19.63</v>
      </c>
      <c r="M1312" s="14"/>
    </row>
    <row r="1313" ht="20" hidden="1" customHeight="1" spans="1:13">
      <c r="A1313" s="10">
        <v>45512</v>
      </c>
      <c r="B1313" s="11"/>
      <c r="C1313" s="11" t="s">
        <v>4391</v>
      </c>
      <c r="D1313" s="11" t="s">
        <v>4270</v>
      </c>
      <c r="E1313" s="11" t="s">
        <v>2184</v>
      </c>
      <c r="F1313" s="11" t="str">
        <f>IFERROR(VLOOKUP(VENTAS[[#This Row],[Código del producto Vendido]],STOCK[],5,FALSE),"-")</f>
        <v>Bikini sexy de pierna alta en tendencia</v>
      </c>
      <c r="G1313" s="11">
        <v>1</v>
      </c>
      <c r="H1313" s="14">
        <v>20</v>
      </c>
      <c r="I1313" s="14">
        <f>VENTAS[[#This Row],[Cantidad]]*VENTAS[[#This Row],[Precio Venta]]</f>
        <v>20</v>
      </c>
      <c r="J1313" s="14">
        <f>IF(VENTAS[[#This Row],[Nombre del Gestor]]&gt;1,VENTAS[[#This Row],[Total]]*10%,0)</f>
        <v>2</v>
      </c>
      <c r="K1313" s="14">
        <f>IFERROR(VLOOKUP(VENTAS[[#This Row],[Código del producto Vendido]],STOCK[],16,FALSE)*VENTAS[[#This Row],[Cantidad]]+VLOOKUP(VENTAS[[#This Row],[Código del producto Vendido]],STOCK[],19,FALSE)*VENTAS[[#This Row],[Cantidad]],VENTAS[[#This Row],[Total]])</f>
        <v>6.62</v>
      </c>
      <c r="L1313" s="14">
        <f>VENTAS[[#This Row],[Total]]-VENTAS[[#This Row],[Comisión 10%]]-VENTAS[[#This Row],[Costo SIN Comision]]</f>
        <v>11.38</v>
      </c>
      <c r="M1313" s="14"/>
    </row>
    <row r="1314" ht="20" hidden="1" customHeight="1" spans="1:13">
      <c r="A1314" s="10">
        <v>45512</v>
      </c>
      <c r="B1314" s="11"/>
      <c r="C1314" s="11"/>
      <c r="D1314" s="11" t="s">
        <v>4216</v>
      </c>
      <c r="E1314" s="11" t="s">
        <v>2188</v>
      </c>
      <c r="F1314" s="11" t="str">
        <f>IFERROR(VLOOKUP(VENTAS[[#This Row],[Código del producto Vendido]],STOCK[],5,FALSE),"-")</f>
        <v>Conjunto Playero color verde 2 piezas</v>
      </c>
      <c r="G1314" s="11">
        <v>1</v>
      </c>
      <c r="H1314" s="14">
        <v>25</v>
      </c>
      <c r="I1314" s="14">
        <f>VENTAS[[#This Row],[Cantidad]]*VENTAS[[#This Row],[Precio Venta]]</f>
        <v>25</v>
      </c>
      <c r="J1314" s="14">
        <f>IF(VENTAS[[#This Row],[Nombre del Gestor]]&gt;1,VENTAS[[#This Row],[Total]]*10%,0)</f>
        <v>2.5</v>
      </c>
      <c r="K1314" s="14">
        <f>IFERROR(VLOOKUP(VENTAS[[#This Row],[Código del producto Vendido]],STOCK[],16,FALSE)*VENTAS[[#This Row],[Cantidad]]+VLOOKUP(VENTAS[[#This Row],[Código del producto Vendido]],STOCK[],19,FALSE)*VENTAS[[#This Row],[Cantidad]],VENTAS[[#This Row],[Total]])</f>
        <v>12.48</v>
      </c>
      <c r="L1314" s="14">
        <f>VENTAS[[#This Row],[Total]]-VENTAS[[#This Row],[Comisión 10%]]-VENTAS[[#This Row],[Costo SIN Comision]]</f>
        <v>10.02</v>
      </c>
      <c r="M1314" s="14"/>
    </row>
    <row r="1315" ht="20" hidden="1" customHeight="1" spans="1:13">
      <c r="A1315" s="10">
        <v>45512</v>
      </c>
      <c r="B1315" s="11"/>
      <c r="C1315" s="11"/>
      <c r="D1315" s="11" t="s">
        <v>4216</v>
      </c>
      <c r="E1315" s="11" t="s">
        <v>1172</v>
      </c>
      <c r="F1315" s="11" t="str">
        <f>IFERROR(VLOOKUP(VENTAS[[#This Row],[Código del producto Vendido]],STOCK[],5,FALSE),"-")</f>
        <v>Pullover Dazy cuello redondo Blanco</v>
      </c>
      <c r="G1315" s="11">
        <v>1</v>
      </c>
      <c r="H1315" s="14">
        <v>13</v>
      </c>
      <c r="I1315" s="14">
        <f>VENTAS[[#This Row],[Cantidad]]*VENTAS[[#This Row],[Precio Venta]]</f>
        <v>13</v>
      </c>
      <c r="J1315" s="14">
        <f>IF(VENTAS[[#This Row],[Nombre del Gestor]]&gt;1,VENTAS[[#This Row],[Total]]*10%,0)</f>
        <v>1.3</v>
      </c>
      <c r="K1315" s="14">
        <f>IFERROR(VLOOKUP(VENTAS[[#This Row],[Código del producto Vendido]],STOCK[],16,FALSE)*VENTAS[[#This Row],[Cantidad]]+VLOOKUP(VENTAS[[#This Row],[Código del producto Vendido]],STOCK[],19,FALSE)*VENTAS[[#This Row],[Cantidad]],VENTAS[[#This Row],[Total]])</f>
        <v>8.61</v>
      </c>
      <c r="L1315" s="14">
        <f>VENTAS[[#This Row],[Total]]-VENTAS[[#This Row],[Comisión 10%]]-VENTAS[[#This Row],[Costo SIN Comision]]</f>
        <v>3.09</v>
      </c>
      <c r="M1315" s="14"/>
    </row>
    <row r="1316" ht="20" hidden="1" customHeight="1" spans="1:13">
      <c r="A1316" s="10">
        <v>45507</v>
      </c>
      <c r="B1316" s="11"/>
      <c r="C1316" s="11" t="s">
        <v>4392</v>
      </c>
      <c r="D1316" s="11" t="s">
        <v>4076</v>
      </c>
      <c r="E1316" s="11" t="s">
        <v>2362</v>
      </c>
      <c r="F1316" s="11" t="str">
        <f>IFERROR(VLOOKUP(VENTAS[[#This Row],[Código del producto Vendido]],STOCK[],5,FALSE),"-")</f>
        <v>Espejuelos estilo cat eye</v>
      </c>
      <c r="G1316" s="11">
        <v>1</v>
      </c>
      <c r="H1316" s="14">
        <v>10</v>
      </c>
      <c r="I1316" s="14">
        <f>VENTAS[[#This Row],[Cantidad]]*VENTAS[[#This Row],[Precio Venta]]</f>
        <v>10</v>
      </c>
      <c r="J1316" s="14">
        <f>IF(VENTAS[[#This Row],[Nombre del Gestor]]&gt;1,VENTAS[[#This Row],[Total]]*10%,0)</f>
        <v>1</v>
      </c>
      <c r="K1316" s="14">
        <f>IFERROR(VLOOKUP(VENTAS[[#This Row],[Código del producto Vendido]],STOCK[],16,FALSE)*VENTAS[[#This Row],[Cantidad]]+VLOOKUP(VENTAS[[#This Row],[Código del producto Vendido]],STOCK[],19,FALSE)*VENTAS[[#This Row],[Cantidad]],VENTAS[[#This Row],[Total]])</f>
        <v>5.121875</v>
      </c>
      <c r="L1316" s="14">
        <f>VENTAS[[#This Row],[Total]]-VENTAS[[#This Row],[Comisión 10%]]-VENTAS[[#This Row],[Costo SIN Comision]]</f>
        <v>3.878125</v>
      </c>
      <c r="M1316" s="14"/>
    </row>
    <row r="1317" ht="20" hidden="1" customHeight="1" spans="1:13">
      <c r="A1317" s="10">
        <v>45509</v>
      </c>
      <c r="B1317" s="11"/>
      <c r="C1317" s="11" t="s">
        <v>4338</v>
      </c>
      <c r="D1317" s="11" t="s">
        <v>4076</v>
      </c>
      <c r="E1317" s="11" t="s">
        <v>2601</v>
      </c>
      <c r="F1317" s="11" t="str">
        <f>IFERROR(VLOOKUP(VENTAS[[#This Row],[Código del producto Vendido]],STOCK[],5,FALSE),"-")</f>
        <v>Bolso verano de rafia en bloque de color</v>
      </c>
      <c r="G1317" s="11">
        <v>1</v>
      </c>
      <c r="H1317" s="14">
        <v>22</v>
      </c>
      <c r="I1317" s="14">
        <f>VENTAS[[#This Row],[Cantidad]]*VENTAS[[#This Row],[Precio Venta]]</f>
        <v>22</v>
      </c>
      <c r="J1317" s="14">
        <f>IF(VENTAS[[#This Row],[Nombre del Gestor]]&gt;1,VENTAS[[#This Row],[Total]]*10%,0)</f>
        <v>2.2</v>
      </c>
      <c r="K1317" s="14">
        <f>IFERROR(VLOOKUP(VENTAS[[#This Row],[Código del producto Vendido]],STOCK[],16,FALSE)*VENTAS[[#This Row],[Cantidad]]+VLOOKUP(VENTAS[[#This Row],[Código del producto Vendido]],STOCK[],19,FALSE)*VENTAS[[#This Row],[Cantidad]],VENTAS[[#This Row],[Total]])</f>
        <v>5.96</v>
      </c>
      <c r="L1317" s="14">
        <f>VENTAS[[#This Row],[Total]]-VENTAS[[#This Row],[Comisión 10%]]-VENTAS[[#This Row],[Costo SIN Comision]]</f>
        <v>13.84</v>
      </c>
      <c r="M1317" s="14"/>
    </row>
    <row r="1318" ht="20" hidden="1" customHeight="1" spans="1:13">
      <c r="A1318" s="10">
        <v>45516</v>
      </c>
      <c r="B1318" s="11"/>
      <c r="C1318" s="11" t="s">
        <v>4393</v>
      </c>
      <c r="D1318" s="11" t="s">
        <v>4076</v>
      </c>
      <c r="E1318" s="11" t="s">
        <v>487</v>
      </c>
      <c r="F1318" s="11" t="str">
        <f>IFERROR(VLOOKUP(VENTAS[[#This Row],[Código del producto Vendido]],STOCK[],5,FALSE),"-")</f>
        <v>Bolsa bandolera</v>
      </c>
      <c r="G1318" s="11">
        <v>1</v>
      </c>
      <c r="H1318" s="14">
        <v>12</v>
      </c>
      <c r="I1318" s="14">
        <f>VENTAS[[#This Row],[Cantidad]]*VENTAS[[#This Row],[Precio Venta]]</f>
        <v>12</v>
      </c>
      <c r="J1318" s="14">
        <f>IF(VENTAS[[#This Row],[Nombre del Gestor]]&gt;1,VENTAS[[#This Row],[Total]]*10%,0)</f>
        <v>1.2</v>
      </c>
      <c r="K1318" s="14">
        <f>IFERROR(VLOOKUP(VENTAS[[#This Row],[Código del producto Vendido]],STOCK[],16,FALSE)*VENTAS[[#This Row],[Cantidad]]+VLOOKUP(VENTAS[[#This Row],[Código del producto Vendido]],STOCK[],19,FALSE)*VENTAS[[#This Row],[Cantidad]],VENTAS[[#This Row],[Total]])</f>
        <v>8.94444444444444</v>
      </c>
      <c r="L1318" s="14">
        <f>VENTAS[[#This Row],[Total]]-VENTAS[[#This Row],[Comisión 10%]]-VENTAS[[#This Row],[Costo SIN Comision]]</f>
        <v>1.85555555555556</v>
      </c>
      <c r="M1318" s="14"/>
    </row>
    <row r="1319" ht="20" hidden="1" customHeight="1" spans="1:13">
      <c r="A1319" s="10">
        <v>45518</v>
      </c>
      <c r="B1319" s="11"/>
      <c r="C1319" s="11" t="s">
        <v>4394</v>
      </c>
      <c r="D1319" s="11" t="s">
        <v>4076</v>
      </c>
      <c r="E1319" s="11" t="s">
        <v>1981</v>
      </c>
      <c r="F1319" s="11" t="str">
        <f>IFERROR(VLOOKUP(VENTAS[[#This Row],[Código del producto Vendido]],STOCK[],5,FALSE),"-")</f>
        <v>Bermuda denim curvy</v>
      </c>
      <c r="G1319" s="11">
        <v>1</v>
      </c>
      <c r="H1319" s="14">
        <v>7.5</v>
      </c>
      <c r="I1319" s="14">
        <f>VENTAS[[#This Row],[Cantidad]]*VENTAS[[#This Row],[Precio Venta]]</f>
        <v>7.5</v>
      </c>
      <c r="J1319" s="14">
        <f>IF(VENTAS[[#This Row],[Nombre del Gestor]]&gt;1,VENTAS[[#This Row],[Total]]*10%,0)</f>
        <v>0.75</v>
      </c>
      <c r="K1319" s="14">
        <f>IFERROR(VLOOKUP(VENTAS[[#This Row],[Código del producto Vendido]],STOCK[],16,FALSE)*VENTAS[[#This Row],[Cantidad]]+VLOOKUP(VENTAS[[#This Row],[Código del producto Vendido]],STOCK[],19,FALSE)*VENTAS[[#This Row],[Cantidad]],VENTAS[[#This Row],[Total]])</f>
        <v>5</v>
      </c>
      <c r="L1319" s="14">
        <f>VENTAS[[#This Row],[Total]]-VENTAS[[#This Row],[Comisión 10%]]-VENTAS[[#This Row],[Costo SIN Comision]]</f>
        <v>1.75</v>
      </c>
      <c r="M1319" s="14"/>
    </row>
    <row r="1320" ht="20" hidden="1" customHeight="1" spans="1:13">
      <c r="A1320" s="10">
        <v>45511</v>
      </c>
      <c r="B1320" s="11"/>
      <c r="C1320" s="11" t="s">
        <v>4321</v>
      </c>
      <c r="D1320" s="11" t="s">
        <v>4129</v>
      </c>
      <c r="E1320" s="11" t="s">
        <v>2515</v>
      </c>
      <c r="F1320" s="11" t="str">
        <f>IFERROR(VLOOKUP(VENTAS[[#This Row],[Código del producto Vendido]],STOCK[],5,FALSE),"-")</f>
        <v>Bolso pequeño estilo old money</v>
      </c>
      <c r="G1320" s="11">
        <v>1</v>
      </c>
      <c r="H1320" s="14">
        <v>20</v>
      </c>
      <c r="I1320" s="14">
        <f>VENTAS[[#This Row],[Cantidad]]*VENTAS[[#This Row],[Precio Venta]]</f>
        <v>20</v>
      </c>
      <c r="J1320" s="14">
        <f>IF(VENTAS[[#This Row],[Nombre del Gestor]]&gt;1,VENTAS[[#This Row],[Total]]*10%,0)</f>
        <v>2</v>
      </c>
      <c r="K1320" s="14">
        <f>IFERROR(VLOOKUP(VENTAS[[#This Row],[Código del producto Vendido]],STOCK[],16,FALSE)*VENTAS[[#This Row],[Cantidad]]+VLOOKUP(VENTAS[[#This Row],[Código del producto Vendido]],STOCK[],19,FALSE)*VENTAS[[#This Row],[Cantidad]],VENTAS[[#This Row],[Total]])</f>
        <v>11.49</v>
      </c>
      <c r="L1320" s="14">
        <f>VENTAS[[#This Row],[Total]]-VENTAS[[#This Row],[Comisión 10%]]-VENTAS[[#This Row],[Costo SIN Comision]]</f>
        <v>6.51</v>
      </c>
      <c r="M1320" s="14"/>
    </row>
    <row r="1321" ht="20" hidden="1" customHeight="1" spans="1:13">
      <c r="A1321" s="10">
        <v>45505</v>
      </c>
      <c r="B1321" s="11"/>
      <c r="C1321" s="11"/>
      <c r="D1321" s="11"/>
      <c r="E1321" s="11"/>
      <c r="F1321" s="11" t="str">
        <f>IFERROR(VLOOKUP(VENTAS[[#This Row],[Código del producto Vendido]],STOCK[],5,FALSE),"-")</f>
        <v>-</v>
      </c>
      <c r="G1321" s="11">
        <v>1</v>
      </c>
      <c r="H1321" s="14">
        <v>13</v>
      </c>
      <c r="I1321" s="14">
        <f>VENTAS[[#This Row],[Cantidad]]*VENTAS[[#This Row],[Precio Venta]]</f>
        <v>13</v>
      </c>
      <c r="J1321" s="14">
        <f>IF(VENTAS[[#This Row],[Nombre del Gestor]]&gt;1,VENTAS[[#This Row],[Total]]*10%,0)</f>
        <v>0</v>
      </c>
      <c r="K1321" s="14">
        <f>IFERROR(VLOOKUP(VENTAS[[#This Row],[Código del producto Vendido]],STOCK[],16,FALSE)*VENTAS[[#This Row],[Cantidad]]+VLOOKUP(VENTAS[[#This Row],[Código del producto Vendido]],STOCK[],19,FALSE)*VENTAS[[#This Row],[Cantidad]],VENTAS[[#This Row],[Total]])</f>
        <v>13</v>
      </c>
      <c r="L1321" s="14">
        <f>VENTAS[[#This Row],[Total]]-VENTAS[[#This Row],[Comisión 10%]]-VENTAS[[#This Row],[Costo SIN Comision]]</f>
        <v>0</v>
      </c>
      <c r="M1321" s="14"/>
    </row>
    <row r="1322" ht="20" hidden="1" customHeight="1" spans="1:13">
      <c r="A1322" s="10">
        <v>45512</v>
      </c>
      <c r="B1322" s="11"/>
      <c r="C1322" s="11"/>
      <c r="D1322" s="11" t="s">
        <v>4241</v>
      </c>
      <c r="E1322" s="11" t="s">
        <v>2467</v>
      </c>
      <c r="F1322" s="11" t="str">
        <f>IFERROR(VLOOKUP(VENTAS[[#This Row],[Código del producto Vendido]],STOCK[],5,FALSE),"-")</f>
        <v>Sandalias de plataforma en bloque de color</v>
      </c>
      <c r="G1322" s="11">
        <v>1</v>
      </c>
      <c r="H1322" s="14">
        <v>35</v>
      </c>
      <c r="I1322" s="14">
        <f>VENTAS[[#This Row],[Cantidad]]*VENTAS[[#This Row],[Precio Venta]]</f>
        <v>35</v>
      </c>
      <c r="J1322" s="14">
        <f>IF(VENTAS[[#This Row],[Nombre del Gestor]]&gt;1,VENTAS[[#This Row],[Total]]*10%,0)</f>
        <v>3.5</v>
      </c>
      <c r="K1322" s="14">
        <f>IFERROR(VLOOKUP(VENTAS[[#This Row],[Código del producto Vendido]],STOCK[],16,FALSE)*VENTAS[[#This Row],[Cantidad]]+VLOOKUP(VENTAS[[#This Row],[Código del producto Vendido]],STOCK[],19,FALSE)*VENTAS[[#This Row],[Cantidad]],VENTAS[[#This Row],[Total]])</f>
        <v>21.97</v>
      </c>
      <c r="L1322" s="14">
        <f>VENTAS[[#This Row],[Total]]-VENTAS[[#This Row],[Comisión 10%]]-VENTAS[[#This Row],[Costo SIN Comision]]</f>
        <v>9.53</v>
      </c>
      <c r="M1322" s="14"/>
    </row>
    <row r="1323" ht="20" hidden="1" customHeight="1" spans="1:13">
      <c r="A1323" s="10">
        <v>45512</v>
      </c>
      <c r="B1323" s="11" t="s">
        <v>4395</v>
      </c>
      <c r="C1323" s="11"/>
      <c r="D1323" s="11"/>
      <c r="E1323" s="11" t="s">
        <v>2496</v>
      </c>
      <c r="F1323" s="11" t="str">
        <f>IFERROR(VLOOKUP(VENTAS[[#This Row],[Código del producto Vendido]],STOCK[],5,FALSE),"-")</f>
        <v>Bolso bandolera de rafia rígido de tamaño pequeño</v>
      </c>
      <c r="G1323" s="11">
        <v>1</v>
      </c>
      <c r="H1323" s="14">
        <v>12</v>
      </c>
      <c r="I1323" s="14">
        <f>VENTAS[[#This Row],[Cantidad]]*VENTAS[[#This Row],[Precio Venta]]</f>
        <v>12</v>
      </c>
      <c r="J1323" s="14">
        <f>IF(VENTAS[[#This Row],[Nombre del Gestor]]&gt;1,VENTAS[[#This Row],[Total]]*10%,0)</f>
        <v>0</v>
      </c>
      <c r="K1323" s="14">
        <f>IFERROR(VLOOKUP(VENTAS[[#This Row],[Código del producto Vendido]],STOCK[],16,FALSE)*VENTAS[[#This Row],[Cantidad]]+VLOOKUP(VENTAS[[#This Row],[Código del producto Vendido]],STOCK[],19,FALSE)*VENTAS[[#This Row],[Cantidad]],VENTAS[[#This Row],[Total]])</f>
        <v>11.39</v>
      </c>
      <c r="L1323" s="14">
        <f>VENTAS[[#This Row],[Total]]-VENTAS[[#This Row],[Comisión 10%]]-VENTAS[[#This Row],[Costo SIN Comision]]</f>
        <v>0.609999999999999</v>
      </c>
      <c r="M1323" s="14"/>
    </row>
    <row r="1324" ht="20" hidden="1" customHeight="1" spans="1:13">
      <c r="A1324" s="10">
        <v>45518</v>
      </c>
      <c r="B1324" s="11"/>
      <c r="C1324" s="11" t="s">
        <v>4396</v>
      </c>
      <c r="D1324" s="11" t="s">
        <v>4300</v>
      </c>
      <c r="E1324" s="11" t="s">
        <v>2517</v>
      </c>
      <c r="F1324" s="11" t="str">
        <f>IFERROR(VLOOKUP(VENTAS[[#This Row],[Código del producto Vendido]],STOCK[],5,FALSE),"-")</f>
        <v>Bolso media luna de rafia de tamaño medio</v>
      </c>
      <c r="G1324" s="11">
        <v>1</v>
      </c>
      <c r="H1324" s="14">
        <v>22</v>
      </c>
      <c r="I1324" s="14">
        <f>VENTAS[[#This Row],[Cantidad]]*VENTAS[[#This Row],[Precio Venta]]</f>
        <v>22</v>
      </c>
      <c r="J1324" s="14">
        <f>IF(VENTAS[[#This Row],[Nombre del Gestor]]&gt;1,VENTAS[[#This Row],[Total]]*10%,0)</f>
        <v>2.2</v>
      </c>
      <c r="K1324" s="14">
        <f>IFERROR(VLOOKUP(VENTAS[[#This Row],[Código del producto Vendido]],STOCK[],16,FALSE)*VENTAS[[#This Row],[Cantidad]]+VLOOKUP(VENTAS[[#This Row],[Código del producto Vendido]],STOCK[],19,FALSE)*VENTAS[[#This Row],[Cantidad]],VENTAS[[#This Row],[Total]])</f>
        <v>12.83</v>
      </c>
      <c r="L1324" s="14">
        <f>VENTAS[[#This Row],[Total]]-VENTAS[[#This Row],[Comisión 10%]]-VENTAS[[#This Row],[Costo SIN Comision]]</f>
        <v>6.97</v>
      </c>
      <c r="M1324" s="14"/>
    </row>
    <row r="1325" ht="20" hidden="1" customHeight="1" spans="1:13">
      <c r="A1325" s="10">
        <v>45512</v>
      </c>
      <c r="B1325" s="11"/>
      <c r="C1325" s="11"/>
      <c r="D1325" s="11" t="s">
        <v>4241</v>
      </c>
      <c r="E1325" s="11" t="s">
        <v>4310</v>
      </c>
      <c r="F1325" s="11" t="str">
        <f>IFERROR(VLOOKUP(VENTAS[[#This Row],[Código del producto Vendido]],STOCK[],5,FALSE),"-")</f>
        <v>-</v>
      </c>
      <c r="G1325" s="11">
        <v>1</v>
      </c>
      <c r="H1325" s="14">
        <v>45</v>
      </c>
      <c r="I1325" s="14">
        <f>VENTAS[[#This Row],[Cantidad]]*VENTAS[[#This Row],[Precio Venta]]</f>
        <v>45</v>
      </c>
      <c r="J1325" s="14">
        <f>IF(VENTAS[[#This Row],[Nombre del Gestor]]&gt;1,VENTAS[[#This Row],[Total]]*10%,0)</f>
        <v>4.5</v>
      </c>
      <c r="K1325" s="14">
        <f>IFERROR(VLOOKUP(VENTAS[[#This Row],[Código del producto Vendido]],STOCK[],16,FALSE)*VENTAS[[#This Row],[Cantidad]]+VLOOKUP(VENTAS[[#This Row],[Código del producto Vendido]],STOCK[],19,FALSE)*VENTAS[[#This Row],[Cantidad]],VENTAS[[#This Row],[Total]])</f>
        <v>45</v>
      </c>
      <c r="L1325" s="14">
        <f>VENTAS[[#This Row],[Total]]-VENTAS[[#This Row],[Comisión 10%]]-VENTAS[[#This Row],[Costo SIN Comision]]</f>
        <v>-4.5</v>
      </c>
      <c r="M1325" s="14"/>
    </row>
    <row r="1326" ht="20" hidden="1" customHeight="1" spans="1:13">
      <c r="A1326" s="10">
        <v>45512</v>
      </c>
      <c r="B1326" s="11"/>
      <c r="C1326" s="11"/>
      <c r="D1326" s="11"/>
      <c r="E1326" s="11" t="s">
        <v>2490</v>
      </c>
      <c r="F1326" s="11" t="str">
        <f>IFERROR(VLOOKUP(VENTAS[[#This Row],[Código del producto Vendido]],STOCK[],5,FALSE),"-")</f>
        <v>Sandalias prácticas chunky blanco crema</v>
      </c>
      <c r="G1326" s="11">
        <v>1</v>
      </c>
      <c r="H1326" s="14"/>
      <c r="I1326" s="14">
        <f>VENTAS[[#This Row],[Cantidad]]*VENTAS[[#This Row],[Precio Venta]]</f>
        <v>0</v>
      </c>
      <c r="J1326" s="14">
        <f>IF(VENTAS[[#This Row],[Nombre del Gestor]]&gt;1,VENTAS[[#This Row],[Total]]*10%,0)</f>
        <v>0</v>
      </c>
      <c r="K1326" s="14">
        <f>IFERROR(VLOOKUP(VENTAS[[#This Row],[Código del producto Vendido]],STOCK[],16,FALSE)*VENTAS[[#This Row],[Cantidad]]+VLOOKUP(VENTAS[[#This Row],[Código del producto Vendido]],STOCK[],19,FALSE)*VENTAS[[#This Row],[Cantidad]],VENTAS[[#This Row],[Total]])</f>
        <v>24.2174</v>
      </c>
      <c r="L1326" s="14">
        <f>VENTAS[[#This Row],[Total]]-VENTAS[[#This Row],[Comisión 10%]]-VENTAS[[#This Row],[Costo SIN Comision]]</f>
        <v>-24.2174</v>
      </c>
      <c r="M1326" s="14"/>
    </row>
    <row r="1327" ht="20" hidden="1" customHeight="1" spans="1:13">
      <c r="A1327" s="10">
        <v>45512</v>
      </c>
      <c r="B1327" s="11"/>
      <c r="C1327" s="11" t="s">
        <v>4397</v>
      </c>
      <c r="D1327" s="11"/>
      <c r="E1327" s="11" t="s">
        <v>2656</v>
      </c>
      <c r="F1327" s="11" t="str">
        <f>IFERROR(VLOOKUP(VENTAS[[#This Row],[Código del producto Vendido]],STOCK[],5,FALSE),"-")</f>
        <v>Sandalias Pull&amp;Bear (encargo mónica)</v>
      </c>
      <c r="G1327" s="11">
        <v>1</v>
      </c>
      <c r="H1327" s="14">
        <v>35</v>
      </c>
      <c r="I1327" s="14">
        <f>VENTAS[[#This Row],[Cantidad]]*VENTAS[[#This Row],[Precio Venta]]</f>
        <v>35</v>
      </c>
      <c r="J1327" s="14">
        <f>IF(VENTAS[[#This Row],[Nombre del Gestor]]&gt;1,VENTAS[[#This Row],[Total]]*10%,0)</f>
        <v>0</v>
      </c>
      <c r="K1327" s="14">
        <f>IFERROR(VLOOKUP(VENTAS[[#This Row],[Código del producto Vendido]],STOCK[],16,FALSE)*VENTAS[[#This Row],[Cantidad]]+VLOOKUP(VENTAS[[#This Row],[Código del producto Vendido]],STOCK[],19,FALSE)*VENTAS[[#This Row],[Cantidad]],VENTAS[[#This Row],[Total]])</f>
        <v>21</v>
      </c>
      <c r="L1327" s="14">
        <f>VENTAS[[#This Row],[Total]]-VENTAS[[#This Row],[Comisión 10%]]-VENTAS[[#This Row],[Costo SIN Comision]]</f>
        <v>14</v>
      </c>
      <c r="M1327" s="14"/>
    </row>
    <row r="1328" ht="20" hidden="1" customHeight="1" spans="1:13">
      <c r="A1328" s="10">
        <v>45512</v>
      </c>
      <c r="B1328" s="11"/>
      <c r="C1328" s="11"/>
      <c r="D1328" s="11"/>
      <c r="E1328" s="11" t="s">
        <v>627</v>
      </c>
      <c r="F1328" s="11" t="str">
        <f>IFERROR(VLOOKUP(VENTAS[[#This Row],[Código del producto Vendido]],STOCK[],5,FALSE),"-")</f>
        <v>Vestido vaporoso</v>
      </c>
      <c r="G1328" s="11">
        <v>1</v>
      </c>
      <c r="H1328" s="14"/>
      <c r="I1328" s="14">
        <f>VENTAS[[#This Row],[Cantidad]]*VENTAS[[#This Row],[Precio Venta]]</f>
        <v>0</v>
      </c>
      <c r="J1328" s="14">
        <f>IF(VENTAS[[#This Row],[Nombre del Gestor]]&gt;1,VENTAS[[#This Row],[Total]]*10%,0)</f>
        <v>0</v>
      </c>
      <c r="K1328" s="14">
        <f>IFERROR(VLOOKUP(VENTAS[[#This Row],[Código del producto Vendido]],STOCK[],16,FALSE)*VENTAS[[#This Row],[Cantidad]]+VLOOKUP(VENTAS[[#This Row],[Código del producto Vendido]],STOCK[],19,FALSE)*VENTAS[[#This Row],[Cantidad]],VENTAS[[#This Row],[Total]])</f>
        <v>10.7222222222222</v>
      </c>
      <c r="L1328" s="14">
        <f>VENTAS[[#This Row],[Total]]-VENTAS[[#This Row],[Comisión 10%]]-VENTAS[[#This Row],[Costo SIN Comision]]</f>
        <v>-10.7222222222222</v>
      </c>
      <c r="M1328" s="14"/>
    </row>
    <row r="1329" ht="20" hidden="1" customHeight="1" spans="1:13">
      <c r="A1329" s="10">
        <v>45512</v>
      </c>
      <c r="B1329" s="11"/>
      <c r="C1329" s="11" t="s">
        <v>4398</v>
      </c>
      <c r="D1329" s="11" t="s">
        <v>4212</v>
      </c>
      <c r="E1329" s="11" t="s">
        <v>1259</v>
      </c>
      <c r="F1329" s="11" t="str">
        <f>IFERROR(VLOOKUP(VENTAS[[#This Row],[Código del producto Vendido]],STOCK[],5,FALSE),"-")</f>
        <v>Maxi vestido de espalda cruzada</v>
      </c>
      <c r="G1329" s="11">
        <v>1</v>
      </c>
      <c r="H1329" s="14">
        <v>30</v>
      </c>
      <c r="I1329" s="14">
        <f>VENTAS[[#This Row],[Cantidad]]*VENTAS[[#This Row],[Precio Venta]]</f>
        <v>30</v>
      </c>
      <c r="J1329" s="14">
        <f>IF(VENTAS[[#This Row],[Nombre del Gestor]]&gt;1,VENTAS[[#This Row],[Total]]*10%,0)</f>
        <v>3</v>
      </c>
      <c r="K1329" s="14">
        <f>IFERROR(VLOOKUP(VENTAS[[#This Row],[Código del producto Vendido]],STOCK[],16,FALSE)*VENTAS[[#This Row],[Cantidad]]+VLOOKUP(VENTAS[[#This Row],[Código del producto Vendido]],STOCK[],19,FALSE)*VENTAS[[#This Row],[Cantidad]],VENTAS[[#This Row],[Total]])</f>
        <v>23.95</v>
      </c>
      <c r="L1329" s="14">
        <f>VENTAS[[#This Row],[Total]]-VENTAS[[#This Row],[Comisión 10%]]-VENTAS[[#This Row],[Costo SIN Comision]]</f>
        <v>3.05</v>
      </c>
      <c r="M1329" s="14"/>
    </row>
    <row r="1330" ht="20" hidden="1" customHeight="1" spans="1:13">
      <c r="A1330" s="10">
        <v>45512</v>
      </c>
      <c r="B1330" s="11"/>
      <c r="C1330" s="11"/>
      <c r="D1330" s="11"/>
      <c r="E1330" s="11" t="s">
        <v>1621</v>
      </c>
      <c r="F1330" s="11" t="str">
        <f>IFERROR(VLOOKUP(VENTAS[[#This Row],[Código del producto Vendido]],STOCK[],5,FALSE),"-")</f>
        <v>Vestido Becka</v>
      </c>
      <c r="G1330" s="11">
        <v>1</v>
      </c>
      <c r="H1330" s="14">
        <v>30</v>
      </c>
      <c r="I1330" s="14">
        <f>VENTAS[[#This Row],[Cantidad]]*VENTAS[[#This Row],[Precio Venta]]</f>
        <v>30</v>
      </c>
      <c r="J1330" s="14">
        <f>IF(VENTAS[[#This Row],[Nombre del Gestor]]&gt;1,VENTAS[[#This Row],[Total]]*10%,0)</f>
        <v>0</v>
      </c>
      <c r="K1330" s="14">
        <f>IFERROR(VLOOKUP(VENTAS[[#This Row],[Código del producto Vendido]],STOCK[],16,FALSE)*VENTAS[[#This Row],[Cantidad]]+VLOOKUP(VENTAS[[#This Row],[Código del producto Vendido]],STOCK[],19,FALSE)*VENTAS[[#This Row],[Cantidad]],VENTAS[[#This Row],[Total]])</f>
        <v>12.4</v>
      </c>
      <c r="L1330" s="14">
        <f>VENTAS[[#This Row],[Total]]-VENTAS[[#This Row],[Comisión 10%]]-VENTAS[[#This Row],[Costo SIN Comision]]</f>
        <v>17.6</v>
      </c>
      <c r="M1330" s="14"/>
    </row>
    <row r="1331" ht="20" hidden="1" customHeight="1" spans="1:13">
      <c r="A1331" s="10">
        <v>45512</v>
      </c>
      <c r="B1331" s="11"/>
      <c r="C1331" s="11"/>
      <c r="D1331" s="11"/>
      <c r="E1331" s="11" t="s">
        <v>1658</v>
      </c>
      <c r="F1331" s="11" t="str">
        <f>IFERROR(VLOOKUP(VENTAS[[#This Row],[Código del producto Vendido]],STOCK[],5,FALSE),"-")</f>
        <v>Suéter cuello de Cisne</v>
      </c>
      <c r="G1331" s="11">
        <v>1</v>
      </c>
      <c r="H1331" s="14">
        <v>18</v>
      </c>
      <c r="I1331" s="14">
        <f>VENTAS[[#This Row],[Cantidad]]*VENTAS[[#This Row],[Precio Venta]]</f>
        <v>18</v>
      </c>
      <c r="J1331" s="14">
        <f>IF(VENTAS[[#This Row],[Nombre del Gestor]]&gt;1,VENTAS[[#This Row],[Total]]*10%,0)</f>
        <v>0</v>
      </c>
      <c r="K1331" s="14">
        <f>IFERROR(VLOOKUP(VENTAS[[#This Row],[Código del producto Vendido]],STOCK[],16,FALSE)*VENTAS[[#This Row],[Cantidad]]+VLOOKUP(VENTAS[[#This Row],[Código del producto Vendido]],STOCK[],19,FALSE)*VENTAS[[#This Row],[Cantidad]],VENTAS[[#This Row],[Total]])</f>
        <v>5.78</v>
      </c>
      <c r="L1331" s="14">
        <f>VENTAS[[#This Row],[Total]]-VENTAS[[#This Row],[Comisión 10%]]-VENTAS[[#This Row],[Costo SIN Comision]]</f>
        <v>12.22</v>
      </c>
      <c r="M1331" s="14"/>
    </row>
    <row r="1332" ht="20" hidden="1" customHeight="1" spans="1:13">
      <c r="A1332" s="10">
        <v>45512</v>
      </c>
      <c r="B1332" s="11"/>
      <c r="C1332" s="11" t="s">
        <v>4399</v>
      </c>
      <c r="D1332" s="11" t="s">
        <v>4212</v>
      </c>
      <c r="E1332" s="11" t="s">
        <v>2441</v>
      </c>
      <c r="F1332" s="11" t="str">
        <f>IFERROR(VLOOKUP(VENTAS[[#This Row],[Código del producto Vendido]],STOCK[],5,FALSE),"-")</f>
        <v>Pantalón de vestir de viscosa y lino negro</v>
      </c>
      <c r="G1332" s="11">
        <v>1</v>
      </c>
      <c r="H1332" s="14">
        <v>35</v>
      </c>
      <c r="I1332" s="14">
        <f>VENTAS[[#This Row],[Cantidad]]*VENTAS[[#This Row],[Precio Venta]]</f>
        <v>35</v>
      </c>
      <c r="J1332" s="14">
        <f>IF(VENTAS[[#This Row],[Nombre del Gestor]]&gt;1,VENTAS[[#This Row],[Total]]*10%,0)</f>
        <v>3.5</v>
      </c>
      <c r="K1332" s="14">
        <f>IFERROR(VLOOKUP(VENTAS[[#This Row],[Código del producto Vendido]],STOCK[],16,FALSE)*VENTAS[[#This Row],[Cantidad]]+VLOOKUP(VENTAS[[#This Row],[Código del producto Vendido]],STOCK[],19,FALSE)*VENTAS[[#This Row],[Cantidad]],VENTAS[[#This Row],[Total]])</f>
        <v>15.2820211515864</v>
      </c>
      <c r="L1332" s="14">
        <f>VENTAS[[#This Row],[Total]]-VENTAS[[#This Row],[Comisión 10%]]-VENTAS[[#This Row],[Costo SIN Comision]]</f>
        <v>16.2179788484136</v>
      </c>
      <c r="M1332" s="14"/>
    </row>
    <row r="1333" ht="20" hidden="1" customHeight="1" spans="1:13">
      <c r="A1333" s="10">
        <v>45512</v>
      </c>
      <c r="B1333" s="11"/>
      <c r="C1333" s="11" t="s">
        <v>4397</v>
      </c>
      <c r="D1333" s="11"/>
      <c r="E1333" s="11" t="s">
        <v>2652</v>
      </c>
      <c r="F1333" s="11" t="str">
        <f>IFERROR(VLOOKUP(VENTAS[[#This Row],[Código del producto Vendido]],STOCK[],5,FALSE),"-")</f>
        <v>Cinto de piel (encargo mónica)</v>
      </c>
      <c r="G1333" s="11">
        <v>1</v>
      </c>
      <c r="H1333" s="14">
        <v>19</v>
      </c>
      <c r="I1333" s="14">
        <f>VENTAS[[#This Row],[Cantidad]]*VENTAS[[#This Row],[Precio Venta]]</f>
        <v>19</v>
      </c>
      <c r="J1333" s="14">
        <f>IF(VENTAS[[#This Row],[Nombre del Gestor]]&gt;1,VENTAS[[#This Row],[Total]]*10%,0)</f>
        <v>0</v>
      </c>
      <c r="K1333" s="14">
        <f>IFERROR(VLOOKUP(VENTAS[[#This Row],[Código del producto Vendido]],STOCK[],16,FALSE)*VENTAS[[#This Row],[Cantidad]]+VLOOKUP(VENTAS[[#This Row],[Código del producto Vendido]],STOCK[],19,FALSE)*VENTAS[[#This Row],[Cantidad]],VENTAS[[#This Row],[Total]])</f>
        <v>14.96</v>
      </c>
      <c r="L1333" s="14">
        <f>VENTAS[[#This Row],[Total]]-VENTAS[[#This Row],[Comisión 10%]]-VENTAS[[#This Row],[Costo SIN Comision]]</f>
        <v>4.04</v>
      </c>
      <c r="M1333" s="14"/>
    </row>
    <row r="1334" ht="20" hidden="1" customHeight="1" spans="1:13">
      <c r="A1334" s="10">
        <v>45512</v>
      </c>
      <c r="B1334" s="11"/>
      <c r="C1334" s="11"/>
      <c r="D1334" s="11" t="s">
        <v>4241</v>
      </c>
      <c r="E1334" s="11" t="s">
        <v>2561</v>
      </c>
      <c r="F1334" s="11" t="str">
        <f>IFERROR(VLOOKUP(VENTAS[[#This Row],[Código del producto Vendido]],STOCK[],5,FALSE),"-")</f>
        <v>Sombrero Visera de Verano</v>
      </c>
      <c r="G1334" s="11">
        <v>1</v>
      </c>
      <c r="H1334" s="14">
        <v>15</v>
      </c>
      <c r="I1334" s="14">
        <f>VENTAS[[#This Row],[Cantidad]]*VENTAS[[#This Row],[Precio Venta]]</f>
        <v>15</v>
      </c>
      <c r="J1334" s="14">
        <f>IF(VENTAS[[#This Row],[Nombre del Gestor]]&gt;1,VENTAS[[#This Row],[Total]]*10%,0)</f>
        <v>1.5</v>
      </c>
      <c r="K1334" s="14">
        <f>IFERROR(VLOOKUP(VENTAS[[#This Row],[Código del producto Vendido]],STOCK[],16,FALSE)*VENTAS[[#This Row],[Cantidad]]+VLOOKUP(VENTAS[[#This Row],[Código del producto Vendido]],STOCK[],19,FALSE)*VENTAS[[#This Row],[Cantidad]],VENTAS[[#This Row],[Total]])</f>
        <v>6.36</v>
      </c>
      <c r="L1334" s="14">
        <f>VENTAS[[#This Row],[Total]]-VENTAS[[#This Row],[Comisión 10%]]-VENTAS[[#This Row],[Costo SIN Comision]]</f>
        <v>7.14</v>
      </c>
      <c r="M1334" s="14"/>
    </row>
    <row r="1335" ht="20" hidden="1" customHeight="1" spans="1:13">
      <c r="A1335" s="10">
        <v>45512</v>
      </c>
      <c r="B1335" s="11"/>
      <c r="C1335" s="11"/>
      <c r="D1335" s="11"/>
      <c r="E1335" s="11" t="s">
        <v>2525</v>
      </c>
      <c r="F1335" s="11" t="str">
        <f>IFERROR(VLOOKUP(VENTAS[[#This Row],[Código del producto Vendido]],STOCK[],5,FALSE),"-")</f>
        <v>Cinturón fino de hebilla de estilo elegante carmelita</v>
      </c>
      <c r="G1335" s="11">
        <v>1</v>
      </c>
      <c r="H1335" s="14">
        <v>12</v>
      </c>
      <c r="I1335" s="14">
        <f>VENTAS[[#This Row],[Cantidad]]*VENTAS[[#This Row],[Precio Venta]]</f>
        <v>12</v>
      </c>
      <c r="J1335" s="14">
        <f>IF(VENTAS[[#This Row],[Nombre del Gestor]]&gt;1,VENTAS[[#This Row],[Total]]*10%,0)</f>
        <v>0</v>
      </c>
      <c r="K1335" s="14">
        <f>IFERROR(VLOOKUP(VENTAS[[#This Row],[Código del producto Vendido]],STOCK[],16,FALSE)*VENTAS[[#This Row],[Cantidad]]+VLOOKUP(VENTAS[[#This Row],[Código del producto Vendido]],STOCK[],19,FALSE)*VENTAS[[#This Row],[Cantidad]],VENTAS[[#This Row],[Total]])</f>
        <v>5.13</v>
      </c>
      <c r="L1335" s="14">
        <f>VENTAS[[#This Row],[Total]]-VENTAS[[#This Row],[Comisión 10%]]-VENTAS[[#This Row],[Costo SIN Comision]]</f>
        <v>6.87</v>
      </c>
      <c r="M1335" s="14"/>
    </row>
    <row r="1336" ht="20" hidden="1" customHeight="1" spans="1:13">
      <c r="A1336" s="10">
        <v>45512</v>
      </c>
      <c r="B1336" s="11"/>
      <c r="C1336" s="11"/>
      <c r="D1336" s="11"/>
      <c r="E1336" s="11" t="s">
        <v>2208</v>
      </c>
      <c r="F1336" s="11" t="str">
        <f>IFERROR(VLOOKUP(VENTAS[[#This Row],[Código del producto Vendido]],STOCK[],5,FALSE),"-")</f>
        <v>Bolso TOTE arcoíris trending </v>
      </c>
      <c r="G1336" s="11">
        <v>1</v>
      </c>
      <c r="H1336" s="14">
        <v>12</v>
      </c>
      <c r="I1336" s="14">
        <f>VENTAS[[#This Row],[Cantidad]]*VENTAS[[#This Row],[Precio Venta]]</f>
        <v>12</v>
      </c>
      <c r="J1336" s="14">
        <f>IF(VENTAS[[#This Row],[Nombre del Gestor]]&gt;1,VENTAS[[#This Row],[Total]]*10%,0)</f>
        <v>0</v>
      </c>
      <c r="K1336" s="14">
        <f>IFERROR(VLOOKUP(VENTAS[[#This Row],[Código del producto Vendido]],STOCK[],16,FALSE)*VENTAS[[#This Row],[Cantidad]]+VLOOKUP(VENTAS[[#This Row],[Código del producto Vendido]],STOCK[],19,FALSE)*VENTAS[[#This Row],[Cantidad]],VENTAS[[#This Row],[Total]])</f>
        <v>5.84</v>
      </c>
      <c r="L1336" s="14">
        <f>VENTAS[[#This Row],[Total]]-VENTAS[[#This Row],[Comisión 10%]]-VENTAS[[#This Row],[Costo SIN Comision]]</f>
        <v>6.16</v>
      </c>
      <c r="M1336" s="14"/>
    </row>
    <row r="1337" ht="20" hidden="1" customHeight="1" spans="1:13">
      <c r="A1337" s="10">
        <v>45512</v>
      </c>
      <c r="B1337" s="11"/>
      <c r="C1337" s="11"/>
      <c r="D1337" s="11" t="s">
        <v>4241</v>
      </c>
      <c r="E1337" s="11" t="s">
        <v>1827</v>
      </c>
      <c r="F1337" s="11" t="str">
        <f>IFERROR(VLOOKUP(VENTAS[[#This Row],[Código del producto Vendido]],STOCK[],5,FALSE),"-")</f>
        <v>Bolso Crossbody en detalle de cocodrilo</v>
      </c>
      <c r="G1337" s="11">
        <v>1</v>
      </c>
      <c r="H1337" s="14">
        <v>25</v>
      </c>
      <c r="I1337" s="14">
        <f>VENTAS[[#This Row],[Cantidad]]*VENTAS[[#This Row],[Precio Venta]]</f>
        <v>25</v>
      </c>
      <c r="J1337" s="14">
        <f>IF(VENTAS[[#This Row],[Nombre del Gestor]]&gt;1,VENTAS[[#This Row],[Total]]*10%,0)</f>
        <v>2.5</v>
      </c>
      <c r="K1337" s="14">
        <f>IFERROR(VLOOKUP(VENTAS[[#This Row],[Código del producto Vendido]],STOCK[],16,FALSE)*VENTAS[[#This Row],[Cantidad]]+VLOOKUP(VENTAS[[#This Row],[Código del producto Vendido]],STOCK[],19,FALSE)*VENTAS[[#This Row],[Cantidad]],VENTAS[[#This Row],[Total]])</f>
        <v>11.79</v>
      </c>
      <c r="L1337" s="14">
        <f>VENTAS[[#This Row],[Total]]-VENTAS[[#This Row],[Comisión 10%]]-VENTAS[[#This Row],[Costo SIN Comision]]</f>
        <v>10.71</v>
      </c>
      <c r="M1337" s="14"/>
    </row>
    <row r="1338" ht="20" hidden="1" customHeight="1" spans="1:13">
      <c r="A1338" s="10">
        <v>45512</v>
      </c>
      <c r="B1338" s="11"/>
      <c r="C1338" s="11"/>
      <c r="D1338" s="11" t="s">
        <v>4266</v>
      </c>
      <c r="E1338" s="11" t="s">
        <v>493</v>
      </c>
      <c r="F1338" s="11" t="str">
        <f>IFERROR(VLOOKUP(VENTAS[[#This Row],[Código del producto Vendido]],STOCK[],5,FALSE),"-")</f>
        <v>Bañador de talle alto con vuelos</v>
      </c>
      <c r="G1338" s="11">
        <v>1</v>
      </c>
      <c r="H1338" s="14">
        <v>25</v>
      </c>
      <c r="I1338" s="14">
        <f>VENTAS[[#This Row],[Cantidad]]*VENTAS[[#This Row],[Precio Venta]]</f>
        <v>25</v>
      </c>
      <c r="J1338" s="14">
        <f>IF(VENTAS[[#This Row],[Nombre del Gestor]]&gt;1,VENTAS[[#This Row],[Total]]*10%,0)</f>
        <v>2.5</v>
      </c>
      <c r="K1338" s="14">
        <f>IFERROR(VLOOKUP(VENTAS[[#This Row],[Código del producto Vendido]],STOCK[],16,FALSE)*VENTAS[[#This Row],[Cantidad]]+VLOOKUP(VENTAS[[#This Row],[Código del producto Vendido]],STOCK[],19,FALSE)*VENTAS[[#This Row],[Cantidad]],VENTAS[[#This Row],[Total]])</f>
        <v>12.4805555555556</v>
      </c>
      <c r="L1338" s="14">
        <f>VENTAS[[#This Row],[Total]]-VENTAS[[#This Row],[Comisión 10%]]-VENTAS[[#This Row],[Costo SIN Comision]]</f>
        <v>10.0194444444444</v>
      </c>
      <c r="M1338" s="14"/>
    </row>
    <row r="1339" ht="20" hidden="1" customHeight="1" spans="1:13">
      <c r="A1339" s="10">
        <v>45512</v>
      </c>
      <c r="B1339" s="11"/>
      <c r="C1339" s="11"/>
      <c r="D1339" s="11"/>
      <c r="E1339" s="11" t="s">
        <v>2182</v>
      </c>
      <c r="F1339" s="11" t="str">
        <f>IFERROR(VLOOKUP(VENTAS[[#This Row],[Código del producto Vendido]],STOCK[],5,FALSE),"-")</f>
        <v>Bikini sexy de pierna alta en tendencia</v>
      </c>
      <c r="G1339" s="11">
        <v>1</v>
      </c>
      <c r="H1339" s="14">
        <v>20</v>
      </c>
      <c r="I1339" s="14">
        <f>VENTAS[[#This Row],[Cantidad]]*VENTAS[[#This Row],[Precio Venta]]</f>
        <v>20</v>
      </c>
      <c r="J1339" s="14">
        <f>IF(VENTAS[[#This Row],[Nombre del Gestor]]&gt;1,VENTAS[[#This Row],[Total]]*10%,0)</f>
        <v>0</v>
      </c>
      <c r="K1339" s="14">
        <f>IFERROR(VLOOKUP(VENTAS[[#This Row],[Código del producto Vendido]],STOCK[],16,FALSE)*VENTAS[[#This Row],[Cantidad]]+VLOOKUP(VENTAS[[#This Row],[Código del producto Vendido]],STOCK[],19,FALSE)*VENTAS[[#This Row],[Cantidad]],VENTAS[[#This Row],[Total]])</f>
        <v>6.62</v>
      </c>
      <c r="L1339" s="14">
        <f>VENTAS[[#This Row],[Total]]-VENTAS[[#This Row],[Comisión 10%]]-VENTAS[[#This Row],[Costo SIN Comision]]</f>
        <v>13.38</v>
      </c>
      <c r="M1339" s="14"/>
    </row>
    <row r="1340" ht="20" hidden="1" customHeight="1" spans="1:13">
      <c r="A1340" s="10">
        <v>45513</v>
      </c>
      <c r="B1340" s="11"/>
      <c r="C1340" s="11"/>
      <c r="D1340" s="11"/>
      <c r="E1340" s="11" t="s">
        <v>2248</v>
      </c>
      <c r="F1340" s="11" t="str">
        <f>IFERROR(VLOOKUP(VENTAS[[#This Row],[Código del producto Vendido]],STOCK[],5,FALSE),"-")</f>
        <v>Bikini curvy en bloque de color</v>
      </c>
      <c r="G1340" s="11">
        <v>1</v>
      </c>
      <c r="H1340" s="14">
        <v>0</v>
      </c>
      <c r="I1340" s="14">
        <f>VENTAS[[#This Row],[Cantidad]]*VENTAS[[#This Row],[Precio Venta]]</f>
        <v>0</v>
      </c>
      <c r="J1340" s="14">
        <f>IF(VENTAS[[#This Row],[Nombre del Gestor]]&gt;1,VENTAS[[#This Row],[Total]]*10%,0)</f>
        <v>0</v>
      </c>
      <c r="K1340" s="14">
        <f>IFERROR(VLOOKUP(VENTAS[[#This Row],[Código del producto Vendido]],STOCK[],16,FALSE)*VENTAS[[#This Row],[Cantidad]]+VLOOKUP(VENTAS[[#This Row],[Código del producto Vendido]],STOCK[],19,FALSE)*VENTAS[[#This Row],[Cantidad]],VENTAS[[#This Row],[Total]])</f>
        <v>5.99</v>
      </c>
      <c r="L1340" s="14">
        <f>VENTAS[[#This Row],[Total]]-VENTAS[[#This Row],[Comisión 10%]]-VENTAS[[#This Row],[Costo SIN Comision]]</f>
        <v>-5.99</v>
      </c>
      <c r="M1340" s="14"/>
    </row>
    <row r="1341" ht="20" hidden="1" customHeight="1" spans="1:13">
      <c r="A1341" s="10">
        <v>45514</v>
      </c>
      <c r="B1341" s="11"/>
      <c r="C1341" s="11"/>
      <c r="D1341" s="11"/>
      <c r="E1341" s="11" t="s">
        <v>2692</v>
      </c>
      <c r="F1341" s="11" t="str">
        <f>IFERROR(VLOOKUP(VENTAS[[#This Row],[Código del producto Vendido]],STOCK[],5,FALSE),"-")</f>
        <v>Traje de baño clásico en bloque de color de talle alto (encargo)</v>
      </c>
      <c r="G1341" s="11">
        <v>1</v>
      </c>
      <c r="H1341" s="14">
        <v>25</v>
      </c>
      <c r="I1341" s="14">
        <f>VENTAS[[#This Row],[Cantidad]]*VENTAS[[#This Row],[Precio Venta]]</f>
        <v>25</v>
      </c>
      <c r="J1341" s="14">
        <f>IF(VENTAS[[#This Row],[Nombre del Gestor]]&gt;1,VENTAS[[#This Row],[Total]]*10%,0)</f>
        <v>0</v>
      </c>
      <c r="K1341" s="14">
        <f>IFERROR(VLOOKUP(VENTAS[[#This Row],[Código del producto Vendido]],STOCK[],16,FALSE)*VENTAS[[#This Row],[Cantidad]]+VLOOKUP(VENTAS[[#This Row],[Código del producto Vendido]],STOCK[],19,FALSE)*VENTAS[[#This Row],[Cantidad]],VENTAS[[#This Row],[Total]])</f>
        <v>12.28</v>
      </c>
      <c r="L1341" s="14">
        <f>VENTAS[[#This Row],[Total]]-VENTAS[[#This Row],[Comisión 10%]]-VENTAS[[#This Row],[Costo SIN Comision]]</f>
        <v>12.72</v>
      </c>
      <c r="M1341" s="14"/>
    </row>
    <row r="1342" ht="20" hidden="1" customHeight="1" spans="1:13">
      <c r="A1342" s="10">
        <v>45515</v>
      </c>
      <c r="B1342" s="11"/>
      <c r="C1342" s="11"/>
      <c r="D1342" s="11"/>
      <c r="E1342" s="11" t="s">
        <v>731</v>
      </c>
      <c r="F1342" s="11" t="str">
        <f>IFERROR(VLOOKUP(VENTAS[[#This Row],[Código del producto Vendido]],STOCK[],5,FALSE),"-")</f>
        <v>Vestido de un hombro</v>
      </c>
      <c r="G1342" s="11">
        <v>1</v>
      </c>
      <c r="H1342" s="14">
        <v>13</v>
      </c>
      <c r="I1342" s="14">
        <f>VENTAS[[#This Row],[Cantidad]]*VENTAS[[#This Row],[Precio Venta]]</f>
        <v>13</v>
      </c>
      <c r="J1342" s="14">
        <f>IF(VENTAS[[#This Row],[Nombre del Gestor]]&gt;1,VENTAS[[#This Row],[Total]]*10%,0)</f>
        <v>0</v>
      </c>
      <c r="K1342" s="14">
        <f>IFERROR(VLOOKUP(VENTAS[[#This Row],[Código del producto Vendido]],STOCK[],16,FALSE)*VENTAS[[#This Row],[Cantidad]]+VLOOKUP(VENTAS[[#This Row],[Código del producto Vendido]],STOCK[],19,FALSE)*VENTAS[[#This Row],[Cantidad]],VENTAS[[#This Row],[Total]])</f>
        <v>11.9444444444444</v>
      </c>
      <c r="L1342" s="14">
        <f>VENTAS[[#This Row],[Total]]-VENTAS[[#This Row],[Comisión 10%]]-VENTAS[[#This Row],[Costo SIN Comision]]</f>
        <v>1.05555555555556</v>
      </c>
      <c r="M1342" s="14"/>
    </row>
    <row r="1343" ht="20" hidden="1" customHeight="1" spans="1:13">
      <c r="A1343" s="10">
        <v>45516</v>
      </c>
      <c r="B1343" s="11"/>
      <c r="C1343" s="11"/>
      <c r="D1343" s="11"/>
      <c r="E1343" s="11" t="s">
        <v>2588</v>
      </c>
      <c r="F1343" s="11" t="str">
        <f>IFERROR(VLOOKUP(VENTAS[[#This Row],[Código del producto Vendido]],STOCK[],5,FALSE),"-")</f>
        <v>Vestido blanco espalda cruzada</v>
      </c>
      <c r="G1343" s="11">
        <v>1</v>
      </c>
      <c r="H1343" s="14">
        <v>30</v>
      </c>
      <c r="I1343" s="14">
        <f>VENTAS[[#This Row],[Cantidad]]*VENTAS[[#This Row],[Precio Venta]]</f>
        <v>30</v>
      </c>
      <c r="J1343" s="14">
        <f>IF(VENTAS[[#This Row],[Nombre del Gestor]]&gt;1,VENTAS[[#This Row],[Total]]*10%,0)</f>
        <v>0</v>
      </c>
      <c r="K1343" s="14">
        <f>IFERROR(VLOOKUP(VENTAS[[#This Row],[Código del producto Vendido]],STOCK[],16,FALSE)*VENTAS[[#This Row],[Cantidad]]+VLOOKUP(VENTAS[[#This Row],[Código del producto Vendido]],STOCK[],19,FALSE)*VENTAS[[#This Row],[Cantidad]],VENTAS[[#This Row],[Total]])</f>
        <v>15.44</v>
      </c>
      <c r="L1343" s="14">
        <f>VENTAS[[#This Row],[Total]]-VENTAS[[#This Row],[Comisión 10%]]-VENTAS[[#This Row],[Costo SIN Comision]]</f>
        <v>14.56</v>
      </c>
      <c r="M1343" s="14"/>
    </row>
    <row r="1344" ht="20" hidden="1" customHeight="1" spans="1:13">
      <c r="A1344" s="10">
        <v>45515</v>
      </c>
      <c r="B1344" s="11"/>
      <c r="C1344" s="11"/>
      <c r="D1344" s="11" t="s">
        <v>4241</v>
      </c>
      <c r="E1344" s="11" t="s">
        <v>2432</v>
      </c>
      <c r="F1344" s="11" t="str">
        <f>IFERROR(VLOOKUP(VENTAS[[#This Row],[Código del producto Vendido]],STOCK[],5,FALSE),"-")</f>
        <v>Pantalón ancho con cordón ajustable</v>
      </c>
      <c r="G1344" s="11">
        <v>1</v>
      </c>
      <c r="H1344" s="14">
        <v>23</v>
      </c>
      <c r="I1344" s="14">
        <f>VENTAS[[#This Row],[Cantidad]]*VENTAS[[#This Row],[Precio Venta]]</f>
        <v>23</v>
      </c>
      <c r="J1344" s="14">
        <f>IF(VENTAS[[#This Row],[Nombre del Gestor]]&gt;1,VENTAS[[#This Row],[Total]]*10%,0)</f>
        <v>2.3</v>
      </c>
      <c r="K1344" s="14">
        <f>IFERROR(VLOOKUP(VENTAS[[#This Row],[Código del producto Vendido]],STOCK[],16,FALSE)*VENTAS[[#This Row],[Cantidad]]+VLOOKUP(VENTAS[[#This Row],[Código del producto Vendido]],STOCK[],19,FALSE)*VENTAS[[#This Row],[Cantidad]],VENTAS[[#This Row],[Total]])</f>
        <v>11.4353349001175</v>
      </c>
      <c r="L1344" s="14">
        <f>VENTAS[[#This Row],[Total]]-VENTAS[[#This Row],[Comisión 10%]]-VENTAS[[#This Row],[Costo SIN Comision]]</f>
        <v>9.26466509988249</v>
      </c>
      <c r="M1344" s="14"/>
    </row>
    <row r="1345" ht="20" hidden="1" customHeight="1" spans="1:13">
      <c r="A1345" s="10">
        <v>45515</v>
      </c>
      <c r="B1345" s="11"/>
      <c r="C1345" s="11"/>
      <c r="D1345" s="11" t="s">
        <v>4241</v>
      </c>
      <c r="E1345" s="11" t="s">
        <v>2716</v>
      </c>
      <c r="F1345" s="11" t="str">
        <f>IFERROR(VLOOKUP(VENTAS[[#This Row],[Código del producto Vendido]],STOCK[],5,FALSE),"-")</f>
        <v>Sneakers chunky blancos</v>
      </c>
      <c r="G1345" s="11">
        <v>2</v>
      </c>
      <c r="H1345" s="14">
        <v>45</v>
      </c>
      <c r="I1345" s="14">
        <f>VENTAS[[#This Row],[Cantidad]]*VENTAS[[#This Row],[Precio Venta]]</f>
        <v>90</v>
      </c>
      <c r="J1345" s="14">
        <f>IF(VENTAS[[#This Row],[Nombre del Gestor]]&gt;1,VENTAS[[#This Row],[Total]]*10%,0)</f>
        <v>9</v>
      </c>
      <c r="K1345" s="14">
        <f>IFERROR(VLOOKUP(VENTAS[[#This Row],[Código del producto Vendido]],STOCK[],16,FALSE)*VENTAS[[#This Row],[Cantidad]]+VLOOKUP(VENTAS[[#This Row],[Código del producto Vendido]],STOCK[],19,FALSE)*VENTAS[[#This Row],[Cantidad]],VENTAS[[#This Row],[Total]])</f>
        <v>48.94</v>
      </c>
      <c r="L1345" s="14">
        <f>VENTAS[[#This Row],[Total]]-VENTAS[[#This Row],[Comisión 10%]]-VENTAS[[#This Row],[Costo SIN Comision]]</f>
        <v>32.06</v>
      </c>
      <c r="M1345" s="14"/>
    </row>
    <row r="1346" ht="20" hidden="1" customHeight="1" spans="1:13">
      <c r="A1346" s="10">
        <v>45512</v>
      </c>
      <c r="B1346" s="11"/>
      <c r="C1346" s="11"/>
      <c r="D1346" s="11" t="s">
        <v>4241</v>
      </c>
      <c r="E1346" s="11" t="s">
        <v>1013</v>
      </c>
      <c r="F1346" s="11" t="str">
        <f>IFERROR(VLOOKUP(VENTAS[[#This Row],[Código del producto Vendido]],STOCK[],5,FALSE),"-")</f>
        <v>Maxi Vestido con Bolsillo</v>
      </c>
      <c r="G1346" s="11">
        <v>1</v>
      </c>
      <c r="H1346" s="14">
        <v>27</v>
      </c>
      <c r="I1346" s="14">
        <f>VENTAS[[#This Row],[Cantidad]]*VENTAS[[#This Row],[Precio Venta]]</f>
        <v>27</v>
      </c>
      <c r="J1346" s="14">
        <f>IF(VENTAS[[#This Row],[Nombre del Gestor]]&gt;1,VENTAS[[#This Row],[Total]]*10%,0)</f>
        <v>2.7</v>
      </c>
      <c r="K1346" s="14">
        <f>IFERROR(VLOOKUP(VENTAS[[#This Row],[Código del producto Vendido]],STOCK[],16,FALSE)*VENTAS[[#This Row],[Cantidad]]+VLOOKUP(VENTAS[[#This Row],[Código del producto Vendido]],STOCK[],19,FALSE)*VENTAS[[#This Row],[Cantidad]],VENTAS[[#This Row],[Total]])</f>
        <v>22.1920454545455</v>
      </c>
      <c r="L1346" s="14">
        <f>VENTAS[[#This Row],[Total]]-VENTAS[[#This Row],[Comisión 10%]]-VENTAS[[#This Row],[Costo SIN Comision]]</f>
        <v>2.1079545454545</v>
      </c>
      <c r="M1346" s="14"/>
    </row>
    <row r="1347" ht="20" hidden="1" customHeight="1" spans="1:13">
      <c r="A1347" s="10">
        <v>45512</v>
      </c>
      <c r="B1347" s="11"/>
      <c r="C1347" s="11"/>
      <c r="D1347" s="11" t="s">
        <v>4241</v>
      </c>
      <c r="E1347" s="11" t="s">
        <v>1053</v>
      </c>
      <c r="F1347" s="11" t="str">
        <f>IFERROR(VLOOKUP(VENTAS[[#This Row],[Código del producto Vendido]],STOCK[],5,FALSE),"-")</f>
        <v>Vestido en punto Rosa</v>
      </c>
      <c r="G1347" s="11">
        <v>1</v>
      </c>
      <c r="H1347" s="14">
        <v>25</v>
      </c>
      <c r="I1347" s="14">
        <f>VENTAS[[#This Row],[Cantidad]]*VENTAS[[#This Row],[Precio Venta]]</f>
        <v>25</v>
      </c>
      <c r="J1347" s="14">
        <f>IF(VENTAS[[#This Row],[Nombre del Gestor]]&gt;1,VENTAS[[#This Row],[Total]]*10%,0)</f>
        <v>2.5</v>
      </c>
      <c r="K1347" s="14">
        <f>IFERROR(VLOOKUP(VENTAS[[#This Row],[Código del producto Vendido]],STOCK[],16,FALSE)*VENTAS[[#This Row],[Cantidad]]+VLOOKUP(VENTAS[[#This Row],[Código del producto Vendido]],STOCK[],19,FALSE)*VENTAS[[#This Row],[Cantidad]],VENTAS[[#This Row],[Total]])</f>
        <v>21.4704545454545</v>
      </c>
      <c r="L1347" s="14">
        <f>VENTAS[[#This Row],[Total]]-VENTAS[[#This Row],[Comisión 10%]]-VENTAS[[#This Row],[Costo SIN Comision]]</f>
        <v>1.0295454545455</v>
      </c>
      <c r="M1347" s="14"/>
    </row>
    <row r="1348" ht="20" hidden="1" customHeight="1" spans="1:13">
      <c r="A1348" s="10">
        <v>45512</v>
      </c>
      <c r="B1348" s="11"/>
      <c r="C1348" s="11" t="s">
        <v>4400</v>
      </c>
      <c r="D1348" s="11" t="s">
        <v>4241</v>
      </c>
      <c r="E1348" s="11" t="s">
        <v>2605</v>
      </c>
      <c r="F1348" s="11" t="str">
        <f>IFERROR(VLOOKUP(VENTAS[[#This Row],[Código del producto Vendido]],STOCK[],5,FALSE),"-")</f>
        <v>Vestido crema ajustado de hombro torcido</v>
      </c>
      <c r="G1348" s="11">
        <v>1</v>
      </c>
      <c r="H1348" s="14">
        <v>25</v>
      </c>
      <c r="I1348" s="14">
        <f>VENTAS[[#This Row],[Cantidad]]*VENTAS[[#This Row],[Precio Venta]]</f>
        <v>25</v>
      </c>
      <c r="J1348" s="14">
        <f>IF(VENTAS[[#This Row],[Nombre del Gestor]]&gt;1,VENTAS[[#This Row],[Total]]*10%,0)</f>
        <v>2.5</v>
      </c>
      <c r="K1348" s="14">
        <f>IFERROR(VLOOKUP(VENTAS[[#This Row],[Código del producto Vendido]],STOCK[],16,FALSE)*VENTAS[[#This Row],[Cantidad]]+VLOOKUP(VENTAS[[#This Row],[Código del producto Vendido]],STOCK[],19,FALSE)*VENTAS[[#This Row],[Cantidad]],VENTAS[[#This Row],[Total]])</f>
        <v>13.44</v>
      </c>
      <c r="L1348" s="14">
        <f>VENTAS[[#This Row],[Total]]-VENTAS[[#This Row],[Comisión 10%]]-VENTAS[[#This Row],[Costo SIN Comision]]</f>
        <v>9.06</v>
      </c>
      <c r="M1348" s="14"/>
    </row>
    <row r="1349" ht="20" hidden="1" customHeight="1" spans="1:13">
      <c r="A1349" s="10">
        <v>45508</v>
      </c>
      <c r="B1349" s="11"/>
      <c r="C1349" s="11" t="s">
        <v>4311</v>
      </c>
      <c r="D1349" s="11" t="s">
        <v>4241</v>
      </c>
      <c r="E1349" s="11" t="s">
        <v>2577</v>
      </c>
      <c r="F1349" s="11" t="str">
        <f>IFERROR(VLOOKUP(VENTAS[[#This Row],[Código del producto Vendido]],STOCK[],5,FALSE),"-")</f>
        <v>Vestido Largo con cinturón fruncido</v>
      </c>
      <c r="G1349" s="11">
        <v>1</v>
      </c>
      <c r="H1349" s="14">
        <v>30</v>
      </c>
      <c r="I1349" s="14">
        <f>VENTAS[[#This Row],[Cantidad]]*VENTAS[[#This Row],[Precio Venta]]</f>
        <v>30</v>
      </c>
      <c r="J1349" s="14">
        <f>IF(VENTAS[[#This Row],[Nombre del Gestor]]&gt;1,VENTAS[[#This Row],[Total]]*10%,0)</f>
        <v>3</v>
      </c>
      <c r="K1349" s="14">
        <f>IFERROR(VLOOKUP(VENTAS[[#This Row],[Código del producto Vendido]],STOCK[],16,FALSE)*VENTAS[[#This Row],[Cantidad]]+VLOOKUP(VENTAS[[#This Row],[Código del producto Vendido]],STOCK[],19,FALSE)*VENTAS[[#This Row],[Cantidad]],VENTAS[[#This Row],[Total]])</f>
        <v>13.66</v>
      </c>
      <c r="L1349" s="14">
        <f>VENTAS[[#This Row],[Total]]-VENTAS[[#This Row],[Comisión 10%]]-VENTAS[[#This Row],[Costo SIN Comision]]</f>
        <v>13.34</v>
      </c>
      <c r="M1349" s="14"/>
    </row>
    <row r="1350" ht="20" hidden="1" customHeight="1" spans="1:13">
      <c r="A1350" s="10">
        <v>45509</v>
      </c>
      <c r="B1350" s="11"/>
      <c r="C1350" s="11"/>
      <c r="D1350" s="11"/>
      <c r="E1350" s="11" t="s">
        <v>1562</v>
      </c>
      <c r="F1350" s="11" t="str">
        <f>IFERROR(VLOOKUP(VENTAS[[#This Row],[Código del producto Vendido]],STOCK[],5,FALSE),"-")</f>
        <v>Vestido negro ajustado estilo corset</v>
      </c>
      <c r="G1350" s="11">
        <v>1</v>
      </c>
      <c r="H1350" s="14">
        <v>20</v>
      </c>
      <c r="I1350" s="14">
        <f>VENTAS[[#This Row],[Cantidad]]*VENTAS[[#This Row],[Precio Venta]]</f>
        <v>20</v>
      </c>
      <c r="J1350" s="14">
        <f>IF(VENTAS[[#This Row],[Nombre del Gestor]]&gt;1,VENTAS[[#This Row],[Total]]*10%,0)</f>
        <v>0</v>
      </c>
      <c r="K1350" s="14">
        <f>IFERROR(VLOOKUP(VENTAS[[#This Row],[Código del producto Vendido]],STOCK[],16,FALSE)*VENTAS[[#This Row],[Cantidad]]+VLOOKUP(VENTAS[[#This Row],[Código del producto Vendido]],STOCK[],19,FALSE)*VENTAS[[#This Row],[Cantidad]],VENTAS[[#This Row],[Total]])</f>
        <v>24</v>
      </c>
      <c r="L1350" s="14">
        <f>VENTAS[[#This Row],[Total]]-VENTAS[[#This Row],[Comisión 10%]]-VENTAS[[#This Row],[Costo SIN Comision]]</f>
        <v>-4</v>
      </c>
      <c r="M1350" s="14"/>
    </row>
    <row r="1351" ht="20" hidden="1" customHeight="1" spans="1:13">
      <c r="A1351" s="10">
        <v>45510</v>
      </c>
      <c r="B1351" s="11"/>
      <c r="C1351" s="11" t="s">
        <v>4219</v>
      </c>
      <c r="D1351" s="11"/>
      <c r="E1351" s="11" t="s">
        <v>1841</v>
      </c>
      <c r="F1351" s="11" t="str">
        <f>IFERROR(VLOOKUP(VENTAS[[#This Row],[Código del producto Vendido]],STOCK[],5,FALSE),"-")</f>
        <v>Maxi Vestido Bodycon </v>
      </c>
      <c r="G1351" s="11">
        <v>1</v>
      </c>
      <c r="H1351" s="14">
        <v>20</v>
      </c>
      <c r="I1351" s="14">
        <f>VENTAS[[#This Row],[Cantidad]]*VENTAS[[#This Row],[Precio Venta]]</f>
        <v>20</v>
      </c>
      <c r="J1351" s="14">
        <f>IF(VENTAS[[#This Row],[Nombre del Gestor]]&gt;1,VENTAS[[#This Row],[Total]]*10%,0)</f>
        <v>0</v>
      </c>
      <c r="K1351" s="14">
        <f>IFERROR(VLOOKUP(VENTAS[[#This Row],[Código del producto Vendido]],STOCK[],16,FALSE)*VENTAS[[#This Row],[Cantidad]]+VLOOKUP(VENTAS[[#This Row],[Código del producto Vendido]],STOCK[],19,FALSE)*VENTAS[[#This Row],[Cantidad]],VENTAS[[#This Row],[Total]])</f>
        <v>11.79</v>
      </c>
      <c r="L1351" s="14">
        <f>VENTAS[[#This Row],[Total]]-VENTAS[[#This Row],[Comisión 10%]]-VENTAS[[#This Row],[Costo SIN Comision]]</f>
        <v>8.21</v>
      </c>
      <c r="M1351" s="14"/>
    </row>
    <row r="1352" ht="20" hidden="1" customHeight="1" spans="1:13">
      <c r="A1352" s="10">
        <v>45511</v>
      </c>
      <c r="B1352" s="11"/>
      <c r="C1352" s="11" t="s">
        <v>4210</v>
      </c>
      <c r="D1352" s="11"/>
      <c r="E1352" s="11" t="s">
        <v>1838</v>
      </c>
      <c r="F1352" s="11" t="str">
        <f>IFERROR(VLOOKUP(VENTAS[[#This Row],[Código del producto Vendido]],STOCK[],5,FALSE),"-")</f>
        <v>Maxi Vestido Bodycon </v>
      </c>
      <c r="G1352" s="11">
        <v>1</v>
      </c>
      <c r="H1352" s="14">
        <v>0</v>
      </c>
      <c r="I1352" s="14">
        <f>VENTAS[[#This Row],[Cantidad]]*VENTAS[[#This Row],[Precio Venta]]</f>
        <v>0</v>
      </c>
      <c r="J1352" s="14">
        <f>IF(VENTAS[[#This Row],[Nombre del Gestor]]&gt;1,VENTAS[[#This Row],[Total]]*10%,0)</f>
        <v>0</v>
      </c>
      <c r="K1352" s="14">
        <f>IFERROR(VLOOKUP(VENTAS[[#This Row],[Código del producto Vendido]],STOCK[],16,FALSE)*VENTAS[[#This Row],[Cantidad]]+VLOOKUP(VENTAS[[#This Row],[Código del producto Vendido]],STOCK[],19,FALSE)*VENTAS[[#This Row],[Cantidad]],VENTAS[[#This Row],[Total]])</f>
        <v>11.79</v>
      </c>
      <c r="L1352" s="14">
        <f>VENTAS[[#This Row],[Total]]-VENTAS[[#This Row],[Comisión 10%]]-VENTAS[[#This Row],[Costo SIN Comision]]</f>
        <v>-11.79</v>
      </c>
      <c r="M1352" s="14"/>
    </row>
    <row r="1353" ht="20" hidden="1" customHeight="1" spans="1:13">
      <c r="A1353" s="10">
        <v>45512</v>
      </c>
      <c r="B1353" s="11"/>
      <c r="C1353" s="11" t="s">
        <v>4210</v>
      </c>
      <c r="D1353" s="11"/>
      <c r="E1353" s="11" t="s">
        <v>1426</v>
      </c>
      <c r="F1353" s="11" t="str">
        <f>IFERROR(VLOOKUP(VENTAS[[#This Row],[Código del producto Vendido]],STOCK[],5,FALSE),"-")</f>
        <v>Vestido espalda escotada</v>
      </c>
      <c r="G1353" s="11">
        <v>1</v>
      </c>
      <c r="H1353" s="14">
        <v>28</v>
      </c>
      <c r="I1353" s="14">
        <f>VENTAS[[#This Row],[Cantidad]]*VENTAS[[#This Row],[Precio Venta]]</f>
        <v>28</v>
      </c>
      <c r="J1353" s="14">
        <f>IF(VENTAS[[#This Row],[Nombre del Gestor]]&gt;1,VENTAS[[#This Row],[Total]]*10%,0)</f>
        <v>0</v>
      </c>
      <c r="K1353" s="14">
        <f>IFERROR(VLOOKUP(VENTAS[[#This Row],[Código del producto Vendido]],STOCK[],16,FALSE)*VENTAS[[#This Row],[Cantidad]]+VLOOKUP(VENTAS[[#This Row],[Código del producto Vendido]],STOCK[],19,FALSE)*VENTAS[[#This Row],[Cantidad]],VENTAS[[#This Row],[Total]])</f>
        <v>17</v>
      </c>
      <c r="L1353" s="14">
        <f>VENTAS[[#This Row],[Total]]-VENTAS[[#This Row],[Comisión 10%]]-VENTAS[[#This Row],[Costo SIN Comision]]</f>
        <v>11</v>
      </c>
      <c r="M1353" s="14"/>
    </row>
    <row r="1354" ht="20" hidden="1" customHeight="1" spans="1:13">
      <c r="A1354" s="10">
        <v>45513</v>
      </c>
      <c r="B1354" s="11"/>
      <c r="C1354" s="11" t="s">
        <v>4210</v>
      </c>
      <c r="D1354" s="11"/>
      <c r="E1354" s="11" t="s">
        <v>1411</v>
      </c>
      <c r="F1354" s="11" t="str">
        <f>IFERROR(VLOOKUP(VENTAS[[#This Row],[Código del producto Vendido]],STOCK[],5,FALSE),"-")</f>
        <v>Pantaloneta con abertura</v>
      </c>
      <c r="G1354" s="11">
        <v>1</v>
      </c>
      <c r="H1354" s="14">
        <v>23</v>
      </c>
      <c r="I1354" s="14">
        <f>VENTAS[[#This Row],[Cantidad]]*VENTAS[[#This Row],[Precio Venta]]</f>
        <v>23</v>
      </c>
      <c r="J1354" s="14">
        <f>IF(VENTAS[[#This Row],[Nombre del Gestor]]&gt;1,VENTAS[[#This Row],[Total]]*10%,0)</f>
        <v>0</v>
      </c>
      <c r="K1354" s="14">
        <f>IFERROR(VLOOKUP(VENTAS[[#This Row],[Código del producto Vendido]],STOCK[],16,FALSE)*VENTAS[[#This Row],[Cantidad]]+VLOOKUP(VENTAS[[#This Row],[Código del producto Vendido]],STOCK[],19,FALSE)*VENTAS[[#This Row],[Cantidad]],VENTAS[[#This Row],[Total]])</f>
        <v>14.22</v>
      </c>
      <c r="L1354" s="14">
        <f>VENTAS[[#This Row],[Total]]-VENTAS[[#This Row],[Comisión 10%]]-VENTAS[[#This Row],[Costo SIN Comision]]</f>
        <v>8.78</v>
      </c>
      <c r="M1354" s="14"/>
    </row>
    <row r="1355" ht="20" hidden="1" customHeight="1" spans="1:13">
      <c r="A1355" s="10">
        <v>45514</v>
      </c>
      <c r="B1355" s="11"/>
      <c r="C1355" s="11" t="s">
        <v>4210</v>
      </c>
      <c r="D1355" s="11"/>
      <c r="E1355" s="11" t="s">
        <v>1370</v>
      </c>
      <c r="F1355" s="11" t="str">
        <f>IFERROR(VLOOKUP(VENTAS[[#This Row],[Código del producto Vendido]],STOCK[],5,FALSE),"-")</f>
        <v>Falda plisada de cuadros</v>
      </c>
      <c r="G1355" s="11">
        <v>1</v>
      </c>
      <c r="H1355" s="14">
        <v>20</v>
      </c>
      <c r="I1355" s="14">
        <f>VENTAS[[#This Row],[Cantidad]]*VENTAS[[#This Row],[Precio Venta]]</f>
        <v>20</v>
      </c>
      <c r="J1355" s="14">
        <f>IF(VENTAS[[#This Row],[Nombre del Gestor]]&gt;1,VENTAS[[#This Row],[Total]]*10%,0)</f>
        <v>0</v>
      </c>
      <c r="K1355" s="14">
        <f>IFERROR(VLOOKUP(VENTAS[[#This Row],[Código del producto Vendido]],STOCK[],16,FALSE)*VENTAS[[#This Row],[Cantidad]]+VLOOKUP(VENTAS[[#This Row],[Código del producto Vendido]],STOCK[],19,FALSE)*VENTAS[[#This Row],[Cantidad]],VENTAS[[#This Row],[Total]])</f>
        <v>12.74</v>
      </c>
      <c r="L1355" s="14">
        <f>VENTAS[[#This Row],[Total]]-VENTAS[[#This Row],[Comisión 10%]]-VENTAS[[#This Row],[Costo SIN Comision]]</f>
        <v>7.26</v>
      </c>
      <c r="M1355" s="14"/>
    </row>
    <row r="1356" ht="20" hidden="1" customHeight="1" spans="1:13">
      <c r="A1356" s="10">
        <v>45515</v>
      </c>
      <c r="B1356" s="11"/>
      <c r="C1356" s="11" t="s">
        <v>4210</v>
      </c>
      <c r="D1356" s="11"/>
      <c r="E1356" s="11" t="s">
        <v>1293</v>
      </c>
      <c r="F1356" s="11" t="str">
        <f>IFERROR(VLOOKUP(VENTAS[[#This Row],[Código del producto Vendido]],STOCK[],5,FALSE),"-")</f>
        <v>Jean skinny oscuro </v>
      </c>
      <c r="G1356" s="11">
        <v>1</v>
      </c>
      <c r="H1356" s="14">
        <v>32</v>
      </c>
      <c r="I1356" s="14">
        <f>VENTAS[[#This Row],[Cantidad]]*VENTAS[[#This Row],[Precio Venta]]</f>
        <v>32</v>
      </c>
      <c r="J1356" s="14">
        <f>IF(VENTAS[[#This Row],[Nombre del Gestor]]&gt;1,VENTAS[[#This Row],[Total]]*10%,0)</f>
        <v>0</v>
      </c>
      <c r="K1356" s="14">
        <f>IFERROR(VLOOKUP(VENTAS[[#This Row],[Código del producto Vendido]],STOCK[],16,FALSE)*VENTAS[[#This Row],[Cantidad]]+VLOOKUP(VENTAS[[#This Row],[Código del producto Vendido]],STOCK[],19,FALSE)*VENTAS[[#This Row],[Cantidad]],VENTAS[[#This Row],[Total]])</f>
        <v>20.79</v>
      </c>
      <c r="L1356" s="14">
        <f>VENTAS[[#This Row],[Total]]-VENTAS[[#This Row],[Comisión 10%]]-VENTAS[[#This Row],[Costo SIN Comision]]</f>
        <v>11.21</v>
      </c>
      <c r="M1356" s="14"/>
    </row>
    <row r="1357" ht="20" hidden="1" customHeight="1" spans="1:13">
      <c r="A1357" s="10">
        <v>45516</v>
      </c>
      <c r="B1357" s="11"/>
      <c r="C1357" s="11" t="s">
        <v>4210</v>
      </c>
      <c r="D1357" s="11"/>
      <c r="E1357" s="11" t="s">
        <v>1303</v>
      </c>
      <c r="F1357" s="11" t="str">
        <f>IFERROR(VLOOKUP(VENTAS[[#This Row],[Código del producto Vendido]],STOCK[],5,FALSE),"-")</f>
        <v>Jean ajustado Claro</v>
      </c>
      <c r="G1357" s="11">
        <v>1</v>
      </c>
      <c r="H1357" s="14">
        <v>32</v>
      </c>
      <c r="I1357" s="14">
        <f>VENTAS[[#This Row],[Cantidad]]*VENTAS[[#This Row],[Precio Venta]]</f>
        <v>32</v>
      </c>
      <c r="J1357" s="14">
        <f>IF(VENTAS[[#This Row],[Nombre del Gestor]]&gt;1,VENTAS[[#This Row],[Total]]*10%,0)</f>
        <v>0</v>
      </c>
      <c r="K1357" s="14">
        <f>IFERROR(VLOOKUP(VENTAS[[#This Row],[Código del producto Vendido]],STOCK[],16,FALSE)*VENTAS[[#This Row],[Cantidad]]+VLOOKUP(VENTAS[[#This Row],[Código del producto Vendido]],STOCK[],19,FALSE)*VENTAS[[#This Row],[Cantidad]],VENTAS[[#This Row],[Total]])</f>
        <v>23.79</v>
      </c>
      <c r="L1357" s="14">
        <f>VENTAS[[#This Row],[Total]]-VENTAS[[#This Row],[Comisión 10%]]-VENTAS[[#This Row],[Costo SIN Comision]]</f>
        <v>8.21</v>
      </c>
      <c r="M1357" s="14"/>
    </row>
    <row r="1358" ht="20" hidden="1" customHeight="1" spans="1:13">
      <c r="A1358" s="10">
        <v>45517</v>
      </c>
      <c r="B1358" s="11"/>
      <c r="C1358" s="11" t="s">
        <v>4210</v>
      </c>
      <c r="D1358" s="11"/>
      <c r="E1358" s="11" t="s">
        <v>1335</v>
      </c>
      <c r="F1358" s="11" t="str">
        <f>IFERROR(VLOOKUP(VENTAS[[#This Row],[Código del producto Vendido]],STOCK[],5,FALSE),"-")</f>
        <v>Blusa de manga acampanada</v>
      </c>
      <c r="G1358" s="11">
        <v>1</v>
      </c>
      <c r="H1358" s="14">
        <v>22</v>
      </c>
      <c r="I1358" s="14">
        <f>VENTAS[[#This Row],[Cantidad]]*VENTAS[[#This Row],[Precio Venta]]</f>
        <v>22</v>
      </c>
      <c r="J1358" s="14">
        <f>IF(VENTAS[[#This Row],[Nombre del Gestor]]&gt;1,VENTAS[[#This Row],[Total]]*10%,0)</f>
        <v>0</v>
      </c>
      <c r="K1358" s="14">
        <f>IFERROR(VLOOKUP(VENTAS[[#This Row],[Código del producto Vendido]],STOCK[],16,FALSE)*VENTAS[[#This Row],[Cantidad]]+VLOOKUP(VENTAS[[#This Row],[Código del producto Vendido]],STOCK[],19,FALSE)*VENTAS[[#This Row],[Cantidad]],VENTAS[[#This Row],[Total]])</f>
        <v>14.24</v>
      </c>
      <c r="L1358" s="14">
        <f>VENTAS[[#This Row],[Total]]-VENTAS[[#This Row],[Comisión 10%]]-VENTAS[[#This Row],[Costo SIN Comision]]</f>
        <v>7.76</v>
      </c>
      <c r="M1358" s="14"/>
    </row>
    <row r="1359" ht="20" hidden="1" customHeight="1" spans="1:13">
      <c r="A1359" s="10">
        <v>45518</v>
      </c>
      <c r="B1359" s="11"/>
      <c r="C1359" s="11" t="s">
        <v>4210</v>
      </c>
      <c r="D1359" s="11"/>
      <c r="E1359" s="11" t="s">
        <v>2406</v>
      </c>
      <c r="F1359" s="11" t="str">
        <f>IFERROR(VLOOKUP(VENTAS[[#This Row],[Código del producto Vendido]],STOCK[],5,FALSE),"-")</f>
        <v>Pantalón de vestir de viscosa y lino (beige claro)</v>
      </c>
      <c r="G1359" s="11">
        <v>1</v>
      </c>
      <c r="H1359" s="14">
        <v>35</v>
      </c>
      <c r="I1359" s="14">
        <f>VENTAS[[#This Row],[Cantidad]]*VENTAS[[#This Row],[Precio Venta]]</f>
        <v>35</v>
      </c>
      <c r="J1359" s="14">
        <f>IF(VENTAS[[#This Row],[Nombre del Gestor]]&gt;1,VENTAS[[#This Row],[Total]]*10%,0)</f>
        <v>0</v>
      </c>
      <c r="K1359" s="14">
        <f>IFERROR(VLOOKUP(VENTAS[[#This Row],[Código del producto Vendido]],STOCK[],16,FALSE)*VENTAS[[#This Row],[Cantidad]]+VLOOKUP(VENTAS[[#This Row],[Código del producto Vendido]],STOCK[],19,FALSE)*VENTAS[[#This Row],[Cantidad]],VENTAS[[#This Row],[Total]])</f>
        <v>17.2520211515864</v>
      </c>
      <c r="L1359" s="14">
        <f>VENTAS[[#This Row],[Total]]-VENTAS[[#This Row],[Comisión 10%]]-VENTAS[[#This Row],[Costo SIN Comision]]</f>
        <v>17.7479788484136</v>
      </c>
      <c r="M1359" s="14"/>
    </row>
    <row r="1360" ht="20" hidden="1" customHeight="1" spans="1:13">
      <c r="A1360" s="10">
        <v>45519</v>
      </c>
      <c r="B1360" s="11"/>
      <c r="C1360" s="11" t="s">
        <v>4210</v>
      </c>
      <c r="D1360" s="11"/>
      <c r="E1360" s="11" t="s">
        <v>2411</v>
      </c>
      <c r="F1360" s="11" t="str">
        <f>IFERROR(VLOOKUP(VENTAS[[#This Row],[Código del producto Vendido]],STOCK[],5,FALSE),"-")</f>
        <v>Pantalón de vestir de viscosa y lino (beige claro)</v>
      </c>
      <c r="G1360" s="11">
        <v>1</v>
      </c>
      <c r="H1360" s="14">
        <v>35</v>
      </c>
      <c r="I1360" s="14">
        <f>VENTAS[[#This Row],[Cantidad]]*VENTAS[[#This Row],[Precio Venta]]</f>
        <v>35</v>
      </c>
      <c r="J1360" s="14">
        <f>IF(VENTAS[[#This Row],[Nombre del Gestor]]&gt;1,VENTAS[[#This Row],[Total]]*10%,0)</f>
        <v>0</v>
      </c>
      <c r="K1360" s="14">
        <f>IFERROR(VLOOKUP(VENTAS[[#This Row],[Código del producto Vendido]],STOCK[],16,FALSE)*VENTAS[[#This Row],[Cantidad]]+VLOOKUP(VENTAS[[#This Row],[Código del producto Vendido]],STOCK[],19,FALSE)*VENTAS[[#This Row],[Cantidad]],VENTAS[[#This Row],[Total]])</f>
        <v>17.2520211515864</v>
      </c>
      <c r="L1360" s="14">
        <f>VENTAS[[#This Row],[Total]]-VENTAS[[#This Row],[Comisión 10%]]-VENTAS[[#This Row],[Costo SIN Comision]]</f>
        <v>17.7479788484136</v>
      </c>
      <c r="M1360" s="14"/>
    </row>
    <row r="1361" ht="20" hidden="1" customHeight="1" spans="1:13">
      <c r="A1361" s="10">
        <v>45520</v>
      </c>
      <c r="B1361" s="11"/>
      <c r="C1361" s="11" t="s">
        <v>4333</v>
      </c>
      <c r="D1361" s="11"/>
      <c r="E1361" s="11" t="s">
        <v>265</v>
      </c>
      <c r="F1361" s="11" t="str">
        <f>IFERROR(VLOOKUP(VENTAS[[#This Row],[Código del producto Vendido]],STOCK[],5,FALSE),"-")</f>
        <v>Vestido de  lunares de cintura con cordó</v>
      </c>
      <c r="G1361" s="11">
        <v>1</v>
      </c>
      <c r="H1361" s="14">
        <v>0</v>
      </c>
      <c r="I1361" s="14">
        <f>VENTAS[[#This Row],[Cantidad]]*VENTAS[[#This Row],[Precio Venta]]</f>
        <v>0</v>
      </c>
      <c r="J1361" s="14">
        <f>IF(VENTAS[[#This Row],[Nombre del Gestor]]&gt;1,VENTAS[[#This Row],[Total]]*10%,0)</f>
        <v>0</v>
      </c>
      <c r="K1361" s="14">
        <f>IFERROR(VLOOKUP(VENTAS[[#This Row],[Código del producto Vendido]],STOCK[],16,FALSE)*VENTAS[[#This Row],[Cantidad]]+VLOOKUP(VENTAS[[#This Row],[Código del producto Vendido]],STOCK[],19,FALSE)*VENTAS[[#This Row],[Cantidad]],VENTAS[[#This Row],[Total]])</f>
        <v>17.9155555555556</v>
      </c>
      <c r="L1361" s="14">
        <f>VENTAS[[#This Row],[Total]]-VENTAS[[#This Row],[Comisión 10%]]-VENTAS[[#This Row],[Costo SIN Comision]]</f>
        <v>-17.9155555555556</v>
      </c>
      <c r="M1361" s="14"/>
    </row>
    <row r="1362" ht="20" hidden="1" customHeight="1" spans="1:13">
      <c r="A1362" s="10">
        <v>45531</v>
      </c>
      <c r="B1362" s="11"/>
      <c r="C1362" s="11"/>
      <c r="D1362" s="11" t="s">
        <v>4241</v>
      </c>
      <c r="E1362" s="11" t="s">
        <v>1100</v>
      </c>
      <c r="F1362" s="11" t="str">
        <f>IFERROR(VLOOKUP(VENTAS[[#This Row],[Código del producto Vendido]],STOCK[],5,FALSE),"-")</f>
        <v>Sandalias crema</v>
      </c>
      <c r="G1362" s="11">
        <v>1</v>
      </c>
      <c r="H1362" s="14">
        <v>35</v>
      </c>
      <c r="I1362" s="14">
        <f>VENTAS[[#This Row],[Cantidad]]*VENTAS[[#This Row],[Precio Venta]]</f>
        <v>35</v>
      </c>
      <c r="J1362" s="14">
        <f>IF(VENTAS[[#This Row],[Nombre del Gestor]]&gt;1,VENTAS[[#This Row],[Total]]*10%,0)</f>
        <v>3.5</v>
      </c>
      <c r="K1362" s="14">
        <f>IFERROR(VLOOKUP(VENTAS[[#This Row],[Código del producto Vendido]],STOCK[],16,FALSE)*VENTAS[[#This Row],[Cantidad]]+VLOOKUP(VENTAS[[#This Row],[Código del producto Vendido]],STOCK[],19,FALSE)*VENTAS[[#This Row],[Cantidad]],VENTAS[[#This Row],[Total]])</f>
        <v>26.8529411764706</v>
      </c>
      <c r="L1362" s="14">
        <f>VENTAS[[#This Row],[Total]]-VENTAS[[#This Row],[Comisión 10%]]-VENTAS[[#This Row],[Costo SIN Comision]]</f>
        <v>4.6470588235294</v>
      </c>
      <c r="M1362" s="14"/>
    </row>
    <row r="1363" ht="20" hidden="1" customHeight="1" spans="1:13">
      <c r="A1363" s="10"/>
      <c r="B1363" s="11"/>
      <c r="C1363" s="11" t="s">
        <v>4210</v>
      </c>
      <c r="D1363" s="11"/>
      <c r="E1363" s="11" t="s">
        <v>2421</v>
      </c>
      <c r="F1363" s="11" t="str">
        <f>IFERROR(VLOOKUP(VENTAS[[#This Row],[Código del producto Vendido]],STOCK[],5,FALSE),"-")</f>
        <v>Camisa blanca en mezcla de algodón</v>
      </c>
      <c r="G1363" s="11">
        <v>1</v>
      </c>
      <c r="H1363" s="14">
        <v>0</v>
      </c>
      <c r="I1363" s="14">
        <f>VENTAS[[#This Row],[Cantidad]]*VENTAS[[#This Row],[Precio Venta]]</f>
        <v>0</v>
      </c>
      <c r="J1363" s="14">
        <f>IF(VENTAS[[#This Row],[Nombre del Gestor]]&gt;1,VENTAS[[#This Row],[Total]]*10%,0)</f>
        <v>0</v>
      </c>
      <c r="K1363" s="14">
        <f>IFERROR(VLOOKUP(VENTAS[[#This Row],[Código del producto Vendido]],STOCK[],16,FALSE)*VENTAS[[#This Row],[Cantidad]]+VLOOKUP(VENTAS[[#This Row],[Código del producto Vendido]],STOCK[],19,FALSE)*VENTAS[[#This Row],[Cantidad]],VENTAS[[#This Row],[Total]])</f>
        <v>17.7808108108108</v>
      </c>
      <c r="L1363" s="14">
        <f>VENTAS[[#This Row],[Total]]-VENTAS[[#This Row],[Comisión 10%]]-VENTAS[[#This Row],[Costo SIN Comision]]</f>
        <v>-17.7808108108108</v>
      </c>
      <c r="M1363" s="14"/>
    </row>
    <row r="1364" ht="20" hidden="1" customHeight="1" spans="1:13">
      <c r="A1364" s="10">
        <v>45517</v>
      </c>
      <c r="B1364" s="11"/>
      <c r="C1364" s="11" t="s">
        <v>4397</v>
      </c>
      <c r="D1364" s="11"/>
      <c r="E1364" s="11" t="s">
        <v>2648</v>
      </c>
      <c r="F1364" s="11" t="str">
        <f>IFERROR(VLOOKUP(VENTAS[[#This Row],[Código del producto Vendido]],STOCK[],5,FALSE),"-")</f>
        <v>Camisa Oversize blanca en mezcla de lino H&amp;M (encargo mónica)</v>
      </c>
      <c r="G1364" s="11">
        <v>1</v>
      </c>
      <c r="H1364" s="14">
        <v>35</v>
      </c>
      <c r="I1364" s="14">
        <f>VENTAS[[#This Row],[Cantidad]]*VENTAS[[#This Row],[Precio Venta]]</f>
        <v>35</v>
      </c>
      <c r="J1364" s="14">
        <f>IF(VENTAS[[#This Row],[Nombre del Gestor]]&gt;1,VENTAS[[#This Row],[Total]]*10%,0)</f>
        <v>0</v>
      </c>
      <c r="K1364" s="14">
        <f>IFERROR(VLOOKUP(VENTAS[[#This Row],[Código del producto Vendido]],STOCK[],16,FALSE)*VENTAS[[#This Row],[Cantidad]]+VLOOKUP(VENTAS[[#This Row],[Código del producto Vendido]],STOCK[],19,FALSE)*VENTAS[[#This Row],[Cantidad]],VENTAS[[#This Row],[Total]])</f>
        <v>28.22</v>
      </c>
      <c r="L1364" s="14">
        <f>VENTAS[[#This Row],[Total]]-VENTAS[[#This Row],[Comisión 10%]]-VENTAS[[#This Row],[Costo SIN Comision]]</f>
        <v>6.78</v>
      </c>
      <c r="M1364" s="14"/>
    </row>
    <row r="1365" ht="20" hidden="1" customHeight="1" spans="1:13">
      <c r="A1365" s="10">
        <v>45517</v>
      </c>
      <c r="B1365" s="11"/>
      <c r="C1365" s="11" t="s">
        <v>4401</v>
      </c>
      <c r="D1365" s="11"/>
      <c r="E1365" s="11" t="s">
        <v>2680</v>
      </c>
      <c r="F1365" s="11" t="str">
        <f>IFERROR(VLOOKUP(VENTAS[[#This Row],[Código del producto Vendido]],STOCK[],5,FALSE),"-")</f>
        <v>Camisa verde oversize (encargo)</v>
      </c>
      <c r="G1365" s="11">
        <v>1</v>
      </c>
      <c r="H1365" s="14">
        <v>20</v>
      </c>
      <c r="I1365" s="14">
        <f>VENTAS[[#This Row],[Cantidad]]*VENTAS[[#This Row],[Precio Venta]]</f>
        <v>20</v>
      </c>
      <c r="J1365" s="14">
        <f>IF(VENTAS[[#This Row],[Nombre del Gestor]]&gt;1,VENTAS[[#This Row],[Total]]*10%,0)</f>
        <v>0</v>
      </c>
      <c r="K1365" s="14">
        <f>IFERROR(VLOOKUP(VENTAS[[#This Row],[Código del producto Vendido]],STOCK[],16,FALSE)*VENTAS[[#This Row],[Cantidad]]+VLOOKUP(VENTAS[[#This Row],[Código del producto Vendido]],STOCK[],19,FALSE)*VENTAS[[#This Row],[Cantidad]],VENTAS[[#This Row],[Total]])</f>
        <v>13.15</v>
      </c>
      <c r="L1365" s="14">
        <f>VENTAS[[#This Row],[Total]]-VENTAS[[#This Row],[Comisión 10%]]-VENTAS[[#This Row],[Costo SIN Comision]]</f>
        <v>6.85</v>
      </c>
      <c r="M1365" s="14"/>
    </row>
    <row r="1366" ht="20" hidden="1" customHeight="1" spans="1:13">
      <c r="A1366" s="10">
        <v>45517</v>
      </c>
      <c r="B1366" s="11"/>
      <c r="C1366" s="11" t="s">
        <v>4401</v>
      </c>
      <c r="D1366" s="11"/>
      <c r="E1366" s="11" t="s">
        <v>2682</v>
      </c>
      <c r="F1366" s="11" t="str">
        <f>IFERROR(VLOOKUP(VENTAS[[#This Row],[Código del producto Vendido]],STOCK[],5,FALSE),"-")</f>
        <v>Top corto verde de tirantes (encargo)</v>
      </c>
      <c r="G1366" s="11">
        <v>1</v>
      </c>
      <c r="H1366" s="14">
        <v>8</v>
      </c>
      <c r="I1366" s="14">
        <f>VENTAS[[#This Row],[Cantidad]]*VENTAS[[#This Row],[Precio Venta]]</f>
        <v>8</v>
      </c>
      <c r="J1366" s="14">
        <f>IF(VENTAS[[#This Row],[Nombre del Gestor]]&gt;1,VENTAS[[#This Row],[Total]]*10%,0)</f>
        <v>0</v>
      </c>
      <c r="K1366" s="14">
        <f>IFERROR(VLOOKUP(VENTAS[[#This Row],[Código del producto Vendido]],STOCK[],16,FALSE)*VENTAS[[#This Row],[Cantidad]]+VLOOKUP(VENTAS[[#This Row],[Código del producto Vendido]],STOCK[],19,FALSE)*VENTAS[[#This Row],[Cantidad]],VENTAS[[#This Row],[Total]])</f>
        <v>4.58</v>
      </c>
      <c r="L1366" s="14">
        <f>VENTAS[[#This Row],[Total]]-VENTAS[[#This Row],[Comisión 10%]]-VENTAS[[#This Row],[Costo SIN Comision]]</f>
        <v>3.42</v>
      </c>
      <c r="M1366" s="14"/>
    </row>
    <row r="1367" ht="20" hidden="1" customHeight="1" spans="1:13">
      <c r="A1367" s="10">
        <v>45517</v>
      </c>
      <c r="B1367" s="11"/>
      <c r="C1367" s="11" t="s">
        <v>4401</v>
      </c>
      <c r="D1367" s="11"/>
      <c r="E1367" s="11" t="s">
        <v>2690</v>
      </c>
      <c r="F1367" s="11" t="str">
        <f>IFERROR(VLOOKUP(VENTAS[[#This Row],[Código del producto Vendido]],STOCK[],5,FALSE),"-")</f>
        <v>Short blanco de talle alto (encargo)</v>
      </c>
      <c r="G1367" s="11">
        <v>1</v>
      </c>
      <c r="H1367" s="14">
        <v>18</v>
      </c>
      <c r="I1367" s="14">
        <f>VENTAS[[#This Row],[Cantidad]]*VENTAS[[#This Row],[Precio Venta]]</f>
        <v>18</v>
      </c>
      <c r="J1367" s="14">
        <f>IF(VENTAS[[#This Row],[Nombre del Gestor]]&gt;1,VENTAS[[#This Row],[Total]]*10%,0)</f>
        <v>0</v>
      </c>
      <c r="K1367" s="14">
        <f>IFERROR(VLOOKUP(VENTAS[[#This Row],[Código del producto Vendido]],STOCK[],16,FALSE)*VENTAS[[#This Row],[Cantidad]]+VLOOKUP(VENTAS[[#This Row],[Código del producto Vendido]],STOCK[],19,FALSE)*VENTAS[[#This Row],[Cantidad]],VENTAS[[#This Row],[Total]])</f>
        <v>10.12</v>
      </c>
      <c r="L1367" s="14">
        <f>VENTAS[[#This Row],[Total]]-VENTAS[[#This Row],[Comisión 10%]]-VENTAS[[#This Row],[Costo SIN Comision]]</f>
        <v>7.88</v>
      </c>
      <c r="M1367" s="14"/>
    </row>
    <row r="1368" ht="20" hidden="1" customHeight="1" spans="1:13">
      <c r="A1368" s="10"/>
      <c r="B1368" s="11"/>
      <c r="C1368" s="11" t="s">
        <v>4210</v>
      </c>
      <c r="D1368" s="11"/>
      <c r="E1368" s="11" t="s">
        <v>601</v>
      </c>
      <c r="F1368" s="11" t="str">
        <f>IFERROR(VLOOKUP(VENTAS[[#This Row],[Código del producto Vendido]],STOCK[],5,FALSE),"-")</f>
        <v>Top corsetero asimétrico</v>
      </c>
      <c r="G1368" s="11">
        <v>1</v>
      </c>
      <c r="H1368" s="14">
        <v>9</v>
      </c>
      <c r="I1368" s="14">
        <f>VENTAS[[#This Row],[Cantidad]]*VENTAS[[#This Row],[Precio Venta]]</f>
        <v>9</v>
      </c>
      <c r="J1368" s="14">
        <f>IF(VENTAS[[#This Row],[Nombre del Gestor]]&gt;1,VENTAS[[#This Row],[Total]]*10%,0)</f>
        <v>0</v>
      </c>
      <c r="K1368" s="14">
        <f>IFERROR(VLOOKUP(VENTAS[[#This Row],[Código del producto Vendido]],STOCK[],16,FALSE)*VENTAS[[#This Row],[Cantidad]]+VLOOKUP(VENTAS[[#This Row],[Código del producto Vendido]],STOCK[],19,FALSE)*VENTAS[[#This Row],[Cantidad]],VENTAS[[#This Row],[Total]])</f>
        <v>5.56833333333333</v>
      </c>
      <c r="L1368" s="14">
        <f>VENTAS[[#This Row],[Total]]-VENTAS[[#This Row],[Comisión 10%]]-VENTAS[[#This Row],[Costo SIN Comision]]</f>
        <v>3.43166666666667</v>
      </c>
      <c r="M1368" s="14"/>
    </row>
    <row r="1369" ht="20" hidden="1" customHeight="1" spans="1:13">
      <c r="A1369" s="10"/>
      <c r="B1369" s="11"/>
      <c r="C1369" s="11" t="s">
        <v>4210</v>
      </c>
      <c r="D1369" s="11"/>
      <c r="E1369" s="11" t="s">
        <v>665</v>
      </c>
      <c r="F1369" s="11" t="str">
        <f>IFERROR(VLOOKUP(VENTAS[[#This Row],[Código del producto Vendido]],STOCK[],5,FALSE),"-")</f>
        <v>Top Cruzado negro</v>
      </c>
      <c r="G1369" s="11">
        <v>1</v>
      </c>
      <c r="H1369" s="14">
        <v>9</v>
      </c>
      <c r="I1369" s="14">
        <f>VENTAS[[#This Row],[Cantidad]]*VENTAS[[#This Row],[Precio Venta]]</f>
        <v>9</v>
      </c>
      <c r="J1369" s="14">
        <f>IF(VENTAS[[#This Row],[Nombre del Gestor]]&gt;1,VENTAS[[#This Row],[Total]]*10%,0)</f>
        <v>0</v>
      </c>
      <c r="K1369" s="14">
        <f>IFERROR(VLOOKUP(VENTAS[[#This Row],[Código del producto Vendido]],STOCK[],16,FALSE)*VENTAS[[#This Row],[Cantidad]]+VLOOKUP(VENTAS[[#This Row],[Código del producto Vendido]],STOCK[],19,FALSE)*VENTAS[[#This Row],[Cantidad]],VENTAS[[#This Row],[Total]])</f>
        <v>4.90166666666667</v>
      </c>
      <c r="L1369" s="14">
        <f>VENTAS[[#This Row],[Total]]-VENTAS[[#This Row],[Comisión 10%]]-VENTAS[[#This Row],[Costo SIN Comision]]</f>
        <v>4.09833333333333</v>
      </c>
      <c r="M1369" s="14"/>
    </row>
    <row r="1370" ht="20" hidden="1" customHeight="1" spans="1:13">
      <c r="A1370" s="10"/>
      <c r="B1370" s="11"/>
      <c r="C1370" s="11" t="s">
        <v>4210</v>
      </c>
      <c r="D1370" s="11"/>
      <c r="E1370" s="11" t="s">
        <v>674</v>
      </c>
      <c r="F1370" s="11" t="str">
        <f>IFERROR(VLOOKUP(VENTAS[[#This Row],[Código del producto Vendido]],STOCK[],5,FALSE),"-")</f>
        <v>Top Cruzado azul</v>
      </c>
      <c r="G1370" s="11">
        <v>1</v>
      </c>
      <c r="H1370" s="14">
        <v>9</v>
      </c>
      <c r="I1370" s="14">
        <f>VENTAS[[#This Row],[Cantidad]]*VENTAS[[#This Row],[Precio Venta]]</f>
        <v>9</v>
      </c>
      <c r="J1370" s="14">
        <f>IF(VENTAS[[#This Row],[Nombre del Gestor]]&gt;1,VENTAS[[#This Row],[Total]]*10%,0)</f>
        <v>0</v>
      </c>
      <c r="K1370" s="14">
        <f>IFERROR(VLOOKUP(VENTAS[[#This Row],[Código del producto Vendido]],STOCK[],16,FALSE)*VENTAS[[#This Row],[Cantidad]]+VLOOKUP(VENTAS[[#This Row],[Código del producto Vendido]],STOCK[],19,FALSE)*VENTAS[[#This Row],[Cantidad]],VENTAS[[#This Row],[Total]])</f>
        <v>5.26833333333333</v>
      </c>
      <c r="L1370" s="14">
        <f>VENTAS[[#This Row],[Total]]-VENTAS[[#This Row],[Comisión 10%]]-VENTAS[[#This Row],[Costo SIN Comision]]</f>
        <v>3.73166666666667</v>
      </c>
      <c r="M1370" s="14"/>
    </row>
    <row r="1371" ht="20" hidden="1" customHeight="1" spans="1:13">
      <c r="A1371" s="10"/>
      <c r="B1371" s="11"/>
      <c r="C1371" s="11" t="s">
        <v>4210</v>
      </c>
      <c r="D1371" s="11"/>
      <c r="E1371" s="11" t="s">
        <v>679</v>
      </c>
      <c r="F1371" s="11" t="str">
        <f>IFERROR(VLOOKUP(VENTAS[[#This Row],[Código del producto Vendido]],STOCK[],5,FALSE),"-")</f>
        <v>Blusa corta de manga farol</v>
      </c>
      <c r="G1371" s="11">
        <v>1</v>
      </c>
      <c r="H1371" s="14">
        <v>9</v>
      </c>
      <c r="I1371" s="14">
        <f>VENTAS[[#This Row],[Cantidad]]*VENTAS[[#This Row],[Precio Venta]]</f>
        <v>9</v>
      </c>
      <c r="J1371" s="14">
        <f>IF(VENTAS[[#This Row],[Nombre del Gestor]]&gt;1,VENTAS[[#This Row],[Total]]*10%,0)</f>
        <v>0</v>
      </c>
      <c r="K1371" s="14">
        <f>IFERROR(VLOOKUP(VENTAS[[#This Row],[Código del producto Vendido]],STOCK[],16,FALSE)*VENTAS[[#This Row],[Cantidad]]+VLOOKUP(VENTAS[[#This Row],[Código del producto Vendido]],STOCK[],19,FALSE)*VENTAS[[#This Row],[Cantidad]],VENTAS[[#This Row],[Total]])</f>
        <v>7.52666666666667</v>
      </c>
      <c r="L1371" s="14">
        <f>VENTAS[[#This Row],[Total]]-VENTAS[[#This Row],[Comisión 10%]]-VENTAS[[#This Row],[Costo SIN Comision]]</f>
        <v>1.47333333333333</v>
      </c>
      <c r="M1371" s="14"/>
    </row>
    <row r="1372" ht="20" hidden="1" customHeight="1" spans="1:13">
      <c r="A1372" s="10"/>
      <c r="B1372" s="11"/>
      <c r="C1372" s="11" t="s">
        <v>4210</v>
      </c>
      <c r="D1372" s="11"/>
      <c r="E1372" s="11" t="s">
        <v>675</v>
      </c>
      <c r="F1372" s="11" t="str">
        <f>IFERROR(VLOOKUP(VENTAS[[#This Row],[Código del producto Vendido]],STOCK[],5,FALSE),"-")</f>
        <v>SHEIN Frenchy Vestido de leopardo &amp; piel de tigre con estampado de manga mariposa sin cinturón_S</v>
      </c>
      <c r="G1372" s="11">
        <v>1</v>
      </c>
      <c r="H1372" s="14">
        <v>0</v>
      </c>
      <c r="I1372" s="14">
        <f>VENTAS[[#This Row],[Cantidad]]*VENTAS[[#This Row],[Precio Venta]]</f>
        <v>0</v>
      </c>
      <c r="J1372" s="14">
        <f>IF(VENTAS[[#This Row],[Nombre del Gestor]]&gt;1,VENTAS[[#This Row],[Total]]*10%,0)</f>
        <v>0</v>
      </c>
      <c r="K1372" s="14">
        <f>IFERROR(VLOOKUP(VENTAS[[#This Row],[Código del producto Vendido]],STOCK[],16,FALSE)*VENTAS[[#This Row],[Cantidad]]+VLOOKUP(VENTAS[[#This Row],[Código del producto Vendido]],STOCK[],19,FALSE)*VENTAS[[#This Row],[Cantidad]],VENTAS[[#This Row],[Total]])</f>
        <v>10.7222222222222</v>
      </c>
      <c r="L1372" s="14">
        <f>VENTAS[[#This Row],[Total]]-VENTAS[[#This Row],[Comisión 10%]]-VENTAS[[#This Row],[Costo SIN Comision]]</f>
        <v>-10.7222222222222</v>
      </c>
      <c r="M1372" s="14"/>
    </row>
    <row r="1373" ht="20" hidden="1" customHeight="1" spans="1:13">
      <c r="A1373" s="10"/>
      <c r="B1373" s="11"/>
      <c r="C1373" s="11" t="s">
        <v>4402</v>
      </c>
      <c r="D1373" s="11"/>
      <c r="E1373" s="11" t="s">
        <v>745</v>
      </c>
      <c r="F1373" s="11" t="str">
        <f>IFERROR(VLOOKUP(VENTAS[[#This Row],[Código del producto Vendido]],STOCK[],5,FALSE),"-")</f>
        <v>Short denim</v>
      </c>
      <c r="G1373" s="11">
        <v>1</v>
      </c>
      <c r="H1373" s="14">
        <v>29</v>
      </c>
      <c r="I1373" s="14">
        <f>VENTAS[[#This Row],[Cantidad]]*VENTAS[[#This Row],[Precio Venta]]</f>
        <v>29</v>
      </c>
      <c r="J1373" s="14">
        <f>IF(VENTAS[[#This Row],[Nombre del Gestor]]&gt;1,VENTAS[[#This Row],[Total]]*10%,0)</f>
        <v>0</v>
      </c>
      <c r="K1373" s="14">
        <f>IFERROR(VLOOKUP(VENTAS[[#This Row],[Código del producto Vendido]],STOCK[],16,FALSE)*VENTAS[[#This Row],[Cantidad]]+VLOOKUP(VENTAS[[#This Row],[Código del producto Vendido]],STOCK[],19,FALSE)*VENTAS[[#This Row],[Cantidad]],VENTAS[[#This Row],[Total]])</f>
        <v>28.3888888888889</v>
      </c>
      <c r="L1373" s="14">
        <f>VENTAS[[#This Row],[Total]]-VENTAS[[#This Row],[Comisión 10%]]-VENTAS[[#This Row],[Costo SIN Comision]]</f>
        <v>0.6111111111111</v>
      </c>
      <c r="M1373" s="14"/>
    </row>
    <row r="1374" ht="20" hidden="1" customHeight="1" spans="1:13">
      <c r="A1374" s="10"/>
      <c r="B1374" s="11"/>
      <c r="C1374" s="11" t="s">
        <v>4219</v>
      </c>
      <c r="D1374" s="11"/>
      <c r="E1374" s="11" t="s">
        <v>776</v>
      </c>
      <c r="F1374" s="11" t="str">
        <f>IFERROR(VLOOKUP(VENTAS[[#This Row],[Código del producto Vendido]],STOCK[],5,FALSE),"-")</f>
        <v>Top berry en tela de algodón</v>
      </c>
      <c r="G1374" s="11">
        <v>1</v>
      </c>
      <c r="H1374" s="14">
        <v>0</v>
      </c>
      <c r="I1374" s="14">
        <f>VENTAS[[#This Row],[Cantidad]]*VENTAS[[#This Row],[Precio Venta]]</f>
        <v>0</v>
      </c>
      <c r="J1374" s="14">
        <f>IF(VENTAS[[#This Row],[Nombre del Gestor]]&gt;1,VENTAS[[#This Row],[Total]]*10%,0)</f>
        <v>0</v>
      </c>
      <c r="K1374" s="14">
        <f>IFERROR(VLOOKUP(VENTAS[[#This Row],[Código del producto Vendido]],STOCK[],16,FALSE)*VENTAS[[#This Row],[Cantidad]]+VLOOKUP(VENTAS[[#This Row],[Código del producto Vendido]],STOCK[],19,FALSE)*VENTAS[[#This Row],[Cantidad]],VENTAS[[#This Row],[Total]])</f>
        <v>6.05555555555556</v>
      </c>
      <c r="L1374" s="14">
        <f>VENTAS[[#This Row],[Total]]-VENTAS[[#This Row],[Comisión 10%]]-VENTAS[[#This Row],[Costo SIN Comision]]</f>
        <v>-6.05555555555556</v>
      </c>
      <c r="M1374" s="14"/>
    </row>
    <row r="1375" ht="20" hidden="1" customHeight="1" spans="1:13">
      <c r="A1375" s="10"/>
      <c r="B1375" s="11"/>
      <c r="C1375" s="11" t="s">
        <v>4210</v>
      </c>
      <c r="D1375" s="11"/>
      <c r="E1375" s="11" t="s">
        <v>776</v>
      </c>
      <c r="F1375" s="11" t="str">
        <f>IFERROR(VLOOKUP(VENTAS[[#This Row],[Código del producto Vendido]],STOCK[],5,FALSE),"-")</f>
        <v>Top berry en tela de algodón</v>
      </c>
      <c r="G1375" s="11">
        <v>2</v>
      </c>
      <c r="H1375" s="14">
        <v>10</v>
      </c>
      <c r="I1375" s="14">
        <f>VENTAS[[#This Row],[Cantidad]]*VENTAS[[#This Row],[Precio Venta]]</f>
        <v>20</v>
      </c>
      <c r="J1375" s="14">
        <f>IF(VENTAS[[#This Row],[Nombre del Gestor]]&gt;1,VENTAS[[#This Row],[Total]]*10%,0)</f>
        <v>0</v>
      </c>
      <c r="K1375" s="14">
        <f>IFERROR(VLOOKUP(VENTAS[[#This Row],[Código del producto Vendido]],STOCK[],16,FALSE)*VENTAS[[#This Row],[Cantidad]]+VLOOKUP(VENTAS[[#This Row],[Código del producto Vendido]],STOCK[],19,FALSE)*VENTAS[[#This Row],[Cantidad]],VENTAS[[#This Row],[Total]])</f>
        <v>12.1111111111111</v>
      </c>
      <c r="L1375" s="14">
        <f>VENTAS[[#This Row],[Total]]-VENTAS[[#This Row],[Comisión 10%]]-VENTAS[[#This Row],[Costo SIN Comision]]</f>
        <v>7.88888888888888</v>
      </c>
      <c r="M1375" s="14"/>
    </row>
    <row r="1376" ht="20" hidden="1" customHeight="1" spans="1:13">
      <c r="A1376" s="10"/>
      <c r="B1376" s="11"/>
      <c r="C1376" s="11" t="s">
        <v>4210</v>
      </c>
      <c r="D1376" s="11"/>
      <c r="E1376" s="11" t="s">
        <v>580</v>
      </c>
      <c r="F1376" s="11" t="str">
        <f>IFERROR(VLOOKUP(VENTAS[[#This Row],[Código del producto Vendido]],STOCK[],5,FALSE),"-")</f>
        <v>Camiseta corta unicolor con abertura</v>
      </c>
      <c r="G1376" s="11">
        <v>1</v>
      </c>
      <c r="H1376" s="14">
        <v>10</v>
      </c>
      <c r="I1376" s="14">
        <f>VENTAS[[#This Row],[Cantidad]]*VENTAS[[#This Row],[Precio Venta]]</f>
        <v>10</v>
      </c>
      <c r="J1376" s="14">
        <f>IF(VENTAS[[#This Row],[Nombre del Gestor]]&gt;1,VENTAS[[#This Row],[Total]]*10%,0)</f>
        <v>0</v>
      </c>
      <c r="K1376" s="14">
        <f>IFERROR(VLOOKUP(VENTAS[[#This Row],[Código del producto Vendido]],STOCK[],16,FALSE)*VENTAS[[#This Row],[Cantidad]]+VLOOKUP(VENTAS[[#This Row],[Código del producto Vendido]],STOCK[],19,FALSE)*VENTAS[[#This Row],[Cantidad]],VENTAS[[#This Row],[Total]])</f>
        <v>5.02666666666667</v>
      </c>
      <c r="L1376" s="14">
        <f>VENTAS[[#This Row],[Total]]-VENTAS[[#This Row],[Comisión 10%]]-VENTAS[[#This Row],[Costo SIN Comision]]</f>
        <v>4.97333333333333</v>
      </c>
      <c r="M1376" s="14"/>
    </row>
    <row r="1377" ht="20" hidden="1" customHeight="1" spans="1:13">
      <c r="A1377" s="10"/>
      <c r="B1377" s="11"/>
      <c r="C1377" s="11" t="s">
        <v>4210</v>
      </c>
      <c r="D1377" s="11"/>
      <c r="E1377" s="11" t="s">
        <v>1170</v>
      </c>
      <c r="F1377" s="11" t="str">
        <f>IFERROR(VLOOKUP(VENTAS[[#This Row],[Código del producto Vendido]],STOCK[],5,FALSE),"-")</f>
        <v>Pullover Dazy cuello redondo Blanco</v>
      </c>
      <c r="G1377" s="11">
        <v>1</v>
      </c>
      <c r="H1377" s="14">
        <v>13</v>
      </c>
      <c r="I1377" s="14">
        <f>VENTAS[[#This Row],[Cantidad]]*VENTAS[[#This Row],[Precio Venta]]</f>
        <v>13</v>
      </c>
      <c r="J1377" s="14">
        <f>IF(VENTAS[[#This Row],[Nombre del Gestor]]&gt;1,VENTAS[[#This Row],[Total]]*10%,0)</f>
        <v>0</v>
      </c>
      <c r="K1377" s="14">
        <f>IFERROR(VLOOKUP(VENTAS[[#This Row],[Código del producto Vendido]],STOCK[],16,FALSE)*VENTAS[[#This Row],[Cantidad]]+VLOOKUP(VENTAS[[#This Row],[Código del producto Vendido]],STOCK[],19,FALSE)*VENTAS[[#This Row],[Cantidad]],VENTAS[[#This Row],[Total]])</f>
        <v>8.61</v>
      </c>
      <c r="L1377" s="14">
        <f>VENTAS[[#This Row],[Total]]-VENTAS[[#This Row],[Comisión 10%]]-VENTAS[[#This Row],[Costo SIN Comision]]</f>
        <v>4.39</v>
      </c>
      <c r="M1377" s="14"/>
    </row>
    <row r="1378" ht="20" hidden="1" customHeight="1" spans="1:13">
      <c r="A1378" s="10"/>
      <c r="B1378" s="11"/>
      <c r="C1378" s="11"/>
      <c r="D1378" s="11" t="s">
        <v>4403</v>
      </c>
      <c r="E1378" s="11" t="s">
        <v>2539</v>
      </c>
      <c r="F1378" s="11" t="str">
        <f>IFERROR(VLOOKUP(VENTAS[[#This Row],[Código del producto Vendido]],STOCK[],5,FALSE),"-")</f>
        <v>Pullover corto unicolor beige</v>
      </c>
      <c r="G1378" s="11">
        <v>1</v>
      </c>
      <c r="H1378" s="14">
        <v>10</v>
      </c>
      <c r="I1378" s="14">
        <f>VENTAS[[#This Row],[Cantidad]]*VENTAS[[#This Row],[Precio Venta]]</f>
        <v>10</v>
      </c>
      <c r="J1378" s="14">
        <f>IF(VENTAS[[#This Row],[Nombre del Gestor]]&gt;1,VENTAS[[#This Row],[Total]]*10%,0)</f>
        <v>1</v>
      </c>
      <c r="K1378" s="14">
        <f>IFERROR(VLOOKUP(VENTAS[[#This Row],[Código del producto Vendido]],STOCK[],16,FALSE)*VENTAS[[#This Row],[Cantidad]]+VLOOKUP(VENTAS[[#This Row],[Código del producto Vendido]],STOCK[],19,FALSE)*VENTAS[[#This Row],[Cantidad]],VENTAS[[#This Row],[Total]])</f>
        <v>2.35</v>
      </c>
      <c r="L1378" s="14">
        <f>VENTAS[[#This Row],[Total]]-VENTAS[[#This Row],[Comisión 10%]]-VENTAS[[#This Row],[Costo SIN Comision]]</f>
        <v>6.65</v>
      </c>
      <c r="M1378" s="14"/>
    </row>
    <row r="1379" ht="20" hidden="1" customHeight="1" spans="1:13">
      <c r="A1379" s="10"/>
      <c r="B1379" s="11"/>
      <c r="C1379" s="11"/>
      <c r="D1379" s="11" t="s">
        <v>4403</v>
      </c>
      <c r="E1379" s="11" t="s">
        <v>2537</v>
      </c>
      <c r="F1379" s="11" t="str">
        <f>IFERROR(VLOOKUP(VENTAS[[#This Row],[Código del producto Vendido]],STOCK[],5,FALSE),"-")</f>
        <v>Pullover corto unicolor blanco</v>
      </c>
      <c r="G1379" s="11">
        <v>1</v>
      </c>
      <c r="H1379" s="14">
        <v>10</v>
      </c>
      <c r="I1379" s="14">
        <f>VENTAS[[#This Row],[Cantidad]]*VENTAS[[#This Row],[Precio Venta]]</f>
        <v>10</v>
      </c>
      <c r="J1379" s="14">
        <f>IF(VENTAS[[#This Row],[Nombre del Gestor]]&gt;1,VENTAS[[#This Row],[Total]]*10%,0)</f>
        <v>1</v>
      </c>
      <c r="K1379" s="14">
        <f>IFERROR(VLOOKUP(VENTAS[[#This Row],[Código del producto Vendido]],STOCK[],16,FALSE)*VENTAS[[#This Row],[Cantidad]]+VLOOKUP(VENTAS[[#This Row],[Código del producto Vendido]],STOCK[],19,FALSE)*VENTAS[[#This Row],[Cantidad]],VENTAS[[#This Row],[Total]])</f>
        <v>4.32</v>
      </c>
      <c r="L1379" s="14">
        <f>VENTAS[[#This Row],[Total]]-VENTAS[[#This Row],[Comisión 10%]]-VENTAS[[#This Row],[Costo SIN Comision]]</f>
        <v>4.68</v>
      </c>
      <c r="M1379" s="14"/>
    </row>
    <row r="1380" ht="20" hidden="1" customHeight="1" spans="1:13">
      <c r="A1380" s="10"/>
      <c r="B1380" s="11"/>
      <c r="C1380" s="11"/>
      <c r="D1380" s="11" t="s">
        <v>4403</v>
      </c>
      <c r="E1380" s="11" t="s">
        <v>2547</v>
      </c>
      <c r="F1380" s="11" t="str">
        <f>IFERROR(VLOOKUP(VENTAS[[#This Row],[Código del producto Vendido]],STOCK[],5,FALSE),"-")</f>
        <v>Pullover largo unicolor tela traslúcida terracota</v>
      </c>
      <c r="G1380" s="11">
        <v>1</v>
      </c>
      <c r="H1380" s="14">
        <v>10</v>
      </c>
      <c r="I1380" s="14">
        <f>VENTAS[[#This Row],[Cantidad]]*VENTAS[[#This Row],[Precio Venta]]</f>
        <v>10</v>
      </c>
      <c r="J1380" s="14">
        <f>IF(VENTAS[[#This Row],[Nombre del Gestor]]&gt;1,VENTAS[[#This Row],[Total]]*10%,0)</f>
        <v>1</v>
      </c>
      <c r="K1380" s="14">
        <f>IFERROR(VLOOKUP(VENTAS[[#This Row],[Código del producto Vendido]],STOCK[],16,FALSE)*VENTAS[[#This Row],[Cantidad]]+VLOOKUP(VENTAS[[#This Row],[Código del producto Vendido]],STOCK[],19,FALSE)*VENTAS[[#This Row],[Cantidad]],VENTAS[[#This Row],[Total]])</f>
        <v>4.32</v>
      </c>
      <c r="L1380" s="14">
        <f>VENTAS[[#This Row],[Total]]-VENTAS[[#This Row],[Comisión 10%]]-VENTAS[[#This Row],[Costo SIN Comision]]</f>
        <v>4.68</v>
      </c>
      <c r="M1380" s="14"/>
    </row>
    <row r="1381" ht="20" hidden="1" customHeight="1" spans="1:13">
      <c r="A1381" s="10"/>
      <c r="B1381" s="11"/>
      <c r="C1381" s="11"/>
      <c r="D1381" s="11" t="s">
        <v>4403</v>
      </c>
      <c r="E1381" s="11" t="s">
        <v>2547</v>
      </c>
      <c r="F1381" s="11" t="str">
        <f>IFERROR(VLOOKUP(VENTAS[[#This Row],[Código del producto Vendido]],STOCK[],5,FALSE),"-")</f>
        <v>Pullover largo unicolor tela traslúcida terracota</v>
      </c>
      <c r="G1381" s="11">
        <v>1</v>
      </c>
      <c r="H1381" s="14">
        <v>10</v>
      </c>
      <c r="I1381" s="14">
        <f>VENTAS[[#This Row],[Cantidad]]*VENTAS[[#This Row],[Precio Venta]]</f>
        <v>10</v>
      </c>
      <c r="J1381" s="14">
        <f>IF(VENTAS[[#This Row],[Nombre del Gestor]]&gt;1,VENTAS[[#This Row],[Total]]*10%,0)</f>
        <v>1</v>
      </c>
      <c r="K1381" s="14">
        <f>IFERROR(VLOOKUP(VENTAS[[#This Row],[Código del producto Vendido]],STOCK[],16,FALSE)*VENTAS[[#This Row],[Cantidad]]+VLOOKUP(VENTAS[[#This Row],[Código del producto Vendido]],STOCK[],19,FALSE)*VENTAS[[#This Row],[Cantidad]],VENTAS[[#This Row],[Total]])</f>
        <v>4.32</v>
      </c>
      <c r="L1381" s="14">
        <f>VENTAS[[#This Row],[Total]]-VENTAS[[#This Row],[Comisión 10%]]-VENTAS[[#This Row],[Costo SIN Comision]]</f>
        <v>4.68</v>
      </c>
      <c r="M1381" s="14"/>
    </row>
    <row r="1382" ht="20" hidden="1" customHeight="1" spans="1:13">
      <c r="A1382" s="10"/>
      <c r="B1382" s="11"/>
      <c r="C1382" s="11"/>
      <c r="D1382" s="11" t="s">
        <v>4403</v>
      </c>
      <c r="E1382" s="11" t="s">
        <v>2549</v>
      </c>
      <c r="F1382" s="11" t="str">
        <f>IFERROR(VLOOKUP(VENTAS[[#This Row],[Código del producto Vendido]],STOCK[],5,FALSE),"-")</f>
        <v>Pullover largo unicolor tela traslúcida terracota</v>
      </c>
      <c r="G1382" s="11">
        <v>1</v>
      </c>
      <c r="H1382" s="14">
        <v>10</v>
      </c>
      <c r="I1382" s="14">
        <f>VENTAS[[#This Row],[Cantidad]]*VENTAS[[#This Row],[Precio Venta]]</f>
        <v>10</v>
      </c>
      <c r="J1382" s="14">
        <f>IF(VENTAS[[#This Row],[Nombre del Gestor]]&gt;1,VENTAS[[#This Row],[Total]]*10%,0)</f>
        <v>1</v>
      </c>
      <c r="K1382" s="14">
        <f>IFERROR(VLOOKUP(VENTAS[[#This Row],[Código del producto Vendido]],STOCK[],16,FALSE)*VENTAS[[#This Row],[Cantidad]]+VLOOKUP(VENTAS[[#This Row],[Código del producto Vendido]],STOCK[],19,FALSE)*VENTAS[[#This Row],[Cantidad]],VENTAS[[#This Row],[Total]])</f>
        <v>4.32</v>
      </c>
      <c r="L1382" s="14">
        <f>VENTAS[[#This Row],[Total]]-VENTAS[[#This Row],[Comisión 10%]]-VENTAS[[#This Row],[Costo SIN Comision]]</f>
        <v>4.68</v>
      </c>
      <c r="M1382" s="14"/>
    </row>
    <row r="1383" ht="20" hidden="1" customHeight="1" spans="1:13">
      <c r="A1383" s="10"/>
      <c r="B1383" s="11"/>
      <c r="C1383" s="11"/>
      <c r="D1383" s="11" t="s">
        <v>4403</v>
      </c>
      <c r="E1383" s="11" t="s">
        <v>2551</v>
      </c>
      <c r="F1383" s="11" t="str">
        <f>IFERROR(VLOOKUP(VENTAS[[#This Row],[Código del producto Vendido]],STOCK[],5,FALSE),"-")</f>
        <v>Pullover largo unicolor tela traslúcida beige</v>
      </c>
      <c r="G1383" s="11">
        <v>1</v>
      </c>
      <c r="H1383" s="14">
        <v>10</v>
      </c>
      <c r="I1383" s="14">
        <f>VENTAS[[#This Row],[Cantidad]]*VENTAS[[#This Row],[Precio Venta]]</f>
        <v>10</v>
      </c>
      <c r="J1383" s="14">
        <f>IF(VENTAS[[#This Row],[Nombre del Gestor]]&gt;1,VENTAS[[#This Row],[Total]]*10%,0)</f>
        <v>1</v>
      </c>
      <c r="K1383" s="14">
        <f>IFERROR(VLOOKUP(VENTAS[[#This Row],[Código del producto Vendido]],STOCK[],16,FALSE)*VENTAS[[#This Row],[Cantidad]]+VLOOKUP(VENTAS[[#This Row],[Código del producto Vendido]],STOCK[],19,FALSE)*VENTAS[[#This Row],[Cantidad]],VENTAS[[#This Row],[Total]])</f>
        <v>4.32</v>
      </c>
      <c r="L1383" s="14">
        <f>VENTAS[[#This Row],[Total]]-VENTAS[[#This Row],[Comisión 10%]]-VENTAS[[#This Row],[Costo SIN Comision]]</f>
        <v>4.68</v>
      </c>
      <c r="M1383" s="14"/>
    </row>
    <row r="1384" ht="20" hidden="1" customHeight="1" spans="1:13">
      <c r="A1384" s="10"/>
      <c r="B1384" s="11"/>
      <c r="C1384" s="11"/>
      <c r="D1384" s="11" t="s">
        <v>4403</v>
      </c>
      <c r="E1384" s="11" t="s">
        <v>2558</v>
      </c>
      <c r="F1384" s="11" t="str">
        <f>IFERROR(VLOOKUP(VENTAS[[#This Row],[Código del producto Vendido]],STOCK[],5,FALSE),"-")</f>
        <v>Pullover largo unicolor tela traslúcida beige</v>
      </c>
      <c r="G1384" s="11">
        <v>1</v>
      </c>
      <c r="H1384" s="14">
        <v>10</v>
      </c>
      <c r="I1384" s="14">
        <f>VENTAS[[#This Row],[Cantidad]]*VENTAS[[#This Row],[Precio Venta]]</f>
        <v>10</v>
      </c>
      <c r="J1384" s="14">
        <f>IF(VENTAS[[#This Row],[Nombre del Gestor]]&gt;1,VENTAS[[#This Row],[Total]]*10%,0)</f>
        <v>1</v>
      </c>
      <c r="K1384" s="14">
        <f>IFERROR(VLOOKUP(VENTAS[[#This Row],[Código del producto Vendido]],STOCK[],16,FALSE)*VENTAS[[#This Row],[Cantidad]]+VLOOKUP(VENTAS[[#This Row],[Código del producto Vendido]],STOCK[],19,FALSE)*VENTAS[[#This Row],[Cantidad]],VENTAS[[#This Row],[Total]])</f>
        <v>4.32</v>
      </c>
      <c r="L1384" s="14">
        <f>VENTAS[[#This Row],[Total]]-VENTAS[[#This Row],[Comisión 10%]]-VENTAS[[#This Row],[Costo SIN Comision]]</f>
        <v>4.68</v>
      </c>
      <c r="M1384" s="14"/>
    </row>
    <row r="1385" ht="20" hidden="1" customHeight="1" spans="1:13">
      <c r="A1385" s="10"/>
      <c r="B1385" s="11"/>
      <c r="C1385" s="11"/>
      <c r="D1385" s="11" t="s">
        <v>4403</v>
      </c>
      <c r="E1385" s="11" t="s">
        <v>2558</v>
      </c>
      <c r="F1385" s="11" t="str">
        <f>IFERROR(VLOOKUP(VENTAS[[#This Row],[Código del producto Vendido]],STOCK[],5,FALSE),"-")</f>
        <v>Pullover largo unicolor tela traslúcida beige</v>
      </c>
      <c r="G1385" s="11">
        <v>1</v>
      </c>
      <c r="H1385" s="14">
        <v>10</v>
      </c>
      <c r="I1385" s="14">
        <f>VENTAS[[#This Row],[Cantidad]]*VENTAS[[#This Row],[Precio Venta]]</f>
        <v>10</v>
      </c>
      <c r="J1385" s="14">
        <f>IF(VENTAS[[#This Row],[Nombre del Gestor]]&gt;1,VENTAS[[#This Row],[Total]]*10%,0)</f>
        <v>1</v>
      </c>
      <c r="K1385" s="14">
        <f>IFERROR(VLOOKUP(VENTAS[[#This Row],[Código del producto Vendido]],STOCK[],16,FALSE)*VENTAS[[#This Row],[Cantidad]]+VLOOKUP(VENTAS[[#This Row],[Código del producto Vendido]],STOCK[],19,FALSE)*VENTAS[[#This Row],[Cantidad]],VENTAS[[#This Row],[Total]])</f>
        <v>4.32</v>
      </c>
      <c r="L1385" s="14">
        <f>VENTAS[[#This Row],[Total]]-VENTAS[[#This Row],[Comisión 10%]]-VENTAS[[#This Row],[Costo SIN Comision]]</f>
        <v>4.68</v>
      </c>
      <c r="M1385" s="14"/>
    </row>
    <row r="1386" ht="20" hidden="1" customHeight="1" spans="1:13">
      <c r="A1386" s="10">
        <v>45544</v>
      </c>
      <c r="B1386" s="11"/>
      <c r="C1386" s="11"/>
      <c r="D1386" s="11" t="s">
        <v>4266</v>
      </c>
      <c r="E1386" s="11" t="s">
        <v>2557</v>
      </c>
      <c r="F1386" s="11" t="str">
        <f>IFERROR(VLOOKUP(VENTAS[[#This Row],[Código del producto Vendido]],STOCK[],5,FALSE),"-")</f>
        <v>Pullover largo unicolor tela traslúcida blanco</v>
      </c>
      <c r="G1386" s="11">
        <v>1</v>
      </c>
      <c r="H1386" s="14">
        <v>10</v>
      </c>
      <c r="I1386" s="14">
        <f>VENTAS[[#This Row],[Cantidad]]*VENTAS[[#This Row],[Precio Venta]]</f>
        <v>10</v>
      </c>
      <c r="J1386" s="14">
        <f>IF(VENTAS[[#This Row],[Nombre del Gestor]]&gt;1,VENTAS[[#This Row],[Total]]*10%,0)</f>
        <v>1</v>
      </c>
      <c r="K1386" s="14">
        <f>IFERROR(VLOOKUP(VENTAS[[#This Row],[Código del producto Vendido]],STOCK[],16,FALSE)*VENTAS[[#This Row],[Cantidad]]+VLOOKUP(VENTAS[[#This Row],[Código del producto Vendido]],STOCK[],19,FALSE)*VENTAS[[#This Row],[Cantidad]],VENTAS[[#This Row],[Total]])</f>
        <v>4.32</v>
      </c>
      <c r="L1386" s="14">
        <f>VENTAS[[#This Row],[Total]]-VENTAS[[#This Row],[Comisión 10%]]-VENTAS[[#This Row],[Costo SIN Comision]]</f>
        <v>4.68</v>
      </c>
      <c r="M1386" s="14"/>
    </row>
    <row r="1387" ht="20" hidden="1" customHeight="1" spans="1:13">
      <c r="A1387" s="10"/>
      <c r="B1387" s="11"/>
      <c r="C1387" s="11"/>
      <c r="D1387" s="11" t="s">
        <v>4403</v>
      </c>
      <c r="E1387" s="11" t="s">
        <v>2557</v>
      </c>
      <c r="F1387" s="11" t="str">
        <f>IFERROR(VLOOKUP(VENTAS[[#This Row],[Código del producto Vendido]],STOCK[],5,FALSE),"-")</f>
        <v>Pullover largo unicolor tela traslúcida blanco</v>
      </c>
      <c r="G1387" s="11">
        <v>1</v>
      </c>
      <c r="H1387" s="14">
        <v>10</v>
      </c>
      <c r="I1387" s="14">
        <f>VENTAS[[#This Row],[Cantidad]]*VENTAS[[#This Row],[Precio Venta]]</f>
        <v>10</v>
      </c>
      <c r="J1387" s="14">
        <f>IF(VENTAS[[#This Row],[Nombre del Gestor]]&gt;1,VENTAS[[#This Row],[Total]]*10%,0)</f>
        <v>1</v>
      </c>
      <c r="K1387" s="14">
        <f>IFERROR(VLOOKUP(VENTAS[[#This Row],[Código del producto Vendido]],STOCK[],16,FALSE)*VENTAS[[#This Row],[Cantidad]]+VLOOKUP(VENTAS[[#This Row],[Código del producto Vendido]],STOCK[],19,FALSE)*VENTAS[[#This Row],[Cantidad]],VENTAS[[#This Row],[Total]])</f>
        <v>4.32</v>
      </c>
      <c r="L1387" s="14">
        <f>VENTAS[[#This Row],[Total]]-VENTAS[[#This Row],[Comisión 10%]]-VENTAS[[#This Row],[Costo SIN Comision]]</f>
        <v>4.68</v>
      </c>
      <c r="M1387" s="14"/>
    </row>
    <row r="1388" ht="20" hidden="1" customHeight="1" spans="1:13">
      <c r="A1388" s="10"/>
      <c r="B1388" s="11"/>
      <c r="C1388" s="11"/>
      <c r="D1388" s="11" t="s">
        <v>4403</v>
      </c>
      <c r="E1388" s="11" t="s">
        <v>2556</v>
      </c>
      <c r="F1388" s="11" t="str">
        <f>IFERROR(VLOOKUP(VENTAS[[#This Row],[Código del producto Vendido]],STOCK[],5,FALSE),"-")</f>
        <v>Pullover largo unicolor tela traslúcida blanco</v>
      </c>
      <c r="G1388" s="11">
        <v>1</v>
      </c>
      <c r="H1388" s="14">
        <v>10</v>
      </c>
      <c r="I1388" s="14">
        <f>VENTAS[[#This Row],[Cantidad]]*VENTAS[[#This Row],[Precio Venta]]</f>
        <v>10</v>
      </c>
      <c r="J1388" s="14">
        <f>IF(VENTAS[[#This Row],[Nombre del Gestor]]&gt;1,VENTAS[[#This Row],[Total]]*10%,0)</f>
        <v>1</v>
      </c>
      <c r="K1388" s="14">
        <f>IFERROR(VLOOKUP(VENTAS[[#This Row],[Código del producto Vendido]],STOCK[],16,FALSE)*VENTAS[[#This Row],[Cantidad]]+VLOOKUP(VENTAS[[#This Row],[Código del producto Vendido]],STOCK[],19,FALSE)*VENTAS[[#This Row],[Cantidad]],VENTAS[[#This Row],[Total]])</f>
        <v>4.32</v>
      </c>
      <c r="L1388" s="14">
        <f>VENTAS[[#This Row],[Total]]-VENTAS[[#This Row],[Comisión 10%]]-VENTAS[[#This Row],[Costo SIN Comision]]</f>
        <v>4.68</v>
      </c>
      <c r="M1388" s="14"/>
    </row>
    <row r="1389" ht="20" hidden="1" customHeight="1" spans="1:13">
      <c r="A1389" s="10"/>
      <c r="B1389" s="11"/>
      <c r="C1389" s="11"/>
      <c r="D1389" s="11" t="s">
        <v>4403</v>
      </c>
      <c r="E1389" s="11" t="s">
        <v>2554</v>
      </c>
      <c r="F1389" s="11" t="str">
        <f>IFERROR(VLOOKUP(VENTAS[[#This Row],[Código del producto Vendido]],STOCK[],5,FALSE),"-")</f>
        <v>Pullover largo unicolor tela traslúcida blanco</v>
      </c>
      <c r="G1389" s="11">
        <v>1</v>
      </c>
      <c r="H1389" s="14">
        <v>10</v>
      </c>
      <c r="I1389" s="14">
        <f>VENTAS[[#This Row],[Cantidad]]*VENTAS[[#This Row],[Precio Venta]]</f>
        <v>10</v>
      </c>
      <c r="J1389" s="14">
        <f>IF(VENTAS[[#This Row],[Nombre del Gestor]]&gt;1,VENTAS[[#This Row],[Total]]*10%,0)</f>
        <v>1</v>
      </c>
      <c r="K1389" s="14">
        <f>IFERROR(VLOOKUP(VENTAS[[#This Row],[Código del producto Vendido]],STOCK[],16,FALSE)*VENTAS[[#This Row],[Cantidad]]+VLOOKUP(VENTAS[[#This Row],[Código del producto Vendido]],STOCK[],19,FALSE)*VENTAS[[#This Row],[Cantidad]],VENTAS[[#This Row],[Total]])</f>
        <v>4.32</v>
      </c>
      <c r="L1389" s="14">
        <f>VENTAS[[#This Row],[Total]]-VENTAS[[#This Row],[Comisión 10%]]-VENTAS[[#This Row],[Costo SIN Comision]]</f>
        <v>4.68</v>
      </c>
      <c r="M1389" s="14"/>
    </row>
    <row r="1390" ht="20" hidden="1" customHeight="1" spans="1:13">
      <c r="A1390" s="10"/>
      <c r="B1390" s="11"/>
      <c r="C1390" s="11" t="s">
        <v>4334</v>
      </c>
      <c r="D1390" s="11"/>
      <c r="E1390" s="11" t="s">
        <v>2667</v>
      </c>
      <c r="F1390" s="11" t="str">
        <f>IFERROR(VLOOKUP(VENTAS[[#This Row],[Código del producto Vendido]],STOCK[],5,FALSE),"-")</f>
        <v>Pullover carmelita letrero de mariposa algodón PRIMARK</v>
      </c>
      <c r="G1390" s="11">
        <v>1</v>
      </c>
      <c r="H1390" s="14">
        <v>13</v>
      </c>
      <c r="I1390" s="14">
        <f>VENTAS[[#This Row],[Cantidad]]*VENTAS[[#This Row],[Precio Venta]]</f>
        <v>13</v>
      </c>
      <c r="J1390" s="14">
        <f>IF(VENTAS[[#This Row],[Nombre del Gestor]]&gt;1,VENTAS[[#This Row],[Total]]*10%,0)</f>
        <v>0</v>
      </c>
      <c r="K1390" s="14">
        <f>IFERROR(VLOOKUP(VENTAS[[#This Row],[Código del producto Vendido]],STOCK[],16,FALSE)*VENTAS[[#This Row],[Cantidad]]+VLOOKUP(VENTAS[[#This Row],[Código del producto Vendido]],STOCK[],19,FALSE)*VENTAS[[#This Row],[Cantidad]],VENTAS[[#This Row],[Total]])</f>
        <v>7</v>
      </c>
      <c r="L1390" s="14">
        <f>VENTAS[[#This Row],[Total]]-VENTAS[[#This Row],[Comisión 10%]]-VENTAS[[#This Row],[Costo SIN Comision]]</f>
        <v>6</v>
      </c>
      <c r="M1390" s="14"/>
    </row>
    <row r="1391" ht="20" hidden="1" customHeight="1" spans="1:13">
      <c r="A1391" s="10">
        <v>45480</v>
      </c>
      <c r="B1391" s="11"/>
      <c r="C1391" s="11"/>
      <c r="D1391" s="11" t="s">
        <v>4241</v>
      </c>
      <c r="E1391" s="11" t="s">
        <v>1862</v>
      </c>
      <c r="F1391" s="11" t="str">
        <f>IFERROR(VLOOKUP(VENTAS[[#This Row],[Código del producto Vendido]],STOCK[],5,FALSE),"-")</f>
        <v>Bolso Baguette Negro</v>
      </c>
      <c r="G1391" s="11">
        <v>1</v>
      </c>
      <c r="H1391" s="14">
        <v>25</v>
      </c>
      <c r="I1391" s="14">
        <f>VENTAS[[#This Row],[Cantidad]]*VENTAS[[#This Row],[Precio Venta]]</f>
        <v>25</v>
      </c>
      <c r="J1391" s="14">
        <f>IF(VENTAS[[#This Row],[Nombre del Gestor]]&gt;1,VENTAS[[#This Row],[Total]]*10%,0)</f>
        <v>2.5</v>
      </c>
      <c r="K1391" s="14">
        <f>IFERROR(VLOOKUP(VENTAS[[#This Row],[Código del producto Vendido]],STOCK[],16,FALSE)*VENTAS[[#This Row],[Cantidad]]+VLOOKUP(VENTAS[[#This Row],[Código del producto Vendido]],STOCK[],19,FALSE)*VENTAS[[#This Row],[Cantidad]],VENTAS[[#This Row],[Total]])</f>
        <v>15.79</v>
      </c>
      <c r="L1391" s="14">
        <f>VENTAS[[#This Row],[Total]]-VENTAS[[#This Row],[Comisión 10%]]-VENTAS[[#This Row],[Costo SIN Comision]]</f>
        <v>6.71</v>
      </c>
      <c r="M1391" s="14"/>
    </row>
    <row r="1392" ht="20" hidden="1" customHeight="1" spans="1:13">
      <c r="A1392" s="10"/>
      <c r="B1392" s="11"/>
      <c r="C1392" s="11" t="s">
        <v>4210</v>
      </c>
      <c r="D1392" s="11"/>
      <c r="E1392" s="11" t="s">
        <v>477</v>
      </c>
      <c r="F1392" s="11" t="str">
        <f>IFERROR(VLOOKUP(VENTAS[[#This Row],[Código del producto Vendido]],STOCK[],5,FALSE),"-")</f>
        <v>Vestido asimétrico</v>
      </c>
      <c r="G1392" s="11">
        <v>1</v>
      </c>
      <c r="H1392" s="14">
        <v>0</v>
      </c>
      <c r="I1392" s="14">
        <f>VENTAS[[#This Row],[Cantidad]]*VENTAS[[#This Row],[Precio Venta]]</f>
        <v>0</v>
      </c>
      <c r="J1392" s="14">
        <f>IF(VENTAS[[#This Row],[Nombre del Gestor]]&gt;1,VENTAS[[#This Row],[Total]]*10%,0)</f>
        <v>0</v>
      </c>
      <c r="K1392" s="14">
        <f>IFERROR(VLOOKUP(VENTAS[[#This Row],[Código del producto Vendido]],STOCK[],16,FALSE)*VENTAS[[#This Row],[Cantidad]]+VLOOKUP(VENTAS[[#This Row],[Código del producto Vendido]],STOCK[],19,FALSE)*VENTAS[[#This Row],[Cantidad]],VENTAS[[#This Row],[Total]])</f>
        <v>11.3166666666667</v>
      </c>
      <c r="L1392" s="14">
        <f>VENTAS[[#This Row],[Total]]-VENTAS[[#This Row],[Comisión 10%]]-VENTAS[[#This Row],[Costo SIN Comision]]</f>
        <v>-11.3166666666667</v>
      </c>
      <c r="M1392" s="14"/>
    </row>
    <row r="1393" ht="20" hidden="1" customHeight="1" spans="1:13">
      <c r="A1393" s="10"/>
      <c r="B1393" s="11"/>
      <c r="C1393" s="11"/>
      <c r="D1393" s="11" t="s">
        <v>4403</v>
      </c>
      <c r="E1393" s="11" t="s">
        <v>536</v>
      </c>
      <c r="F1393" s="11" t="str">
        <f>IFERROR(VLOOKUP(VENTAS[[#This Row],[Código del producto Vendido]],STOCK[],5,FALSE),"-")</f>
        <v>Gafas minimalista de moda </v>
      </c>
      <c r="G1393" s="11">
        <v>1</v>
      </c>
      <c r="H1393" s="14">
        <v>12</v>
      </c>
      <c r="I1393" s="14">
        <f>VENTAS[[#This Row],[Cantidad]]*VENTAS[[#This Row],[Precio Venta]]</f>
        <v>12</v>
      </c>
      <c r="J1393" s="14">
        <f>IF(VENTAS[[#This Row],[Nombre del Gestor]]&gt;1,VENTAS[[#This Row],[Total]]*10%,0)</f>
        <v>1.2</v>
      </c>
      <c r="K1393" s="14">
        <f>IFERROR(VLOOKUP(VENTAS[[#This Row],[Código del producto Vendido]],STOCK[],16,FALSE)*VENTAS[[#This Row],[Cantidad]]+VLOOKUP(VENTAS[[#This Row],[Código del producto Vendido]],STOCK[],19,FALSE)*VENTAS[[#This Row],[Cantidad]],VENTAS[[#This Row],[Total]])</f>
        <v>5.83055555555556</v>
      </c>
      <c r="L1393" s="14">
        <f>VENTAS[[#This Row],[Total]]-VENTAS[[#This Row],[Comisión 10%]]-VENTAS[[#This Row],[Costo SIN Comision]]</f>
        <v>4.96944444444444</v>
      </c>
      <c r="M1393" s="14"/>
    </row>
    <row r="1394" ht="20" hidden="1" customHeight="1" spans="1:13">
      <c r="A1394" s="10">
        <v>45528</v>
      </c>
      <c r="B1394" s="11"/>
      <c r="C1394" s="11" t="s">
        <v>4347</v>
      </c>
      <c r="D1394" s="11" t="s">
        <v>4266</v>
      </c>
      <c r="E1394" s="11" t="s">
        <v>861</v>
      </c>
      <c r="F1394" s="11" t="str">
        <f>IFERROR(VLOOKUP(VENTAS[[#This Row],[Código del producto Vendido]],STOCK[],5,FALSE),"-")</f>
        <v>Vestido venturina</v>
      </c>
      <c r="G1394" s="11">
        <v>1</v>
      </c>
      <c r="H1394" s="14">
        <v>16</v>
      </c>
      <c r="I1394" s="14">
        <f>VENTAS[[#This Row],[Cantidad]]*VENTAS[[#This Row],[Precio Venta]]</f>
        <v>16</v>
      </c>
      <c r="J1394" s="14">
        <f>IF(VENTAS[[#This Row],[Nombre del Gestor]]&gt;1,VENTAS[[#This Row],[Total]]*10%,0)</f>
        <v>1.6</v>
      </c>
      <c r="K1394" s="14">
        <f>IFERROR(VLOOKUP(VENTAS[[#This Row],[Código del producto Vendido]],STOCK[],16,FALSE)*VENTAS[[#This Row],[Cantidad]]+VLOOKUP(VENTAS[[#This Row],[Código del producto Vendido]],STOCK[],19,FALSE)*VENTAS[[#This Row],[Cantidad]],VENTAS[[#This Row],[Total]])</f>
        <v>9.11111111111111</v>
      </c>
      <c r="L1394" s="14">
        <f>VENTAS[[#This Row],[Total]]-VENTAS[[#This Row],[Comisión 10%]]-VENTAS[[#This Row],[Costo SIN Comision]]</f>
        <v>5.28888888888889</v>
      </c>
      <c r="M1394" s="14"/>
    </row>
    <row r="1395" ht="20" hidden="1" customHeight="1" spans="1:13">
      <c r="A1395" s="10">
        <v>45497</v>
      </c>
      <c r="B1395" s="11"/>
      <c r="C1395" s="11" t="s">
        <v>4404</v>
      </c>
      <c r="D1395" s="11" t="s">
        <v>4266</v>
      </c>
      <c r="E1395" s="11" t="s">
        <v>1714</v>
      </c>
      <c r="F1395" s="11" t="str">
        <f>IFERROR(VLOOKUP(VENTAS[[#This Row],[Código del producto Vendido]],STOCK[],5,FALSE),"-")</f>
        <v>Vestido Asimétrico con cuerdas</v>
      </c>
      <c r="G1395" s="11">
        <v>1</v>
      </c>
      <c r="H1395" s="14">
        <v>13</v>
      </c>
      <c r="I1395" s="14">
        <f>VENTAS[[#This Row],[Cantidad]]*VENTAS[[#This Row],[Precio Venta]]</f>
        <v>13</v>
      </c>
      <c r="J1395" s="14">
        <f>IF(VENTAS[[#This Row],[Nombre del Gestor]]&gt;1,VENTAS[[#This Row],[Total]]*10%,0)</f>
        <v>1.3</v>
      </c>
      <c r="K1395" s="14">
        <f>IFERROR(VLOOKUP(VENTAS[[#This Row],[Código del producto Vendido]],STOCK[],16,FALSE)*VENTAS[[#This Row],[Cantidad]]+VLOOKUP(VENTAS[[#This Row],[Código del producto Vendido]],STOCK[],19,FALSE)*VENTAS[[#This Row],[Cantidad]],VENTAS[[#This Row],[Total]])</f>
        <v>12</v>
      </c>
      <c r="L1395" s="14">
        <f>VENTAS[[#This Row],[Total]]-VENTAS[[#This Row],[Comisión 10%]]-VENTAS[[#This Row],[Costo SIN Comision]]</f>
        <v>-0.300000000000001</v>
      </c>
      <c r="M1395" s="14"/>
    </row>
    <row r="1396" ht="20" hidden="1" customHeight="1" spans="1:13">
      <c r="A1396" s="10">
        <v>45482</v>
      </c>
      <c r="B1396" s="11"/>
      <c r="C1396" s="11"/>
      <c r="D1396" s="11" t="s">
        <v>4403</v>
      </c>
      <c r="E1396" s="11" t="s">
        <v>1714</v>
      </c>
      <c r="F1396" s="11" t="str">
        <f>IFERROR(VLOOKUP(VENTAS[[#This Row],[Código del producto Vendido]],STOCK[],5,FALSE),"-")</f>
        <v>Vestido Asimétrico con cuerdas</v>
      </c>
      <c r="G1396" s="11">
        <v>1</v>
      </c>
      <c r="H1396" s="14">
        <v>13</v>
      </c>
      <c r="I1396" s="14">
        <f>VENTAS[[#This Row],[Cantidad]]*VENTAS[[#This Row],[Precio Venta]]</f>
        <v>13</v>
      </c>
      <c r="J1396" s="14">
        <f>IF(VENTAS[[#This Row],[Nombre del Gestor]]&gt;1,VENTAS[[#This Row],[Total]]*10%,0)</f>
        <v>1.3</v>
      </c>
      <c r="K1396" s="14">
        <f>IFERROR(VLOOKUP(VENTAS[[#This Row],[Código del producto Vendido]],STOCK[],16,FALSE)*VENTAS[[#This Row],[Cantidad]]+VLOOKUP(VENTAS[[#This Row],[Código del producto Vendido]],STOCK[],19,FALSE)*VENTAS[[#This Row],[Cantidad]],VENTAS[[#This Row],[Total]])</f>
        <v>12</v>
      </c>
      <c r="L1396" s="14">
        <f>VENTAS[[#This Row],[Total]]-VENTAS[[#This Row],[Comisión 10%]]-VENTAS[[#This Row],[Costo SIN Comision]]</f>
        <v>-0.300000000000001</v>
      </c>
      <c r="M1396" s="14"/>
    </row>
    <row r="1397" ht="20" hidden="1" customHeight="1" spans="1:13">
      <c r="A1397" s="10">
        <v>45513</v>
      </c>
      <c r="B1397" s="11"/>
      <c r="C1397" s="11" t="s">
        <v>4181</v>
      </c>
      <c r="D1397" s="11" t="s">
        <v>4216</v>
      </c>
      <c r="E1397" s="11" t="s">
        <v>2586</v>
      </c>
      <c r="F1397" s="11" t="str">
        <f>IFERROR(VLOOKUP(VENTAS[[#This Row],[Código del producto Vendido]],STOCK[],5,FALSE),"-")</f>
        <v>Vestido negro espalda cruzada</v>
      </c>
      <c r="G1397" s="11">
        <v>1</v>
      </c>
      <c r="H1397" s="14">
        <v>30</v>
      </c>
      <c r="I1397" s="14">
        <f>VENTAS[[#This Row],[Cantidad]]*VENTAS[[#This Row],[Precio Venta]]</f>
        <v>30</v>
      </c>
      <c r="J1397" s="14">
        <f>IF(VENTAS[[#This Row],[Nombre del Gestor]]&gt;1,VENTAS[[#This Row],[Total]]*10%,0)</f>
        <v>3</v>
      </c>
      <c r="K1397" s="14">
        <f>IFERROR(VLOOKUP(VENTAS[[#This Row],[Código del producto Vendido]],STOCK[],16,FALSE)*VENTAS[[#This Row],[Cantidad]]+VLOOKUP(VENTAS[[#This Row],[Código del producto Vendido]],STOCK[],19,FALSE)*VENTAS[[#This Row],[Cantidad]],VENTAS[[#This Row],[Total]])</f>
        <v>15.44</v>
      </c>
      <c r="L1397" s="14">
        <f>VENTAS[[#This Row],[Total]]-VENTAS[[#This Row],[Comisión 10%]]-VENTAS[[#This Row],[Costo SIN Comision]]</f>
        <v>11.56</v>
      </c>
      <c r="M1397" s="14"/>
    </row>
    <row r="1398" ht="20" hidden="1" customHeight="1" spans="1:13">
      <c r="A1398" s="10"/>
      <c r="B1398" s="11"/>
      <c r="C1398" s="11"/>
      <c r="D1398" s="11" t="s">
        <v>4403</v>
      </c>
      <c r="E1398" s="11" t="s">
        <v>2586</v>
      </c>
      <c r="F1398" s="11" t="str">
        <f>IFERROR(VLOOKUP(VENTAS[[#This Row],[Código del producto Vendido]],STOCK[],5,FALSE),"-")</f>
        <v>Vestido negro espalda cruzada</v>
      </c>
      <c r="G1398" s="11">
        <v>1</v>
      </c>
      <c r="H1398" s="14">
        <v>30</v>
      </c>
      <c r="I1398" s="14">
        <f>VENTAS[[#This Row],[Cantidad]]*VENTAS[[#This Row],[Precio Venta]]</f>
        <v>30</v>
      </c>
      <c r="J1398" s="14">
        <f>IF(VENTAS[[#This Row],[Nombre del Gestor]]&gt;1,VENTAS[[#This Row],[Total]]*10%,0)</f>
        <v>3</v>
      </c>
      <c r="K1398" s="14">
        <f>IFERROR(VLOOKUP(VENTAS[[#This Row],[Código del producto Vendido]],STOCK[],16,FALSE)*VENTAS[[#This Row],[Cantidad]]+VLOOKUP(VENTAS[[#This Row],[Código del producto Vendido]],STOCK[],19,FALSE)*VENTAS[[#This Row],[Cantidad]],VENTAS[[#This Row],[Total]])</f>
        <v>15.44</v>
      </c>
      <c r="L1398" s="14">
        <f>VENTAS[[#This Row],[Total]]-VENTAS[[#This Row],[Comisión 10%]]-VENTAS[[#This Row],[Costo SIN Comision]]</f>
        <v>11.56</v>
      </c>
      <c r="M1398" s="14"/>
    </row>
    <row r="1399" ht="20" hidden="1" customHeight="1" spans="1:13">
      <c r="A1399" s="10">
        <v>45534</v>
      </c>
      <c r="B1399" s="11"/>
      <c r="C1399" s="11"/>
      <c r="D1399" s="11" t="s">
        <v>4222</v>
      </c>
      <c r="E1399" s="11" t="s">
        <v>2593</v>
      </c>
      <c r="F1399" s="11" t="str">
        <f>IFERROR(VLOOKUP(VENTAS[[#This Row],[Código del producto Vendido]],STOCK[],5,FALSE),"-")</f>
        <v>Vestido crochet playero de tirantes</v>
      </c>
      <c r="G1399" s="11">
        <v>1</v>
      </c>
      <c r="H1399" s="14">
        <v>30</v>
      </c>
      <c r="I1399" s="14">
        <f>VENTAS[[#This Row],[Cantidad]]*VENTAS[[#This Row],[Precio Venta]]</f>
        <v>30</v>
      </c>
      <c r="J1399" s="14">
        <f>IF(VENTAS[[#This Row],[Nombre del Gestor]]&gt;1,VENTAS[[#This Row],[Total]]*10%,0)</f>
        <v>3</v>
      </c>
      <c r="K1399" s="14">
        <f>IFERROR(VLOOKUP(VENTAS[[#This Row],[Código del producto Vendido]],STOCK[],16,FALSE)*VENTAS[[#This Row],[Cantidad]]+VLOOKUP(VENTAS[[#This Row],[Código del producto Vendido]],STOCK[],19,FALSE)*VENTAS[[#This Row],[Cantidad]],VENTAS[[#This Row],[Total]])</f>
        <v>13.56</v>
      </c>
      <c r="L1399" s="14">
        <f>VENTAS[[#This Row],[Total]]-VENTAS[[#This Row],[Comisión 10%]]-VENTAS[[#This Row],[Costo SIN Comision]]</f>
        <v>13.44</v>
      </c>
      <c r="M1399" s="14"/>
    </row>
    <row r="1400" ht="20" hidden="1" customHeight="1" spans="1:13">
      <c r="A1400" s="10"/>
      <c r="B1400" s="11"/>
      <c r="C1400" s="11"/>
      <c r="D1400" s="11" t="s">
        <v>4403</v>
      </c>
      <c r="E1400" s="11" t="s">
        <v>1711</v>
      </c>
      <c r="F1400" s="11" t="str">
        <f>IFERROR(VLOOKUP(VENTAS[[#This Row],[Código del producto Vendido]],STOCK[],5,FALSE),"-")</f>
        <v>Vestido Asimétrico con cuerdas</v>
      </c>
      <c r="G1400" s="11">
        <v>1</v>
      </c>
      <c r="H1400" s="14">
        <v>13</v>
      </c>
      <c r="I1400" s="14">
        <f>VENTAS[[#This Row],[Cantidad]]*VENTAS[[#This Row],[Precio Venta]]</f>
        <v>13</v>
      </c>
      <c r="J1400" s="14">
        <f>IF(VENTAS[[#This Row],[Nombre del Gestor]]&gt;1,VENTAS[[#This Row],[Total]]*10%,0)</f>
        <v>1.3</v>
      </c>
      <c r="K1400" s="14">
        <f>IFERROR(VLOOKUP(VENTAS[[#This Row],[Código del producto Vendido]],STOCK[],16,FALSE)*VENTAS[[#This Row],[Cantidad]]+VLOOKUP(VENTAS[[#This Row],[Código del producto Vendido]],STOCK[],19,FALSE)*VENTAS[[#This Row],[Cantidad]],VENTAS[[#This Row],[Total]])</f>
        <v>12</v>
      </c>
      <c r="L1400" s="14">
        <f>VENTAS[[#This Row],[Total]]-VENTAS[[#This Row],[Comisión 10%]]-VENTAS[[#This Row],[Costo SIN Comision]]</f>
        <v>-0.300000000000001</v>
      </c>
      <c r="M1400" s="14"/>
    </row>
    <row r="1401" ht="20" hidden="1" customHeight="1" spans="1:13">
      <c r="A1401" s="10"/>
      <c r="B1401" s="11"/>
      <c r="C1401" s="11"/>
      <c r="D1401" s="11" t="s">
        <v>4403</v>
      </c>
      <c r="E1401" s="11" t="s">
        <v>1711</v>
      </c>
      <c r="F1401" s="11" t="str">
        <f>IFERROR(VLOOKUP(VENTAS[[#This Row],[Código del producto Vendido]],STOCK[],5,FALSE),"-")</f>
        <v>Vestido Asimétrico con cuerdas</v>
      </c>
      <c r="G1401" s="11">
        <v>1</v>
      </c>
      <c r="H1401" s="14">
        <v>13</v>
      </c>
      <c r="I1401" s="14">
        <f>VENTAS[[#This Row],[Cantidad]]*VENTAS[[#This Row],[Precio Venta]]</f>
        <v>13</v>
      </c>
      <c r="J1401" s="14">
        <f>IF(VENTAS[[#This Row],[Nombre del Gestor]]&gt;1,VENTAS[[#This Row],[Total]]*10%,0)</f>
        <v>1.3</v>
      </c>
      <c r="K1401" s="14">
        <f>IFERROR(VLOOKUP(VENTAS[[#This Row],[Código del producto Vendido]],STOCK[],16,FALSE)*VENTAS[[#This Row],[Cantidad]]+VLOOKUP(VENTAS[[#This Row],[Código del producto Vendido]],STOCK[],19,FALSE)*VENTAS[[#This Row],[Cantidad]],VENTAS[[#This Row],[Total]])</f>
        <v>12</v>
      </c>
      <c r="L1401" s="14">
        <f>VENTAS[[#This Row],[Total]]-VENTAS[[#This Row],[Comisión 10%]]-VENTAS[[#This Row],[Costo SIN Comision]]</f>
        <v>-0.300000000000001</v>
      </c>
      <c r="M1401" s="14"/>
    </row>
    <row r="1402" ht="20" hidden="1" customHeight="1" spans="1:13">
      <c r="A1402" s="10"/>
      <c r="B1402" s="11"/>
      <c r="C1402" s="11"/>
      <c r="D1402" s="11" t="s">
        <v>4403</v>
      </c>
      <c r="E1402" s="11" t="s">
        <v>2589</v>
      </c>
      <c r="F1402" s="11" t="str">
        <f>IFERROR(VLOOKUP(VENTAS[[#This Row],[Código del producto Vendido]],STOCK[],5,FALSE),"-")</f>
        <v>Vestido crochet Playero espalda descubierta</v>
      </c>
      <c r="G1402" s="11">
        <v>1</v>
      </c>
      <c r="H1402" s="14">
        <v>30</v>
      </c>
      <c r="I1402" s="14">
        <f>VENTAS[[#This Row],[Cantidad]]*VENTAS[[#This Row],[Precio Venta]]</f>
        <v>30</v>
      </c>
      <c r="J1402" s="14">
        <f>IF(VENTAS[[#This Row],[Nombre del Gestor]]&gt;1,VENTAS[[#This Row],[Total]]*10%,0)</f>
        <v>3</v>
      </c>
      <c r="K1402" s="14">
        <f>IFERROR(VLOOKUP(VENTAS[[#This Row],[Código del producto Vendido]],STOCK[],16,FALSE)*VENTAS[[#This Row],[Cantidad]]+VLOOKUP(VENTAS[[#This Row],[Código del producto Vendido]],STOCK[],19,FALSE)*VENTAS[[#This Row],[Cantidad]],VENTAS[[#This Row],[Total]])</f>
        <v>14.02</v>
      </c>
      <c r="L1402" s="14">
        <f>VENTAS[[#This Row],[Total]]-VENTAS[[#This Row],[Comisión 10%]]-VENTAS[[#This Row],[Costo SIN Comision]]</f>
        <v>12.98</v>
      </c>
      <c r="M1402" s="14"/>
    </row>
    <row r="1403" ht="20" hidden="1" customHeight="1" spans="1:13">
      <c r="A1403" s="10"/>
      <c r="B1403" s="11"/>
      <c r="C1403" s="11"/>
      <c r="D1403" s="11" t="s">
        <v>4403</v>
      </c>
      <c r="E1403" s="11" t="s">
        <v>718</v>
      </c>
      <c r="F1403" s="11" t="str">
        <f>IFERROR(VLOOKUP(VENTAS[[#This Row],[Código del producto Vendido]],STOCK[],5,FALSE),"-")</f>
        <v>Vestido bodycon</v>
      </c>
      <c r="G1403" s="11">
        <v>1</v>
      </c>
      <c r="H1403" s="14">
        <v>10</v>
      </c>
      <c r="I1403" s="14">
        <f>VENTAS[[#This Row],[Cantidad]]*VENTAS[[#This Row],[Precio Venta]]</f>
        <v>10</v>
      </c>
      <c r="J1403" s="14">
        <f>IF(VENTAS[[#This Row],[Nombre del Gestor]]&gt;1,VENTAS[[#This Row],[Total]]*10%,0)</f>
        <v>1</v>
      </c>
      <c r="K1403" s="14">
        <f>IFERROR(VLOOKUP(VENTAS[[#This Row],[Código del producto Vendido]],STOCK[],16,FALSE)*VENTAS[[#This Row],[Cantidad]]+VLOOKUP(VENTAS[[#This Row],[Código del producto Vendido]],STOCK[],19,FALSE)*VENTAS[[#This Row],[Cantidad]],VENTAS[[#This Row],[Total]])</f>
        <v>5.72222222222222</v>
      </c>
      <c r="L1403" s="14">
        <f>VENTAS[[#This Row],[Total]]-VENTAS[[#This Row],[Comisión 10%]]-VENTAS[[#This Row],[Costo SIN Comision]]</f>
        <v>3.27777777777778</v>
      </c>
      <c r="M1403" s="14"/>
    </row>
    <row r="1404" ht="20" hidden="1" customHeight="1" spans="1:13">
      <c r="A1404" s="10"/>
      <c r="B1404" s="11"/>
      <c r="C1404" s="11"/>
      <c r="D1404" s="11" t="s">
        <v>4403</v>
      </c>
      <c r="E1404" s="11" t="s">
        <v>718</v>
      </c>
      <c r="F1404" s="11" t="str">
        <f>IFERROR(VLOOKUP(VENTAS[[#This Row],[Código del producto Vendido]],STOCK[],5,FALSE),"-")</f>
        <v>Vestido bodycon</v>
      </c>
      <c r="G1404" s="11">
        <v>1</v>
      </c>
      <c r="H1404" s="14">
        <v>10</v>
      </c>
      <c r="I1404" s="14">
        <f>VENTAS[[#This Row],[Cantidad]]*VENTAS[[#This Row],[Precio Venta]]</f>
        <v>10</v>
      </c>
      <c r="J1404" s="14">
        <f>IF(VENTAS[[#This Row],[Nombre del Gestor]]&gt;1,VENTAS[[#This Row],[Total]]*10%,0)</f>
        <v>1</v>
      </c>
      <c r="K1404" s="14">
        <f>IFERROR(VLOOKUP(VENTAS[[#This Row],[Código del producto Vendido]],STOCK[],16,FALSE)*VENTAS[[#This Row],[Cantidad]]+VLOOKUP(VENTAS[[#This Row],[Código del producto Vendido]],STOCK[],19,FALSE)*VENTAS[[#This Row],[Cantidad]],VENTAS[[#This Row],[Total]])</f>
        <v>5.72222222222222</v>
      </c>
      <c r="L1404" s="14">
        <f>VENTAS[[#This Row],[Total]]-VENTAS[[#This Row],[Comisión 10%]]-VENTAS[[#This Row],[Costo SIN Comision]]</f>
        <v>3.27777777777778</v>
      </c>
      <c r="M1404" s="14"/>
    </row>
    <row r="1405" ht="20" hidden="1" customHeight="1" spans="1:13">
      <c r="A1405" s="10"/>
      <c r="B1405" s="11"/>
      <c r="C1405" s="11"/>
      <c r="D1405" s="11" t="s">
        <v>4403</v>
      </c>
      <c r="E1405" s="11" t="s">
        <v>2574</v>
      </c>
      <c r="F1405" s="11" t="str">
        <f>IFERROR(VLOOKUP(VENTAS[[#This Row],[Código del producto Vendido]],STOCK[],5,FALSE),"-")</f>
        <v>Vestido Largo con cinturón fruncido</v>
      </c>
      <c r="G1405" s="11">
        <v>1</v>
      </c>
      <c r="H1405" s="14">
        <v>30</v>
      </c>
      <c r="I1405" s="14">
        <f>VENTAS[[#This Row],[Cantidad]]*VENTAS[[#This Row],[Precio Venta]]</f>
        <v>30</v>
      </c>
      <c r="J1405" s="14">
        <f>IF(VENTAS[[#This Row],[Nombre del Gestor]]&gt;1,VENTAS[[#This Row],[Total]]*10%,0)</f>
        <v>3</v>
      </c>
      <c r="K1405" s="14">
        <f>IFERROR(VLOOKUP(VENTAS[[#This Row],[Código del producto Vendido]],STOCK[],16,FALSE)*VENTAS[[#This Row],[Cantidad]]+VLOOKUP(VENTAS[[#This Row],[Código del producto Vendido]],STOCK[],19,FALSE)*VENTAS[[#This Row],[Cantidad]],VENTAS[[#This Row],[Total]])</f>
        <v>13.66</v>
      </c>
      <c r="L1405" s="14">
        <f>VENTAS[[#This Row],[Total]]-VENTAS[[#This Row],[Comisión 10%]]-VENTAS[[#This Row],[Costo SIN Comision]]</f>
        <v>13.34</v>
      </c>
      <c r="M1405" s="14"/>
    </row>
    <row r="1406" ht="20" hidden="1" customHeight="1" spans="1:13">
      <c r="A1406" s="10"/>
      <c r="B1406" s="11"/>
      <c r="C1406" s="11"/>
      <c r="D1406" s="11"/>
      <c r="E1406" s="11" t="s">
        <v>2592</v>
      </c>
      <c r="F1406" s="11" t="str">
        <f>IFERROR(VLOOKUP(VENTAS[[#This Row],[Código del producto Vendido]],STOCK[],5,FALSE),"-")</f>
        <v>Vestido crochet Playero espalda descubierta</v>
      </c>
      <c r="G1406" s="11">
        <v>1</v>
      </c>
      <c r="H1406" s="14">
        <v>30</v>
      </c>
      <c r="I1406" s="14">
        <f>VENTAS[[#This Row],[Cantidad]]*VENTAS[[#This Row],[Precio Venta]]</f>
        <v>30</v>
      </c>
      <c r="J1406" s="14">
        <f>IF(VENTAS[[#This Row],[Nombre del Gestor]]&gt;1,VENTAS[[#This Row],[Total]]*10%,0)</f>
        <v>0</v>
      </c>
      <c r="K1406" s="14">
        <f>IFERROR(VLOOKUP(VENTAS[[#This Row],[Código del producto Vendido]],STOCK[],16,FALSE)*VENTAS[[#This Row],[Cantidad]]+VLOOKUP(VENTAS[[#This Row],[Código del producto Vendido]],STOCK[],19,FALSE)*VENTAS[[#This Row],[Cantidad]],VENTAS[[#This Row],[Total]])</f>
        <v>14.02</v>
      </c>
      <c r="L1406" s="14">
        <f>VENTAS[[#This Row],[Total]]-VENTAS[[#This Row],[Comisión 10%]]-VENTAS[[#This Row],[Costo SIN Comision]]</f>
        <v>15.98</v>
      </c>
      <c r="M1406" s="14"/>
    </row>
    <row r="1407" ht="20" hidden="1" customHeight="1" spans="1:13">
      <c r="A1407" s="10">
        <v>45534</v>
      </c>
      <c r="B1407" s="11"/>
      <c r="C1407" s="11"/>
      <c r="D1407" s="11" t="s">
        <v>4266</v>
      </c>
      <c r="E1407" s="11" t="s">
        <v>2099</v>
      </c>
      <c r="F1407" s="11" t="str">
        <f>IFERROR(VLOOKUP(VENTAS[[#This Row],[Código del producto Vendido]],STOCK[],5,FALSE),"-")</f>
        <v>Vestido acanalado de manga larga</v>
      </c>
      <c r="G1407" s="11">
        <v>1</v>
      </c>
      <c r="H1407" s="14">
        <v>25</v>
      </c>
      <c r="I1407" s="14">
        <f>VENTAS[[#This Row],[Cantidad]]*VENTAS[[#This Row],[Precio Venta]]</f>
        <v>25</v>
      </c>
      <c r="J1407" s="14">
        <f>IF(VENTAS[[#This Row],[Nombre del Gestor]]&gt;1,VENTAS[[#This Row],[Total]]*10%,0)</f>
        <v>2.5</v>
      </c>
      <c r="K1407" s="14">
        <f>IFERROR(VLOOKUP(VENTAS[[#This Row],[Código del producto Vendido]],STOCK[],16,FALSE)*VENTAS[[#This Row],[Cantidad]]+VLOOKUP(VENTAS[[#This Row],[Código del producto Vendido]],STOCK[],19,FALSE)*VENTAS[[#This Row],[Cantidad]],VENTAS[[#This Row],[Total]])</f>
        <v>18.1</v>
      </c>
      <c r="L1407" s="14">
        <f>VENTAS[[#This Row],[Total]]-VENTAS[[#This Row],[Comisión 10%]]-VENTAS[[#This Row],[Costo SIN Comision]]</f>
        <v>4.4</v>
      </c>
      <c r="M1407" s="14"/>
    </row>
    <row r="1408" ht="20" hidden="1" customHeight="1" spans="1:13">
      <c r="A1408" s="10"/>
      <c r="B1408" s="11"/>
      <c r="C1408" s="11" t="s">
        <v>4334</v>
      </c>
      <c r="D1408" s="11"/>
      <c r="E1408" s="11" t="s">
        <v>2665</v>
      </c>
      <c r="F1408" s="11" t="str">
        <f>IFERROR(VLOOKUP(VENTAS[[#This Row],[Código del producto Vendido]],STOCK[],5,FALSE),"-")</f>
        <v>Pullover mariposa multicolor algodón PRIMARK</v>
      </c>
      <c r="G1408" s="11">
        <v>1</v>
      </c>
      <c r="H1408" s="14">
        <v>13</v>
      </c>
      <c r="I1408" s="14">
        <f>VENTAS[[#This Row],[Cantidad]]*VENTAS[[#This Row],[Precio Venta]]</f>
        <v>13</v>
      </c>
      <c r="J1408" s="14">
        <f>IF(VENTAS[[#This Row],[Nombre del Gestor]]&gt;1,VENTAS[[#This Row],[Total]]*10%,0)</f>
        <v>0</v>
      </c>
      <c r="K1408" s="14">
        <f>IFERROR(VLOOKUP(VENTAS[[#This Row],[Código del producto Vendido]],STOCK[],16,FALSE)*VENTAS[[#This Row],[Cantidad]]+VLOOKUP(VENTAS[[#This Row],[Código del producto Vendido]],STOCK[],19,FALSE)*VENTAS[[#This Row],[Cantidad]],VENTAS[[#This Row],[Total]])</f>
        <v>7</v>
      </c>
      <c r="L1408" s="14">
        <f>VENTAS[[#This Row],[Total]]-VENTAS[[#This Row],[Comisión 10%]]-VENTAS[[#This Row],[Costo SIN Comision]]</f>
        <v>6</v>
      </c>
      <c r="M1408" s="14"/>
    </row>
    <row r="1409" ht="20" hidden="1" customHeight="1" spans="1:13">
      <c r="A1409" s="10">
        <v>45531</v>
      </c>
      <c r="B1409" s="11"/>
      <c r="C1409" s="11" t="s">
        <v>4405</v>
      </c>
      <c r="D1409" s="11" t="s">
        <v>4300</v>
      </c>
      <c r="E1409" s="11" t="s">
        <v>2708</v>
      </c>
      <c r="F1409" s="11" t="str">
        <f>IFERROR(VLOOKUP(VENTAS[[#This Row],[Código del producto Vendido]],STOCK[],5,FALSE),"-")</f>
        <v>Splash de Victoria Secret (Original) Pomegranate &amp; Lotus</v>
      </c>
      <c r="G1409" s="11">
        <v>1</v>
      </c>
      <c r="H1409" s="14">
        <v>22</v>
      </c>
      <c r="I1409" s="14">
        <f>VENTAS[[#This Row],[Cantidad]]*VENTAS[[#This Row],[Precio Venta]]</f>
        <v>22</v>
      </c>
      <c r="J1409" s="14">
        <f>IF(VENTAS[[#This Row],[Nombre del Gestor]]&gt;1,VENTAS[[#This Row],[Total]]*10%,0)</f>
        <v>2.2</v>
      </c>
      <c r="K1409" s="14">
        <f>IFERROR(VLOOKUP(VENTAS[[#This Row],[Código del producto Vendido]],STOCK[],16,FALSE)*VENTAS[[#This Row],[Cantidad]]+VLOOKUP(VENTAS[[#This Row],[Código del producto Vendido]],STOCK[],19,FALSE)*VENTAS[[#This Row],[Cantidad]],VENTAS[[#This Row],[Total]])</f>
        <v>9.22</v>
      </c>
      <c r="L1409" s="14">
        <f>VENTAS[[#This Row],[Total]]-VENTAS[[#This Row],[Comisión 10%]]-VENTAS[[#This Row],[Costo SIN Comision]]</f>
        <v>10.58</v>
      </c>
      <c r="M1409" s="14"/>
    </row>
    <row r="1410" ht="20" hidden="1" customHeight="1" spans="1:13">
      <c r="A1410" s="10">
        <v>45533</v>
      </c>
      <c r="B1410" s="10"/>
      <c r="C1410" s="11" t="s">
        <v>4406</v>
      </c>
      <c r="D1410" s="11" t="s">
        <v>4266</v>
      </c>
      <c r="E1410" s="11" t="s">
        <v>1328</v>
      </c>
      <c r="F1410" s="11" t="str">
        <f>IFERROR(VLOOKUP(VENTAS[[#This Row],[Código del producto Vendido]],STOCK[],5,FALSE),"-")</f>
        <v>Blusa de manga acampanada </v>
      </c>
      <c r="G1410" s="11">
        <v>1</v>
      </c>
      <c r="H1410" s="14">
        <v>17</v>
      </c>
      <c r="I1410" s="14">
        <f>VENTAS[[#This Row],[Cantidad]]*VENTAS[[#This Row],[Precio Venta]]</f>
        <v>17</v>
      </c>
      <c r="J1410" s="14">
        <f>IF(VENTAS[[#This Row],[Nombre del Gestor]]&gt;1,VENTAS[[#This Row],[Total]]*10%,0)</f>
        <v>1.7</v>
      </c>
      <c r="K1410" s="14">
        <f>IFERROR(VLOOKUP(VENTAS[[#This Row],[Código del producto Vendido]],STOCK[],16,FALSE)*VENTAS[[#This Row],[Cantidad]]+VLOOKUP(VENTAS[[#This Row],[Código del producto Vendido]],STOCK[],19,FALSE)*VENTAS[[#This Row],[Cantidad]],VENTAS[[#This Row],[Total]])</f>
        <v>13.24</v>
      </c>
      <c r="L1410" s="14">
        <f>VENTAS[[#This Row],[Total]]-VENTAS[[#This Row],[Comisión 10%]]-VENTAS[[#This Row],[Costo SIN Comision]]</f>
        <v>2.06</v>
      </c>
      <c r="M1410" s="14"/>
    </row>
    <row r="1411" ht="20" hidden="1" customHeight="1" spans="1:13">
      <c r="A1411" s="10"/>
      <c r="B1411" s="11"/>
      <c r="C1411" s="11" t="s">
        <v>4210</v>
      </c>
      <c r="D1411" s="11"/>
      <c r="E1411" s="11" t="s">
        <v>1505</v>
      </c>
      <c r="F1411" s="11" t="str">
        <f>IFERROR(VLOOKUP(VENTAS[[#This Row],[Código del producto Vendido]],STOCK[],5,FALSE),"-")</f>
        <v>Pullover Dazy cuello redondo Blanco</v>
      </c>
      <c r="G1411" s="11">
        <v>1</v>
      </c>
      <c r="H1411" s="14">
        <v>13</v>
      </c>
      <c r="I1411" s="14">
        <f>VENTAS[[#This Row],[Cantidad]]*VENTAS[[#This Row],[Precio Venta]]</f>
        <v>13</v>
      </c>
      <c r="J1411" s="14">
        <f>IF(VENTAS[[#This Row],[Nombre del Gestor]]&gt;1,VENTAS[[#This Row],[Total]]*10%,0)</f>
        <v>0</v>
      </c>
      <c r="K1411" s="14">
        <f>IFERROR(VLOOKUP(VENTAS[[#This Row],[Código del producto Vendido]],STOCK[],16,FALSE)*VENTAS[[#This Row],[Cantidad]]+VLOOKUP(VENTAS[[#This Row],[Código del producto Vendido]],STOCK[],19,FALSE)*VENTAS[[#This Row],[Cantidad]],VENTAS[[#This Row],[Total]])</f>
        <v>7.5</v>
      </c>
      <c r="L1411" s="14">
        <f>VENTAS[[#This Row],[Total]]-VENTAS[[#This Row],[Comisión 10%]]-VENTAS[[#This Row],[Costo SIN Comision]]</f>
        <v>5.5</v>
      </c>
      <c r="M1411" s="14"/>
    </row>
    <row r="1412" ht="20" hidden="1" customHeight="1" spans="1:13">
      <c r="A1412" s="10">
        <v>45533</v>
      </c>
      <c r="B1412" s="11"/>
      <c r="C1412" s="11" t="s">
        <v>4406</v>
      </c>
      <c r="D1412" s="11" t="s">
        <v>4266</v>
      </c>
      <c r="E1412" s="11" t="s">
        <v>1729</v>
      </c>
      <c r="F1412" s="11" t="str">
        <f>IFERROR(VLOOKUP(VENTAS[[#This Row],[Código del producto Vendido]],STOCK[],5,FALSE),"-")</f>
        <v>Chaleco de traje Crema</v>
      </c>
      <c r="G1412" s="11">
        <v>1</v>
      </c>
      <c r="H1412" s="14">
        <v>25</v>
      </c>
      <c r="I1412" s="14">
        <f>VENTAS[[#This Row],[Cantidad]]*VENTAS[[#This Row],[Precio Venta]]</f>
        <v>25</v>
      </c>
      <c r="J1412" s="14">
        <f>IF(VENTAS[[#This Row],[Nombre del Gestor]]&gt;1,VENTAS[[#This Row],[Total]]*10%,0)</f>
        <v>2.5</v>
      </c>
      <c r="K1412" s="14">
        <f>IFERROR(VLOOKUP(VENTAS[[#This Row],[Código del producto Vendido]],STOCK[],16,FALSE)*VENTAS[[#This Row],[Cantidad]]+VLOOKUP(VENTAS[[#This Row],[Código del producto Vendido]],STOCK[],19,FALSE)*VENTAS[[#This Row],[Cantidad]],VENTAS[[#This Row],[Total]])</f>
        <v>17.9411764705882</v>
      </c>
      <c r="L1412" s="14">
        <f>VENTAS[[#This Row],[Total]]-VENTAS[[#This Row],[Comisión 10%]]-VENTAS[[#This Row],[Costo SIN Comision]]</f>
        <v>4.5588235294118</v>
      </c>
      <c r="M1412" s="14"/>
    </row>
    <row r="1413" ht="20" hidden="1" customHeight="1" spans="1:13">
      <c r="A1413" s="10">
        <v>45536</v>
      </c>
      <c r="B1413" s="11"/>
      <c r="C1413" s="11"/>
      <c r="D1413" s="11" t="s">
        <v>4241</v>
      </c>
      <c r="E1413" s="11" t="s">
        <v>2453</v>
      </c>
      <c r="F1413" s="11" t="str">
        <f>IFERROR(VLOOKUP(VENTAS[[#This Row],[Código del producto Vendido]],STOCK[],5,FALSE),"-")</f>
        <v>Sandalias carmelitas de moda con correa de velcro</v>
      </c>
      <c r="G1413" s="11">
        <v>1</v>
      </c>
      <c r="H1413" s="14">
        <v>35</v>
      </c>
      <c r="I1413" s="14">
        <f>VENTAS[[#This Row],[Cantidad]]*VENTAS[[#This Row],[Precio Venta]]</f>
        <v>35</v>
      </c>
      <c r="J1413" s="14">
        <f>IF(VENTAS[[#This Row],[Nombre del Gestor]]&gt;1,VENTAS[[#This Row],[Total]]*10%,0)</f>
        <v>3.5</v>
      </c>
      <c r="K1413" s="14">
        <f>IFERROR(VLOOKUP(VENTAS[[#This Row],[Código del producto Vendido]],STOCK[],16,FALSE)*VENTAS[[#This Row],[Cantidad]]+VLOOKUP(VENTAS[[#This Row],[Código del producto Vendido]],STOCK[],19,FALSE)*VENTAS[[#This Row],[Cantidad]],VENTAS[[#This Row],[Total]])</f>
        <v>19.47</v>
      </c>
      <c r="L1413" s="14">
        <f>VENTAS[[#This Row],[Total]]-VENTAS[[#This Row],[Comisión 10%]]-VENTAS[[#This Row],[Costo SIN Comision]]</f>
        <v>12.03</v>
      </c>
      <c r="M1413" s="14"/>
    </row>
    <row r="1414" ht="20" hidden="1" customHeight="1" spans="1:13">
      <c r="A1414" s="10">
        <v>45536</v>
      </c>
      <c r="B1414" s="11"/>
      <c r="C1414" s="11"/>
      <c r="D1414" s="11" t="s">
        <v>4076</v>
      </c>
      <c r="E1414" s="11" t="s">
        <v>1440</v>
      </c>
      <c r="F1414" s="11" t="str">
        <f>IFERROR(VLOOKUP(VENTAS[[#This Row],[Código del producto Vendido]],STOCK[],5,FALSE),"-")</f>
        <v>Sandalias negras acolchadas Marca F21</v>
      </c>
      <c r="G1414" s="11">
        <v>1</v>
      </c>
      <c r="H1414" s="14">
        <v>27</v>
      </c>
      <c r="I1414" s="14">
        <f>VENTAS[[#This Row],[Cantidad]]*VENTAS[[#This Row],[Precio Venta]]</f>
        <v>27</v>
      </c>
      <c r="J1414" s="14">
        <f>IF(VENTAS[[#This Row],[Nombre del Gestor]]&gt;1,VENTAS[[#This Row],[Total]]*10%,0)</f>
        <v>2.7</v>
      </c>
      <c r="K1414" s="14">
        <f>IFERROR(VLOOKUP(VENTAS[[#This Row],[Código del producto Vendido]],STOCK[],16,FALSE)*VENTAS[[#This Row],[Cantidad]]+VLOOKUP(VENTAS[[#This Row],[Código del producto Vendido]],STOCK[],19,FALSE)*VENTAS[[#This Row],[Cantidad]],VENTAS[[#This Row],[Total]])</f>
        <v>12.49</v>
      </c>
      <c r="L1414" s="14">
        <f>VENTAS[[#This Row],[Total]]-VENTAS[[#This Row],[Comisión 10%]]-VENTAS[[#This Row],[Costo SIN Comision]]</f>
        <v>11.81</v>
      </c>
      <c r="M1414" s="14"/>
    </row>
    <row r="1415" ht="20" hidden="1" customHeight="1" spans="1:13">
      <c r="A1415" s="10">
        <v>45536</v>
      </c>
      <c r="B1415" s="11"/>
      <c r="C1415" s="11" t="s">
        <v>4278</v>
      </c>
      <c r="D1415" s="11" t="s">
        <v>4300</v>
      </c>
      <c r="E1415" s="11" t="s">
        <v>2703</v>
      </c>
      <c r="F1415" s="11" t="str">
        <f>IFERROR(VLOOKUP(VENTAS[[#This Row],[Código del producto Vendido]],STOCK[],5,FALSE),"-")</f>
        <v> Splash de Victoria Secret (Original) Strawberries &amp; Champagne</v>
      </c>
      <c r="G1415" s="11">
        <v>1</v>
      </c>
      <c r="H1415" s="14">
        <v>22</v>
      </c>
      <c r="I1415" s="14">
        <f>VENTAS[[#This Row],[Cantidad]]*VENTAS[[#This Row],[Precio Venta]]</f>
        <v>22</v>
      </c>
      <c r="J1415" s="14">
        <f>IF(VENTAS[[#This Row],[Nombre del Gestor]]&gt;1,VENTAS[[#This Row],[Total]]*10%,0)</f>
        <v>2.2</v>
      </c>
      <c r="K1415" s="14">
        <f>IFERROR(VLOOKUP(VENTAS[[#This Row],[Código del producto Vendido]],STOCK[],16,FALSE)*VENTAS[[#This Row],[Cantidad]]+VLOOKUP(VENTAS[[#This Row],[Código del producto Vendido]],STOCK[],19,FALSE)*VENTAS[[#This Row],[Cantidad]],VENTAS[[#This Row],[Total]])</f>
        <v>9.22</v>
      </c>
      <c r="L1415" s="14">
        <f>VENTAS[[#This Row],[Total]]-VENTAS[[#This Row],[Comisión 10%]]-VENTAS[[#This Row],[Costo SIN Comision]]</f>
        <v>10.58</v>
      </c>
      <c r="M1415" s="14"/>
    </row>
    <row r="1416" ht="20" hidden="1" customHeight="1" spans="1:13">
      <c r="A1416" s="10">
        <v>45534</v>
      </c>
      <c r="B1416" s="11"/>
      <c r="C1416" s="11"/>
      <c r="D1416" s="11" t="s">
        <v>4222</v>
      </c>
      <c r="E1416" s="11" t="s">
        <v>2686</v>
      </c>
      <c r="F1416" s="11" t="str">
        <f>IFERROR(VLOOKUP(VENTAS[[#This Row],[Código del producto Vendido]],STOCK[],5,FALSE),"-")</f>
        <v>Camisa verde oversize</v>
      </c>
      <c r="G1416" s="11">
        <v>0</v>
      </c>
      <c r="H1416" s="14">
        <v>22</v>
      </c>
      <c r="I1416" s="14">
        <f>VENTAS[[#This Row],[Cantidad]]*VENTAS[[#This Row],[Precio Venta]]</f>
        <v>0</v>
      </c>
      <c r="J1416" s="14">
        <f>IF(VENTAS[[#This Row],[Nombre del Gestor]]&gt;1,VENTAS[[#This Row],[Total]]*10%,0)</f>
        <v>0</v>
      </c>
      <c r="K1416" s="14">
        <f>IFERROR(VLOOKUP(VENTAS[[#This Row],[Código del producto Vendido]],STOCK[],16,FALSE)*VENTAS[[#This Row],[Cantidad]]+VLOOKUP(VENTAS[[#This Row],[Código del producto Vendido]],STOCK[],19,FALSE)*VENTAS[[#This Row],[Cantidad]],VENTAS[[#This Row],[Total]])</f>
        <v>0</v>
      </c>
      <c r="L1416" s="14">
        <f>VENTAS[[#This Row],[Total]]-VENTAS[[#This Row],[Comisión 10%]]-VENTAS[[#This Row],[Costo SIN Comision]]</f>
        <v>0</v>
      </c>
      <c r="M1416" s="14"/>
    </row>
    <row r="1417" ht="20" hidden="1" customHeight="1" spans="1:13">
      <c r="A1417" s="10">
        <v>45536</v>
      </c>
      <c r="B1417" s="11"/>
      <c r="C1417" s="11"/>
      <c r="D1417" s="11" t="s">
        <v>4272</v>
      </c>
      <c r="E1417" s="11" t="s">
        <v>2658</v>
      </c>
      <c r="F1417" s="11" t="str">
        <f>IFERROR(VLOOKUP(VENTAS[[#This Row],[Código del producto Vendido]],STOCK[],5,FALSE),"-")</f>
        <v>Sandalias de hebilla Pull&amp;Bear</v>
      </c>
      <c r="G1417" s="11">
        <v>1</v>
      </c>
      <c r="H1417" s="14">
        <v>40</v>
      </c>
      <c r="I1417" s="14">
        <f>VENTAS[[#This Row],[Cantidad]]*VENTAS[[#This Row],[Precio Venta]]</f>
        <v>40</v>
      </c>
      <c r="J1417" s="14">
        <f>IF(VENTAS[[#This Row],[Nombre del Gestor]]&gt;1,VENTAS[[#This Row],[Total]]*10%,0)</f>
        <v>4</v>
      </c>
      <c r="K1417" s="14">
        <f>IFERROR(VLOOKUP(VENTAS[[#This Row],[Código del producto Vendido]],STOCK[],16,FALSE)*VENTAS[[#This Row],[Cantidad]]+VLOOKUP(VENTAS[[#This Row],[Código del producto Vendido]],STOCK[],19,FALSE)*VENTAS[[#This Row],[Cantidad]],VENTAS[[#This Row],[Total]])</f>
        <v>28</v>
      </c>
      <c r="L1417" s="14">
        <f>VENTAS[[#This Row],[Total]]-VENTAS[[#This Row],[Comisión 10%]]-VENTAS[[#This Row],[Costo SIN Comision]]</f>
        <v>8</v>
      </c>
      <c r="M1417" s="14"/>
    </row>
    <row r="1418" ht="20" hidden="1" customHeight="1" spans="1:13">
      <c r="A1418" s="10">
        <v>45534</v>
      </c>
      <c r="B1418" s="11"/>
      <c r="C1418" s="11"/>
      <c r="D1418" s="11" t="s">
        <v>4222</v>
      </c>
      <c r="E1418" s="11" t="s">
        <v>2646</v>
      </c>
      <c r="F1418" s="11" t="str">
        <f>IFERROR(VLOOKUP(VENTAS[[#This Row],[Código del producto Vendido]],STOCK[],5,FALSE),"-")</f>
        <v>Camisa Oversize en mezcla de lino H&amp;M</v>
      </c>
      <c r="G1418" s="11">
        <v>0</v>
      </c>
      <c r="H1418" s="14">
        <v>25</v>
      </c>
      <c r="I1418" s="14">
        <f>VENTAS[[#This Row],[Cantidad]]*VENTAS[[#This Row],[Precio Venta]]</f>
        <v>0</v>
      </c>
      <c r="J1418" s="14">
        <f>IF(VENTAS[[#This Row],[Nombre del Gestor]]&gt;1,VENTAS[[#This Row],[Total]]*10%,0)</f>
        <v>0</v>
      </c>
      <c r="K1418" s="14">
        <f>IFERROR(VLOOKUP(VENTAS[[#This Row],[Código del producto Vendido]],STOCK[],16,FALSE)*VENTAS[[#This Row],[Cantidad]]+VLOOKUP(VENTAS[[#This Row],[Código del producto Vendido]],STOCK[],19,FALSE)*VENTAS[[#This Row],[Cantidad]],VENTAS[[#This Row],[Total]])</f>
        <v>0</v>
      </c>
      <c r="L1418" s="14">
        <f>VENTAS[[#This Row],[Total]]-VENTAS[[#This Row],[Comisión 10%]]-VENTAS[[#This Row],[Costo SIN Comision]]</f>
        <v>0</v>
      </c>
      <c r="M1418" s="14"/>
    </row>
    <row r="1419" ht="20" hidden="1" customHeight="1" spans="1:13">
      <c r="A1419" s="10">
        <v>45536</v>
      </c>
      <c r="B1419" s="11"/>
      <c r="C1419" s="11"/>
      <c r="D1419" s="11" t="s">
        <v>4212</v>
      </c>
      <c r="E1419" s="11" t="s">
        <v>2114</v>
      </c>
      <c r="F1419" s="11" t="str">
        <f>IFERROR(VLOOKUP(VENTAS[[#This Row],[Código del producto Vendido]],STOCK[],5,FALSE),"-")</f>
        <v>Flor TOTE fashion bag</v>
      </c>
      <c r="G1419" s="11">
        <v>0</v>
      </c>
      <c r="H1419" s="14">
        <v>12</v>
      </c>
      <c r="I1419" s="14">
        <f>VENTAS[[#This Row],[Cantidad]]*VENTAS[[#This Row],[Precio Venta]]</f>
        <v>0</v>
      </c>
      <c r="J1419" s="14">
        <f>IF(VENTAS[[#This Row],[Nombre del Gestor]]&gt;1,VENTAS[[#This Row],[Total]]*10%,0)</f>
        <v>0</v>
      </c>
      <c r="K1419" s="14">
        <f>IFERROR(VLOOKUP(VENTAS[[#This Row],[Código del producto Vendido]],STOCK[],16,FALSE)*VENTAS[[#This Row],[Cantidad]]+VLOOKUP(VENTAS[[#This Row],[Código del producto Vendido]],STOCK[],19,FALSE)*VENTAS[[#This Row],[Cantidad]],VENTAS[[#This Row],[Total]])</f>
        <v>0</v>
      </c>
      <c r="L1419" s="14">
        <f>VENTAS[[#This Row],[Total]]-VENTAS[[#This Row],[Comisión 10%]]-VENTAS[[#This Row],[Costo SIN Comision]]</f>
        <v>0</v>
      </c>
      <c r="M1419" s="14"/>
    </row>
    <row r="1420" ht="20" hidden="1" customHeight="1" spans="1:13">
      <c r="A1420" s="10"/>
      <c r="B1420" s="11"/>
      <c r="C1420" s="11" t="s">
        <v>4210</v>
      </c>
      <c r="D1420" s="11"/>
      <c r="E1420" s="11" t="s">
        <v>1782</v>
      </c>
      <c r="F1420" s="11" t="str">
        <f>IFERROR(VLOOKUP(VENTAS[[#This Row],[Código del producto Vendido]],STOCK[],5,FALSE),"-")</f>
        <v>Cinturón de hebilla redonda</v>
      </c>
      <c r="G1420" s="11">
        <v>1</v>
      </c>
      <c r="H1420" s="14">
        <v>10</v>
      </c>
      <c r="I1420" s="14">
        <f>VENTAS[[#This Row],[Cantidad]]*VENTAS[[#This Row],[Precio Venta]]</f>
        <v>10</v>
      </c>
      <c r="J1420" s="14">
        <f>IF(VENTAS[[#This Row],[Nombre del Gestor]]&gt;1,VENTAS[[#This Row],[Total]]*10%,0)</f>
        <v>0</v>
      </c>
      <c r="K1420" s="14">
        <f>IFERROR(VLOOKUP(VENTAS[[#This Row],[Código del producto Vendido]],STOCK[],16,FALSE)*VENTAS[[#This Row],[Cantidad]]+VLOOKUP(VENTAS[[#This Row],[Código del producto Vendido]],STOCK[],19,FALSE)*VENTAS[[#This Row],[Cantidad]],VENTAS[[#This Row],[Total]])</f>
        <v>3.82352941176471</v>
      </c>
      <c r="L1420" s="14">
        <f>VENTAS[[#This Row],[Total]]-VENTAS[[#This Row],[Comisión 10%]]-VENTAS[[#This Row],[Costo SIN Comision]]</f>
        <v>6.17647058823529</v>
      </c>
      <c r="M1420" s="14"/>
    </row>
    <row r="1421" ht="20" hidden="1" customHeight="1" spans="1:13">
      <c r="A1421" s="10">
        <v>45534</v>
      </c>
      <c r="B1421" s="11"/>
      <c r="C1421" s="11" t="s">
        <v>4386</v>
      </c>
      <c r="D1421" s="11" t="s">
        <v>4212</v>
      </c>
      <c r="E1421" s="11" t="s">
        <v>2595</v>
      </c>
      <c r="F1421" s="11" t="str">
        <f>IFERROR(VLOOKUP(VENTAS[[#This Row],[Código del producto Vendido]],STOCK[],5,FALSE),"-")</f>
        <v>Falda larga de visillo con maxi estampado de flor</v>
      </c>
      <c r="G1421" s="11">
        <v>0</v>
      </c>
      <c r="H1421" s="14">
        <v>25</v>
      </c>
      <c r="I1421" s="14">
        <f>VENTAS[[#This Row],[Cantidad]]*VENTAS[[#This Row],[Precio Venta]]</f>
        <v>0</v>
      </c>
      <c r="J1421" s="14">
        <f>IF(VENTAS[[#This Row],[Nombre del Gestor]]&gt;1,VENTAS[[#This Row],[Total]]*10%,0)</f>
        <v>0</v>
      </c>
      <c r="K1421" s="14">
        <f>IFERROR(VLOOKUP(VENTAS[[#This Row],[Código del producto Vendido]],STOCK[],16,FALSE)*VENTAS[[#This Row],[Cantidad]]+VLOOKUP(VENTAS[[#This Row],[Código del producto Vendido]],STOCK[],19,FALSE)*VENTAS[[#This Row],[Cantidad]],VENTAS[[#This Row],[Total]])</f>
        <v>0</v>
      </c>
      <c r="L1421" s="14">
        <f>VENTAS[[#This Row],[Total]]-VENTAS[[#This Row],[Comisión 10%]]-VENTAS[[#This Row],[Costo SIN Comision]]</f>
        <v>0</v>
      </c>
      <c r="M1421" s="14"/>
    </row>
    <row r="1422" ht="20" hidden="1" customHeight="1" spans="1:13">
      <c r="A1422" s="10">
        <v>45534</v>
      </c>
      <c r="B1422" s="11"/>
      <c r="C1422" s="11" t="s">
        <v>4406</v>
      </c>
      <c r="D1422" s="11" t="s">
        <v>4266</v>
      </c>
      <c r="E1422" s="11" t="s">
        <v>2511</v>
      </c>
      <c r="F1422" s="11" t="str">
        <f>IFERROR(VLOOKUP(VENTAS[[#This Row],[Código del producto Vendido]],STOCK[],5,FALSE),"-")</f>
        <v>Camisa elegante de listas</v>
      </c>
      <c r="G1422" s="11">
        <v>1</v>
      </c>
      <c r="H1422" s="14">
        <v>22</v>
      </c>
      <c r="I1422" s="14">
        <f>VENTAS[[#This Row],[Cantidad]]*VENTAS[[#This Row],[Precio Venta]]</f>
        <v>22</v>
      </c>
      <c r="J1422" s="14">
        <f>IF(VENTAS[[#This Row],[Nombre del Gestor]]&gt;1,VENTAS[[#This Row],[Total]]*10%,0)</f>
        <v>2.2</v>
      </c>
      <c r="K1422" s="14">
        <f>IFERROR(VLOOKUP(VENTAS[[#This Row],[Código del producto Vendido]],STOCK[],16,FALSE)*VENTAS[[#This Row],[Cantidad]]+VLOOKUP(VENTAS[[#This Row],[Código del producto Vendido]],STOCK[],19,FALSE)*VENTAS[[#This Row],[Cantidad]],VENTAS[[#This Row],[Total]])</f>
        <v>11.3</v>
      </c>
      <c r="L1422" s="14">
        <f>VENTAS[[#This Row],[Total]]-VENTAS[[#This Row],[Comisión 10%]]-VENTAS[[#This Row],[Costo SIN Comision]]</f>
        <v>8.5</v>
      </c>
      <c r="M1422" s="14"/>
    </row>
    <row r="1423" ht="20" hidden="1" customHeight="1" spans="1:13">
      <c r="A1423" s="10">
        <v>45534</v>
      </c>
      <c r="B1423" s="11"/>
      <c r="C1423" s="11"/>
      <c r="D1423" s="11" t="s">
        <v>4272</v>
      </c>
      <c r="E1423" s="11" t="s">
        <v>2533</v>
      </c>
      <c r="F1423" s="11" t="str">
        <f>IFERROR(VLOOKUP(VENTAS[[#This Row],[Código del producto Vendido]],STOCK[],5,FALSE),"-")</f>
        <v>Pullover corto unicolor carmelita</v>
      </c>
      <c r="G1423" s="11">
        <v>1</v>
      </c>
      <c r="H1423" s="14">
        <v>10</v>
      </c>
      <c r="I1423" s="14">
        <f>VENTAS[[#This Row],[Cantidad]]*VENTAS[[#This Row],[Precio Venta]]</f>
        <v>10</v>
      </c>
      <c r="J1423" s="14">
        <f>IF(VENTAS[[#This Row],[Nombre del Gestor]]&gt;1,VENTAS[[#This Row],[Total]]*10%,0)</f>
        <v>1</v>
      </c>
      <c r="K1423" s="14">
        <f>IFERROR(VLOOKUP(VENTAS[[#This Row],[Código del producto Vendido]],STOCK[],16,FALSE)*VENTAS[[#This Row],[Cantidad]]+VLOOKUP(VENTAS[[#This Row],[Código del producto Vendido]],STOCK[],19,FALSE)*VENTAS[[#This Row],[Cantidad]],VENTAS[[#This Row],[Total]])</f>
        <v>4.32</v>
      </c>
      <c r="L1423" s="14">
        <f>VENTAS[[#This Row],[Total]]-VENTAS[[#This Row],[Comisión 10%]]-VENTAS[[#This Row],[Costo SIN Comision]]</f>
        <v>4.68</v>
      </c>
      <c r="M1423" s="14"/>
    </row>
    <row r="1424" ht="20" hidden="1" customHeight="1" spans="1:13">
      <c r="A1424" s="10">
        <v>45534</v>
      </c>
      <c r="B1424" s="11"/>
      <c r="C1424" s="11"/>
      <c r="D1424" s="11" t="s">
        <v>4272</v>
      </c>
      <c r="E1424" s="11" t="s">
        <v>2537</v>
      </c>
      <c r="F1424" s="11" t="str">
        <f>IFERROR(VLOOKUP(VENTAS[[#This Row],[Código del producto Vendido]],STOCK[],5,FALSE),"-")</f>
        <v>Pullover corto unicolor blanco</v>
      </c>
      <c r="G1424" s="11">
        <v>1</v>
      </c>
      <c r="H1424" s="14">
        <v>10</v>
      </c>
      <c r="I1424" s="14">
        <f>VENTAS[[#This Row],[Cantidad]]*VENTAS[[#This Row],[Precio Venta]]</f>
        <v>10</v>
      </c>
      <c r="J1424" s="14">
        <f>IF(VENTAS[[#This Row],[Nombre del Gestor]]&gt;1,VENTAS[[#This Row],[Total]]*10%,0)</f>
        <v>1</v>
      </c>
      <c r="K1424" s="14">
        <f>IFERROR(VLOOKUP(VENTAS[[#This Row],[Código del producto Vendido]],STOCK[],16,FALSE)*VENTAS[[#This Row],[Cantidad]]+VLOOKUP(VENTAS[[#This Row],[Código del producto Vendido]],STOCK[],19,FALSE)*VENTAS[[#This Row],[Cantidad]],VENTAS[[#This Row],[Total]])</f>
        <v>4.32</v>
      </c>
      <c r="L1424" s="14">
        <f>VENTAS[[#This Row],[Total]]-VENTAS[[#This Row],[Comisión 10%]]-VENTAS[[#This Row],[Costo SIN Comision]]</f>
        <v>4.68</v>
      </c>
      <c r="M1424" s="14"/>
    </row>
    <row r="1425" ht="20" hidden="1" customHeight="1" spans="1:13">
      <c r="A1425" s="10">
        <v>45540</v>
      </c>
      <c r="B1425" s="11"/>
      <c r="C1425" s="11" t="s">
        <v>4407</v>
      </c>
      <c r="D1425" s="11" t="s">
        <v>4300</v>
      </c>
      <c r="E1425" s="11" t="s">
        <v>497</v>
      </c>
      <c r="F1425" s="11" t="str">
        <f>IFERROR(VLOOKUP(VENTAS[[#This Row],[Código del producto Vendido]],STOCK[],5,FALSE),"-")</f>
        <v>Bikini estampado de cebra</v>
      </c>
      <c r="G1425" s="11">
        <v>1</v>
      </c>
      <c r="H1425" s="14">
        <v>12</v>
      </c>
      <c r="I1425" s="14">
        <f>VENTAS[[#This Row],[Cantidad]]*VENTAS[[#This Row],[Precio Venta]]</f>
        <v>12</v>
      </c>
      <c r="J1425" s="14">
        <f>IF(VENTAS[[#This Row],[Nombre del Gestor]]&gt;1,VENTAS[[#This Row],[Total]]*10%,0)</f>
        <v>1.2</v>
      </c>
      <c r="K1425" s="14">
        <f>IFERROR(VLOOKUP(VENTAS[[#This Row],[Código del producto Vendido]],STOCK[],16,FALSE)*VENTAS[[#This Row],[Cantidad]]+VLOOKUP(VENTAS[[#This Row],[Código del producto Vendido]],STOCK[],19,FALSE)*VENTAS[[#This Row],[Cantidad]],VENTAS[[#This Row],[Total]])</f>
        <v>8.78722222222222</v>
      </c>
      <c r="L1425" s="14">
        <f>VENTAS[[#This Row],[Total]]-VENTAS[[#This Row],[Comisión 10%]]-VENTAS[[#This Row],[Costo SIN Comision]]</f>
        <v>2.01277777777778</v>
      </c>
      <c r="M1425" s="14"/>
    </row>
    <row r="1426" ht="20" hidden="1" customHeight="1" spans="1:13">
      <c r="A1426" s="10">
        <v>45540</v>
      </c>
      <c r="B1426" s="11"/>
      <c r="C1426" s="11" t="s">
        <v>4408</v>
      </c>
      <c r="D1426" s="11" t="s">
        <v>4300</v>
      </c>
      <c r="E1426" s="11" t="s">
        <v>817</v>
      </c>
      <c r="F1426" s="11" t="str">
        <f>IFERROR(VLOOKUP(VENTAS[[#This Row],[Código del producto Vendido]],STOCK[],5,FALSE),"-")</f>
        <v>Blusa verde menta vuelos</v>
      </c>
      <c r="G1426" s="11">
        <v>1</v>
      </c>
      <c r="H1426" s="14">
        <v>10</v>
      </c>
      <c r="I1426" s="14">
        <f>VENTAS[[#This Row],[Cantidad]]*VENTAS[[#This Row],[Precio Venta]]</f>
        <v>10</v>
      </c>
      <c r="J1426" s="14">
        <f>IF(VENTAS[[#This Row],[Nombre del Gestor]]&gt;1,VENTAS[[#This Row],[Total]]*10%,0)</f>
        <v>1</v>
      </c>
      <c r="K1426" s="14">
        <f>IFERROR(VLOOKUP(VENTAS[[#This Row],[Código del producto Vendido]],STOCK[],16,FALSE)*VENTAS[[#This Row],[Cantidad]]+VLOOKUP(VENTAS[[#This Row],[Código del producto Vendido]],STOCK[],19,FALSE)*VENTAS[[#This Row],[Cantidad]],VENTAS[[#This Row],[Total]])</f>
        <v>6.77777777777778</v>
      </c>
      <c r="L1426" s="14">
        <f>VENTAS[[#This Row],[Total]]-VENTAS[[#This Row],[Comisión 10%]]-VENTAS[[#This Row],[Costo SIN Comision]]</f>
        <v>2.22222222222222</v>
      </c>
      <c r="M1426" s="14"/>
    </row>
    <row r="1427" ht="20" hidden="1" customHeight="1" spans="1:13">
      <c r="A1427" s="10">
        <v>45540</v>
      </c>
      <c r="B1427" s="11"/>
      <c r="C1427" s="11" t="s">
        <v>4409</v>
      </c>
      <c r="D1427" s="11" t="s">
        <v>4284</v>
      </c>
      <c r="E1427" s="11" t="s">
        <v>817</v>
      </c>
      <c r="F1427" s="11" t="str">
        <f>IFERROR(VLOOKUP(VENTAS[[#This Row],[Código del producto Vendido]],STOCK[],5,FALSE),"-")</f>
        <v>Blusa verde menta vuelos</v>
      </c>
      <c r="G1427" s="11">
        <v>1</v>
      </c>
      <c r="H1427" s="14">
        <v>10</v>
      </c>
      <c r="I1427" s="14">
        <f>VENTAS[[#This Row],[Cantidad]]*VENTAS[[#This Row],[Precio Venta]]</f>
        <v>10</v>
      </c>
      <c r="J1427" s="14">
        <f>IF(VENTAS[[#This Row],[Nombre del Gestor]]&gt;1,VENTAS[[#This Row],[Total]]*10%,0)</f>
        <v>1</v>
      </c>
      <c r="K1427" s="14">
        <f>IFERROR(VLOOKUP(VENTAS[[#This Row],[Código del producto Vendido]],STOCK[],16,FALSE)*VENTAS[[#This Row],[Cantidad]]+VLOOKUP(VENTAS[[#This Row],[Código del producto Vendido]],STOCK[],19,FALSE)*VENTAS[[#This Row],[Cantidad]],VENTAS[[#This Row],[Total]])</f>
        <v>6.77777777777778</v>
      </c>
      <c r="L1427" s="14">
        <f>VENTAS[[#This Row],[Total]]-VENTAS[[#This Row],[Comisión 10%]]-VENTAS[[#This Row],[Costo SIN Comision]]</f>
        <v>2.22222222222222</v>
      </c>
      <c r="M1427" s="14"/>
    </row>
    <row r="1428" ht="20" hidden="1" customHeight="1" spans="1:13">
      <c r="A1428" s="10">
        <v>45539</v>
      </c>
      <c r="B1428" s="11"/>
      <c r="C1428" s="11" t="s">
        <v>4389</v>
      </c>
      <c r="D1428" s="11" t="s">
        <v>4284</v>
      </c>
      <c r="E1428" s="11" t="s">
        <v>2616</v>
      </c>
      <c r="F1428" s="11" t="str">
        <f>IFERROR(VLOOKUP(VENTAS[[#This Row],[Código del producto Vendido]],STOCK[],5,FALSE),"-")</f>
        <v>Vestido Blanco en Bordado Inglés</v>
      </c>
      <c r="G1428" s="11">
        <v>0</v>
      </c>
      <c r="H1428" s="14">
        <v>25</v>
      </c>
      <c r="I1428" s="14">
        <f>VENTAS[[#This Row],[Cantidad]]*VENTAS[[#This Row],[Precio Venta]]</f>
        <v>0</v>
      </c>
      <c r="J1428" s="14">
        <f>IF(VENTAS[[#This Row],[Nombre del Gestor]]&gt;1,VENTAS[[#This Row],[Total]]*10%,0)</f>
        <v>0</v>
      </c>
      <c r="K1428" s="14">
        <f>IFERROR(VLOOKUP(VENTAS[[#This Row],[Código del producto Vendido]],STOCK[],16,FALSE)*VENTAS[[#This Row],[Cantidad]]+VLOOKUP(VENTAS[[#This Row],[Código del producto Vendido]],STOCK[],19,FALSE)*VENTAS[[#This Row],[Cantidad]],VENTAS[[#This Row],[Total]])</f>
        <v>0</v>
      </c>
      <c r="L1428" s="14">
        <f>VENTAS[[#This Row],[Total]]-VENTAS[[#This Row],[Comisión 10%]]-VENTAS[[#This Row],[Costo SIN Comision]]</f>
        <v>0</v>
      </c>
      <c r="M1428" s="14"/>
    </row>
    <row r="1429" ht="20" hidden="1" customHeight="1" spans="1:13">
      <c r="A1429" s="10">
        <v>45542</v>
      </c>
      <c r="B1429" s="11"/>
      <c r="C1429" s="11" t="s">
        <v>4410</v>
      </c>
      <c r="D1429" s="11" t="s">
        <v>4300</v>
      </c>
      <c r="E1429" s="11" t="s">
        <v>2418</v>
      </c>
      <c r="F1429" s="11" t="str">
        <f>IFERROR(VLOOKUP(VENTAS[[#This Row],[Código del producto Vendido]],STOCK[],5,FALSE),"-")</f>
        <v>Camisa blanca en mezcla de algodón</v>
      </c>
      <c r="G1429" s="11">
        <v>0</v>
      </c>
      <c r="H1429" s="14">
        <v>25</v>
      </c>
      <c r="I1429" s="14">
        <f>VENTAS[[#This Row],[Cantidad]]*VENTAS[[#This Row],[Precio Venta]]</f>
        <v>0</v>
      </c>
      <c r="J1429" s="14">
        <f>IF(VENTAS[[#This Row],[Nombre del Gestor]]&gt;1,VENTAS[[#This Row],[Total]]*10%,0)</f>
        <v>0</v>
      </c>
      <c r="K1429" s="14">
        <f>IFERROR(VLOOKUP(VENTAS[[#This Row],[Código del producto Vendido]],STOCK[],16,FALSE)*VENTAS[[#This Row],[Cantidad]]+VLOOKUP(VENTAS[[#This Row],[Código del producto Vendido]],STOCK[],19,FALSE)*VENTAS[[#This Row],[Cantidad]],VENTAS[[#This Row],[Total]])</f>
        <v>0</v>
      </c>
      <c r="L1429" s="14">
        <f>VENTAS[[#This Row],[Total]]-VENTAS[[#This Row],[Comisión 10%]]-VENTAS[[#This Row],[Costo SIN Comision]]</f>
        <v>0</v>
      </c>
      <c r="M1429" s="14"/>
    </row>
    <row r="1430" ht="20" hidden="1" customHeight="1" spans="1:13">
      <c r="A1430" s="10">
        <v>45542</v>
      </c>
      <c r="B1430" s="11"/>
      <c r="C1430" s="11" t="s">
        <v>4411</v>
      </c>
      <c r="D1430" s="11" t="s">
        <v>4212</v>
      </c>
      <c r="E1430" s="11" t="s">
        <v>1614</v>
      </c>
      <c r="F1430" s="11" t="str">
        <f>IFERROR(VLOOKUP(VENTAS[[#This Row],[Código del producto Vendido]],STOCK[],5,FALSE),"-")</f>
        <v>Camisa Modely</v>
      </c>
      <c r="G1430" s="11">
        <v>1</v>
      </c>
      <c r="H1430" s="14">
        <v>20</v>
      </c>
      <c r="I1430" s="14">
        <f>VENTAS[[#This Row],[Cantidad]]*VENTAS[[#This Row],[Precio Venta]]</f>
        <v>20</v>
      </c>
      <c r="J1430" s="14">
        <f>IF(VENTAS[[#This Row],[Nombre del Gestor]]&gt;1,VENTAS[[#This Row],[Total]]*10%,0)</f>
        <v>2</v>
      </c>
      <c r="K1430" s="14">
        <f>IFERROR(VLOOKUP(VENTAS[[#This Row],[Código del producto Vendido]],STOCK[],16,FALSE)*VENTAS[[#This Row],[Cantidad]]+VLOOKUP(VENTAS[[#This Row],[Código del producto Vendido]],STOCK[],19,FALSE)*VENTAS[[#This Row],[Cantidad]],VENTAS[[#This Row],[Total]])</f>
        <v>9.74</v>
      </c>
      <c r="L1430" s="14">
        <f>VENTAS[[#This Row],[Total]]-VENTAS[[#This Row],[Comisión 10%]]-VENTAS[[#This Row],[Costo SIN Comision]]</f>
        <v>8.26</v>
      </c>
      <c r="M1430" s="14"/>
    </row>
    <row r="1431" ht="20" hidden="1" customHeight="1" spans="1:13">
      <c r="A1431" s="10">
        <v>45541</v>
      </c>
      <c r="B1431" s="11"/>
      <c r="C1431" s="11" t="s">
        <v>3250</v>
      </c>
      <c r="D1431" s="11"/>
      <c r="E1431" s="11" t="s">
        <v>1748</v>
      </c>
      <c r="F1431" s="11" t="str">
        <f>IFERROR(VLOOKUP(VENTAS[[#This Row],[Código del producto Vendido]],STOCK[],5,FALSE),"-")</f>
        <v>Traje de baño Oliva</v>
      </c>
      <c r="G1431" s="11">
        <v>1</v>
      </c>
      <c r="H1431" s="14">
        <v>0</v>
      </c>
      <c r="I1431" s="14">
        <f>VENTAS[[#This Row],[Cantidad]]*VENTAS[[#This Row],[Precio Venta]]</f>
        <v>0</v>
      </c>
      <c r="J1431" s="14">
        <f>IF(VENTAS[[#This Row],[Nombre del Gestor]]&gt;1,VENTAS[[#This Row],[Total]]*10%,0)</f>
        <v>0</v>
      </c>
      <c r="K1431" s="14">
        <f>IFERROR(VLOOKUP(VENTAS[[#This Row],[Código del producto Vendido]],STOCK[],16,FALSE)*VENTAS[[#This Row],[Cantidad]]+VLOOKUP(VENTAS[[#This Row],[Código del producto Vendido]],STOCK[],19,FALSE)*VENTAS[[#This Row],[Cantidad]],VENTAS[[#This Row],[Total]])</f>
        <v>29</v>
      </c>
      <c r="L1431" s="14">
        <f>VENTAS[[#This Row],[Total]]-VENTAS[[#This Row],[Comisión 10%]]-VENTAS[[#This Row],[Costo SIN Comision]]</f>
        <v>-29</v>
      </c>
      <c r="M1431" s="14"/>
    </row>
    <row r="1432" ht="20" hidden="1" customHeight="1" spans="1:13">
      <c r="A1432" s="10">
        <v>45541</v>
      </c>
      <c r="B1432" s="11"/>
      <c r="C1432" s="11" t="s">
        <v>4412</v>
      </c>
      <c r="D1432" s="11" t="s">
        <v>4266</v>
      </c>
      <c r="E1432" s="11" t="s">
        <v>1738</v>
      </c>
      <c r="F1432" s="11" t="str">
        <f>IFERROR(VLOOKUP(VENTAS[[#This Row],[Código del producto Vendido]],STOCK[],5,FALSE),"-")</f>
        <v>Chaleco de traje Blanco</v>
      </c>
      <c r="G1432" s="11">
        <v>0</v>
      </c>
      <c r="H1432" s="14">
        <v>25</v>
      </c>
      <c r="I1432" s="14">
        <f>VENTAS[[#This Row],[Cantidad]]*VENTAS[[#This Row],[Precio Venta]]</f>
        <v>0</v>
      </c>
      <c r="J1432" s="14">
        <f>IF(VENTAS[[#This Row],[Nombre del Gestor]]&gt;1,VENTAS[[#This Row],[Total]]*10%,0)</f>
        <v>0</v>
      </c>
      <c r="K1432" s="14">
        <f>IFERROR(VLOOKUP(VENTAS[[#This Row],[Código del producto Vendido]],STOCK[],16,FALSE)*VENTAS[[#This Row],[Cantidad]]+VLOOKUP(VENTAS[[#This Row],[Código del producto Vendido]],STOCK[],19,FALSE)*VENTAS[[#This Row],[Cantidad]],VENTAS[[#This Row],[Total]])</f>
        <v>0</v>
      </c>
      <c r="L1432" s="14">
        <f>VENTAS[[#This Row],[Total]]-VENTAS[[#This Row],[Comisión 10%]]-VENTAS[[#This Row],[Costo SIN Comision]]</f>
        <v>0</v>
      </c>
      <c r="M1432" s="14"/>
    </row>
    <row r="1433" ht="20" hidden="1" customHeight="1" spans="1:13">
      <c r="A1433" s="10">
        <v>45541</v>
      </c>
      <c r="B1433" s="11"/>
      <c r="C1433" s="11" t="s">
        <v>4412</v>
      </c>
      <c r="D1433" s="11" t="s">
        <v>4266</v>
      </c>
      <c r="E1433" s="11" t="s">
        <v>1735</v>
      </c>
      <c r="F1433" s="11" t="str">
        <f>IFERROR(VLOOKUP(VENTAS[[#This Row],[Código del producto Vendido]],STOCK[],5,FALSE),"-")</f>
        <v>Chaleco de traje Negro</v>
      </c>
      <c r="G1433" s="11">
        <v>1</v>
      </c>
      <c r="H1433" s="14">
        <v>25</v>
      </c>
      <c r="I1433" s="14">
        <f>VENTAS[[#This Row],[Cantidad]]*VENTAS[[#This Row],[Precio Venta]]</f>
        <v>25</v>
      </c>
      <c r="J1433" s="14">
        <f>IF(VENTAS[[#This Row],[Nombre del Gestor]]&gt;1,VENTAS[[#This Row],[Total]]*10%,0)</f>
        <v>2.5</v>
      </c>
      <c r="K1433" s="14">
        <f>IFERROR(VLOOKUP(VENTAS[[#This Row],[Código del producto Vendido]],STOCK[],16,FALSE)*VENTAS[[#This Row],[Cantidad]]+VLOOKUP(VENTAS[[#This Row],[Código del producto Vendido]],STOCK[],19,FALSE)*VENTAS[[#This Row],[Cantidad]],VENTAS[[#This Row],[Total]])</f>
        <v>17.9411764705882</v>
      </c>
      <c r="L1433" s="14">
        <f>VENTAS[[#This Row],[Total]]-VENTAS[[#This Row],[Comisión 10%]]-VENTAS[[#This Row],[Costo SIN Comision]]</f>
        <v>4.5588235294118</v>
      </c>
      <c r="M1433" s="14"/>
    </row>
    <row r="1434" ht="20" hidden="1" customHeight="1" spans="1:13">
      <c r="A1434" s="10">
        <v>45542</v>
      </c>
      <c r="B1434" s="11"/>
      <c r="C1434" s="11" t="s">
        <v>4411</v>
      </c>
      <c r="D1434" s="11" t="s">
        <v>4212</v>
      </c>
      <c r="E1434" s="11" t="s">
        <v>2633</v>
      </c>
      <c r="F1434" s="11" t="str">
        <f>IFERROR(VLOOKUP(VENTAS[[#This Row],[Código del producto Vendido]],STOCK[],5,FALSE),"-")</f>
        <v>Pantalón Caqui de Pierna Ancha De Talle Alto y Bolsillos H&amp;M</v>
      </c>
      <c r="G1434" s="11">
        <v>0</v>
      </c>
      <c r="H1434" s="14">
        <v>35</v>
      </c>
      <c r="I1434" s="14">
        <f>VENTAS[[#This Row],[Cantidad]]*VENTAS[[#This Row],[Precio Venta]]</f>
        <v>0</v>
      </c>
      <c r="J1434" s="14">
        <f>IF(VENTAS[[#This Row],[Nombre del Gestor]]&gt;1,VENTAS[[#This Row],[Total]]*10%,0)</f>
        <v>0</v>
      </c>
      <c r="K1434" s="14">
        <f>IFERROR(VLOOKUP(VENTAS[[#This Row],[Código del producto Vendido]],STOCK[],16,FALSE)*VENTAS[[#This Row],[Cantidad]]+VLOOKUP(VENTAS[[#This Row],[Código del producto Vendido]],STOCK[],19,FALSE)*VENTAS[[#This Row],[Cantidad]],VENTAS[[#This Row],[Total]])</f>
        <v>0</v>
      </c>
      <c r="L1434" s="14">
        <f>VENTAS[[#This Row],[Total]]-VENTAS[[#This Row],[Comisión 10%]]-VENTAS[[#This Row],[Costo SIN Comision]]</f>
        <v>0</v>
      </c>
      <c r="M1434" s="14"/>
    </row>
    <row r="1435" ht="20" hidden="1" customHeight="1" spans="1:13">
      <c r="A1435" s="10">
        <v>45541</v>
      </c>
      <c r="B1435" s="11"/>
      <c r="C1435" s="11" t="s">
        <v>4413</v>
      </c>
      <c r="D1435" s="11" t="s">
        <v>4212</v>
      </c>
      <c r="E1435" s="11" t="s">
        <v>2607</v>
      </c>
      <c r="F1435" s="11" t="str">
        <f>IFERROR(VLOOKUP(VENTAS[[#This Row],[Código del producto Vendido]],STOCK[],5,FALSE),"-")</f>
        <v>Vestido crema ajustado de hombro torcido</v>
      </c>
      <c r="G1435" s="11">
        <v>0</v>
      </c>
      <c r="H1435" s="14">
        <v>25</v>
      </c>
      <c r="I1435" s="14">
        <f>VENTAS[[#This Row],[Cantidad]]*VENTAS[[#This Row],[Precio Venta]]</f>
        <v>0</v>
      </c>
      <c r="J1435" s="14">
        <f>IF(VENTAS[[#This Row],[Nombre del Gestor]]&gt;1,VENTAS[[#This Row],[Total]]*10%,0)</f>
        <v>0</v>
      </c>
      <c r="K1435" s="14">
        <f>IFERROR(VLOOKUP(VENTAS[[#This Row],[Código del producto Vendido]],STOCK[],16,FALSE)*VENTAS[[#This Row],[Cantidad]]+VLOOKUP(VENTAS[[#This Row],[Código del producto Vendido]],STOCK[],19,FALSE)*VENTAS[[#This Row],[Cantidad]],VENTAS[[#This Row],[Total]])</f>
        <v>0</v>
      </c>
      <c r="L1435" s="14">
        <f>VENTAS[[#This Row],[Total]]-VENTAS[[#This Row],[Comisión 10%]]-VENTAS[[#This Row],[Costo SIN Comision]]</f>
        <v>0</v>
      </c>
      <c r="M1435" s="14"/>
    </row>
    <row r="1436" ht="20" hidden="1" customHeight="1" spans="1:13">
      <c r="A1436" s="10">
        <v>45541</v>
      </c>
      <c r="B1436" s="11"/>
      <c r="C1436" s="11" t="s">
        <v>4414</v>
      </c>
      <c r="D1436" s="11" t="s">
        <v>4241</v>
      </c>
      <c r="E1436" s="11" t="s">
        <v>2663</v>
      </c>
      <c r="F1436" s="11" t="str">
        <f>IFERROR(VLOOKUP(VENTAS[[#This Row],[Código del producto Vendido]],STOCK[],5,FALSE),"-")</f>
        <v>Pullover negro acanalado de algodón PRIMARK</v>
      </c>
      <c r="G1436" s="11">
        <v>1</v>
      </c>
      <c r="H1436" s="14">
        <v>13</v>
      </c>
      <c r="I1436" s="14">
        <f>VENTAS[[#This Row],[Cantidad]]*VENTAS[[#This Row],[Precio Venta]]</f>
        <v>13</v>
      </c>
      <c r="J1436" s="14">
        <f>IF(VENTAS[[#This Row],[Nombre del Gestor]]&gt;1,VENTAS[[#This Row],[Total]]*10%,0)</f>
        <v>1.3</v>
      </c>
      <c r="K1436" s="14">
        <f>IFERROR(VLOOKUP(VENTAS[[#This Row],[Código del producto Vendido]],STOCK[],16,FALSE)*VENTAS[[#This Row],[Cantidad]]+VLOOKUP(VENTAS[[#This Row],[Código del producto Vendido]],STOCK[],19,FALSE)*VENTAS[[#This Row],[Cantidad]],VENTAS[[#This Row],[Total]])</f>
        <v>7</v>
      </c>
      <c r="L1436" s="14">
        <f>VENTAS[[#This Row],[Total]]-VENTAS[[#This Row],[Comisión 10%]]-VENTAS[[#This Row],[Costo SIN Comision]]</f>
        <v>4.7</v>
      </c>
      <c r="M1436" s="14"/>
    </row>
    <row r="1437" ht="20" hidden="1" customHeight="1" spans="1:13">
      <c r="A1437" s="10">
        <v>45541</v>
      </c>
      <c r="B1437" s="11"/>
      <c r="C1437" s="11" t="s">
        <v>4414</v>
      </c>
      <c r="D1437" s="11" t="s">
        <v>4241</v>
      </c>
      <c r="E1437" s="11" t="s">
        <v>2545</v>
      </c>
      <c r="F1437" s="11" t="str">
        <f>IFERROR(VLOOKUP(VENTAS[[#This Row],[Código del producto Vendido]],STOCK[],5,FALSE),"-")</f>
        <v>Pullover largo unicolor tela traslúcida negro</v>
      </c>
      <c r="G1437" s="11">
        <v>1</v>
      </c>
      <c r="H1437" s="14">
        <v>10</v>
      </c>
      <c r="I1437" s="14">
        <f>VENTAS[[#This Row],[Cantidad]]*VENTAS[[#This Row],[Precio Venta]]</f>
        <v>10</v>
      </c>
      <c r="J1437" s="14">
        <f>IF(VENTAS[[#This Row],[Nombre del Gestor]]&gt;1,VENTAS[[#This Row],[Total]]*10%,0)</f>
        <v>1</v>
      </c>
      <c r="K1437" s="14">
        <f>IFERROR(VLOOKUP(VENTAS[[#This Row],[Código del producto Vendido]],STOCK[],16,FALSE)*VENTAS[[#This Row],[Cantidad]]+VLOOKUP(VENTAS[[#This Row],[Código del producto Vendido]],STOCK[],19,FALSE)*VENTAS[[#This Row],[Cantidad]],VENTAS[[#This Row],[Total]])</f>
        <v>4.32</v>
      </c>
      <c r="L1437" s="14">
        <f>VENTAS[[#This Row],[Total]]-VENTAS[[#This Row],[Comisión 10%]]-VENTAS[[#This Row],[Costo SIN Comision]]</f>
        <v>4.68</v>
      </c>
      <c r="M1437" s="14"/>
    </row>
    <row r="1438" ht="20" hidden="1" customHeight="1" spans="1:13">
      <c r="A1438" s="10">
        <v>45539</v>
      </c>
      <c r="B1438" s="11"/>
      <c r="C1438" s="11" t="s">
        <v>4415</v>
      </c>
      <c r="D1438" s="11" t="s">
        <v>4241</v>
      </c>
      <c r="E1438" s="11" t="s">
        <v>2491</v>
      </c>
      <c r="F1438" s="11" t="str">
        <f>IFERROR(VLOOKUP(VENTAS[[#This Row],[Código del producto Vendido]],STOCK[],5,FALSE),"-")</f>
        <v>Sandalias prácticas chunky blanco crema</v>
      </c>
      <c r="G1438" s="11">
        <v>1</v>
      </c>
      <c r="H1438" s="14">
        <v>35</v>
      </c>
      <c r="I1438" s="14">
        <f>VENTAS[[#This Row],[Cantidad]]*VENTAS[[#This Row],[Precio Venta]]</f>
        <v>35</v>
      </c>
      <c r="J1438" s="14">
        <f>IF(VENTAS[[#This Row],[Nombre del Gestor]]&gt;1,VENTAS[[#This Row],[Total]]*10%,0)</f>
        <v>3.5</v>
      </c>
      <c r="K1438" s="14">
        <f>IFERROR(VLOOKUP(VENTAS[[#This Row],[Código del producto Vendido]],STOCK[],16,FALSE)*VENTAS[[#This Row],[Cantidad]]+VLOOKUP(VENTAS[[#This Row],[Código del producto Vendido]],STOCK[],19,FALSE)*VENTAS[[#This Row],[Cantidad]],VENTAS[[#This Row],[Total]])</f>
        <v>24.2174</v>
      </c>
      <c r="L1438" s="14">
        <f>VENTAS[[#This Row],[Total]]-VENTAS[[#This Row],[Comisión 10%]]-VENTAS[[#This Row],[Costo SIN Comision]]</f>
        <v>7.2826</v>
      </c>
      <c r="M1438" s="14"/>
    </row>
    <row r="1439" ht="20" hidden="1" customHeight="1" spans="1:13">
      <c r="A1439" s="10">
        <v>45544</v>
      </c>
      <c r="B1439" s="11"/>
      <c r="C1439" s="11" t="s">
        <v>4416</v>
      </c>
      <c r="D1439" s="11" t="s">
        <v>4241</v>
      </c>
      <c r="E1439" s="11" t="s">
        <v>2453</v>
      </c>
      <c r="F1439" s="11" t="str">
        <f>IFERROR(VLOOKUP(VENTAS[[#This Row],[Código del producto Vendido]],STOCK[],5,FALSE),"-")</f>
        <v>Sandalias carmelitas de moda con correa de velcro</v>
      </c>
      <c r="G1439" s="11">
        <v>1</v>
      </c>
      <c r="H1439" s="14">
        <v>35</v>
      </c>
      <c r="I1439" s="14">
        <f>VENTAS[[#This Row],[Cantidad]]*VENTAS[[#This Row],[Precio Venta]]</f>
        <v>35</v>
      </c>
      <c r="J1439" s="14">
        <f>IF(VENTAS[[#This Row],[Nombre del Gestor]]&gt;1,VENTAS[[#This Row],[Total]]*10%,0)</f>
        <v>3.5</v>
      </c>
      <c r="K1439" s="14">
        <f>IFERROR(VLOOKUP(VENTAS[[#This Row],[Código del producto Vendido]],STOCK[],16,FALSE)*VENTAS[[#This Row],[Cantidad]]+VLOOKUP(VENTAS[[#This Row],[Código del producto Vendido]],STOCK[],19,FALSE)*VENTAS[[#This Row],[Cantidad]],VENTAS[[#This Row],[Total]])</f>
        <v>19.47</v>
      </c>
      <c r="L1439" s="14">
        <f>VENTAS[[#This Row],[Total]]-VENTAS[[#This Row],[Comisión 10%]]-VENTAS[[#This Row],[Costo SIN Comision]]</f>
        <v>12.03</v>
      </c>
      <c r="M1439" s="14"/>
    </row>
    <row r="1440" ht="20" hidden="1" customHeight="1" spans="1:13">
      <c r="A1440" s="10">
        <v>45542</v>
      </c>
      <c r="B1440" s="11"/>
      <c r="C1440" s="11" t="s">
        <v>4417</v>
      </c>
      <c r="D1440" s="11" t="s">
        <v>4365</v>
      </c>
      <c r="E1440" s="11" t="s">
        <v>966</v>
      </c>
      <c r="F1440" s="11" t="str">
        <f>IFERROR(VLOOKUP(VENTAS[[#This Row],[Código del producto Vendido]],STOCK[],5,FALSE),"-")</f>
        <v> Top Básico Business </v>
      </c>
      <c r="G1440" s="11">
        <v>1</v>
      </c>
      <c r="H1440" s="14">
        <v>10</v>
      </c>
      <c r="I1440" s="14">
        <f>VENTAS[[#This Row],[Cantidad]]*VENTAS[[#This Row],[Precio Venta]]</f>
        <v>10</v>
      </c>
      <c r="J1440" s="14">
        <f>IF(VENTAS[[#This Row],[Nombre del Gestor]]&gt;1,VENTAS[[#This Row],[Total]]*10%,0)</f>
        <v>1</v>
      </c>
      <c r="K1440" s="14">
        <f>IFERROR(VLOOKUP(VENTAS[[#This Row],[Código del producto Vendido]],STOCK[],16,FALSE)*VENTAS[[#This Row],[Cantidad]]+VLOOKUP(VENTAS[[#This Row],[Código del producto Vendido]],STOCK[],19,FALSE)*VENTAS[[#This Row],[Cantidad]],VENTAS[[#This Row],[Total]])</f>
        <v>6.78409090909091</v>
      </c>
      <c r="L1440" s="14">
        <f>VENTAS[[#This Row],[Total]]-VENTAS[[#This Row],[Comisión 10%]]-VENTAS[[#This Row],[Costo SIN Comision]]</f>
        <v>2.21590909090909</v>
      </c>
      <c r="M1440" s="14"/>
    </row>
    <row r="1441" ht="20" hidden="1" customHeight="1" spans="1:13">
      <c r="A1441" s="10">
        <v>45539</v>
      </c>
      <c r="B1441" s="11"/>
      <c r="C1441" s="11" t="s">
        <v>4418</v>
      </c>
      <c r="D1441" s="11" t="s">
        <v>4076</v>
      </c>
      <c r="E1441" s="11" t="s">
        <v>1293</v>
      </c>
      <c r="F1441" s="11" t="str">
        <f>IFERROR(VLOOKUP(VENTAS[[#This Row],[Código del producto Vendido]],STOCK[],5,FALSE),"-")</f>
        <v>Jean skinny oscuro </v>
      </c>
      <c r="G1441" s="11">
        <v>2</v>
      </c>
      <c r="H1441" s="14">
        <v>27</v>
      </c>
      <c r="I1441" s="14">
        <f>VENTAS[[#This Row],[Cantidad]]*VENTAS[[#This Row],[Precio Venta]]</f>
        <v>54</v>
      </c>
      <c r="J1441" s="14">
        <f>IF(VENTAS[[#This Row],[Nombre del Gestor]]&gt;1,VENTAS[[#This Row],[Total]]*10%,0)</f>
        <v>5.4</v>
      </c>
      <c r="K1441" s="14">
        <f>IFERROR(VLOOKUP(VENTAS[[#This Row],[Código del producto Vendido]],STOCK[],16,FALSE)*VENTAS[[#This Row],[Cantidad]]+VLOOKUP(VENTAS[[#This Row],[Código del producto Vendido]],STOCK[],19,FALSE)*VENTAS[[#This Row],[Cantidad]],VENTAS[[#This Row],[Total]])</f>
        <v>41.58</v>
      </c>
      <c r="L1441" s="14">
        <f>VENTAS[[#This Row],[Total]]-VENTAS[[#This Row],[Comisión 10%]]-VENTAS[[#This Row],[Costo SIN Comision]]</f>
        <v>7.02</v>
      </c>
      <c r="M1441" s="14"/>
    </row>
    <row r="1442" ht="20" hidden="1" customHeight="1" spans="1:13">
      <c r="A1442" s="10">
        <v>45539</v>
      </c>
      <c r="B1442" s="11"/>
      <c r="C1442" s="11" t="s">
        <v>4418</v>
      </c>
      <c r="D1442" s="11" t="s">
        <v>4076</v>
      </c>
      <c r="E1442" s="11" t="s">
        <v>1277</v>
      </c>
      <c r="F1442" s="11" t="str">
        <f>IFERROR(VLOOKUP(VENTAS[[#This Row],[Código del producto Vendido]],STOCK[],5,FALSE),"-")</f>
        <v>Top negro de cuello V con encaje</v>
      </c>
      <c r="G1442" s="11">
        <v>1</v>
      </c>
      <c r="H1442" s="14">
        <v>11</v>
      </c>
      <c r="I1442" s="14">
        <f>VENTAS[[#This Row],[Cantidad]]*VENTAS[[#This Row],[Precio Venta]]</f>
        <v>11</v>
      </c>
      <c r="J1442" s="14">
        <f>IF(VENTAS[[#This Row],[Nombre del Gestor]]&gt;1,VENTAS[[#This Row],[Total]]*10%,0)</f>
        <v>1.1</v>
      </c>
      <c r="K1442" s="14">
        <f>IFERROR(VLOOKUP(VENTAS[[#This Row],[Código del producto Vendido]],STOCK[],16,FALSE)*VENTAS[[#This Row],[Cantidad]]+VLOOKUP(VENTAS[[#This Row],[Código del producto Vendido]],STOCK[],19,FALSE)*VENTAS[[#This Row],[Cantidad]],VENTAS[[#This Row],[Total]])</f>
        <v>8.09</v>
      </c>
      <c r="L1442" s="14">
        <f>VENTAS[[#This Row],[Total]]-VENTAS[[#This Row],[Comisión 10%]]-VENTAS[[#This Row],[Costo SIN Comision]]</f>
        <v>1.81</v>
      </c>
      <c r="M1442" s="14"/>
    </row>
    <row r="1443" ht="20" hidden="1" customHeight="1" spans="1:13">
      <c r="A1443" s="10">
        <v>45539</v>
      </c>
      <c r="B1443" s="11"/>
      <c r="C1443" s="11" t="s">
        <v>4418</v>
      </c>
      <c r="D1443" s="11" t="s">
        <v>4076</v>
      </c>
      <c r="E1443" s="11" t="s">
        <v>1303</v>
      </c>
      <c r="F1443" s="11" t="str">
        <f>IFERROR(VLOOKUP(VENTAS[[#This Row],[Código del producto Vendido]],STOCK[],5,FALSE),"-")</f>
        <v>Jean ajustado Claro</v>
      </c>
      <c r="G1443" s="11">
        <v>2</v>
      </c>
      <c r="H1443" s="14">
        <v>27</v>
      </c>
      <c r="I1443" s="14">
        <f>VENTAS[[#This Row],[Cantidad]]*VENTAS[[#This Row],[Precio Venta]]</f>
        <v>54</v>
      </c>
      <c r="J1443" s="14">
        <f>IF(VENTAS[[#This Row],[Nombre del Gestor]]&gt;1,VENTAS[[#This Row],[Total]]*10%,0)</f>
        <v>5.4</v>
      </c>
      <c r="K1443" s="14">
        <f>IFERROR(VLOOKUP(VENTAS[[#This Row],[Código del producto Vendido]],STOCK[],16,FALSE)*VENTAS[[#This Row],[Cantidad]]+VLOOKUP(VENTAS[[#This Row],[Código del producto Vendido]],STOCK[],19,FALSE)*VENTAS[[#This Row],[Cantidad]],VENTAS[[#This Row],[Total]])</f>
        <v>47.58</v>
      </c>
      <c r="L1443" s="14">
        <f>VENTAS[[#This Row],[Total]]-VENTAS[[#This Row],[Comisión 10%]]-VENTAS[[#This Row],[Costo SIN Comision]]</f>
        <v>1.02</v>
      </c>
      <c r="M1443" s="14"/>
    </row>
    <row r="1444" ht="20" hidden="1" customHeight="1" spans="1:13">
      <c r="A1444" s="10">
        <v>45539</v>
      </c>
      <c r="B1444" s="11"/>
      <c r="C1444" s="11" t="s">
        <v>4418</v>
      </c>
      <c r="D1444" s="11" t="s">
        <v>4076</v>
      </c>
      <c r="E1444" s="11" t="s">
        <v>2533</v>
      </c>
      <c r="F1444" s="11" t="str">
        <f>IFERROR(VLOOKUP(VENTAS[[#This Row],[Código del producto Vendido]],STOCK[],5,FALSE),"-")</f>
        <v>Pullover corto unicolor carmelita</v>
      </c>
      <c r="G1444" s="11">
        <v>1</v>
      </c>
      <c r="H1444" s="14">
        <v>9</v>
      </c>
      <c r="I1444" s="14">
        <f>VENTAS[[#This Row],[Cantidad]]*VENTAS[[#This Row],[Precio Venta]]</f>
        <v>9</v>
      </c>
      <c r="J1444" s="14">
        <f>IF(VENTAS[[#This Row],[Nombre del Gestor]]&gt;1,VENTAS[[#This Row],[Total]]*10%,0)</f>
        <v>0.9</v>
      </c>
      <c r="K1444" s="14">
        <f>IFERROR(VLOOKUP(VENTAS[[#This Row],[Código del producto Vendido]],STOCK[],16,FALSE)*VENTAS[[#This Row],[Cantidad]]+VLOOKUP(VENTAS[[#This Row],[Código del producto Vendido]],STOCK[],19,FALSE)*VENTAS[[#This Row],[Cantidad]],VENTAS[[#This Row],[Total]])</f>
        <v>4.32</v>
      </c>
      <c r="L1444" s="14">
        <f>VENTAS[[#This Row],[Total]]-VENTAS[[#This Row],[Comisión 10%]]-VENTAS[[#This Row],[Costo SIN Comision]]</f>
        <v>3.78</v>
      </c>
      <c r="M1444" s="14"/>
    </row>
    <row r="1445" ht="20" hidden="1" customHeight="1" spans="1:13">
      <c r="A1445" s="10">
        <v>45539</v>
      </c>
      <c r="B1445" s="11"/>
      <c r="C1445" s="11" t="s">
        <v>4418</v>
      </c>
      <c r="D1445" s="11" t="s">
        <v>4076</v>
      </c>
      <c r="E1445" s="11" t="s">
        <v>2542</v>
      </c>
      <c r="F1445" s="11" t="str">
        <f>IFERROR(VLOOKUP(VENTAS[[#This Row],[Código del producto Vendido]],STOCK[],5,FALSE),"-")</f>
        <v>Pullover corto unicolor beige</v>
      </c>
      <c r="G1445" s="11">
        <v>1</v>
      </c>
      <c r="H1445" s="14">
        <v>9</v>
      </c>
      <c r="I1445" s="14">
        <f>VENTAS[[#This Row],[Cantidad]]*VENTAS[[#This Row],[Precio Venta]]</f>
        <v>9</v>
      </c>
      <c r="J1445" s="14">
        <f>IF(VENTAS[[#This Row],[Nombre del Gestor]]&gt;1,VENTAS[[#This Row],[Total]]*10%,0)</f>
        <v>0.9</v>
      </c>
      <c r="K1445" s="14">
        <f>IFERROR(VLOOKUP(VENTAS[[#This Row],[Código del producto Vendido]],STOCK[],16,FALSE)*VENTAS[[#This Row],[Cantidad]]+VLOOKUP(VENTAS[[#This Row],[Código del producto Vendido]],STOCK[],19,FALSE)*VENTAS[[#This Row],[Cantidad]],VENTAS[[#This Row],[Total]])</f>
        <v>4.32</v>
      </c>
      <c r="L1445" s="14">
        <f>VENTAS[[#This Row],[Total]]-VENTAS[[#This Row],[Comisión 10%]]-VENTAS[[#This Row],[Costo SIN Comision]]</f>
        <v>3.78</v>
      </c>
      <c r="M1445" s="14"/>
    </row>
    <row r="1446" ht="20" hidden="1" customHeight="1" spans="1:13">
      <c r="A1446" s="10">
        <v>45538</v>
      </c>
      <c r="B1446" s="11"/>
      <c r="C1446" s="11" t="s">
        <v>4419</v>
      </c>
      <c r="D1446" s="11" t="s">
        <v>4273</v>
      </c>
      <c r="E1446" s="11" t="s">
        <v>1703</v>
      </c>
      <c r="F1446" s="11" t="str">
        <f>IFERROR(VLOOKUP(VENTAS[[#This Row],[Código del producto Vendido]],STOCK[],5,FALSE),"-")</f>
        <v>Vestido Frente Drapeado Negro y Blanco</v>
      </c>
      <c r="G1446" s="11">
        <v>1</v>
      </c>
      <c r="H1446" s="14">
        <v>30</v>
      </c>
      <c r="I1446" s="14">
        <f>VENTAS[[#This Row],[Cantidad]]*VENTAS[[#This Row],[Precio Venta]]</f>
        <v>30</v>
      </c>
      <c r="J1446" s="14">
        <f>IF(VENTAS[[#This Row],[Nombre del Gestor]]&gt;1,VENTAS[[#This Row],[Total]]*10%,0)</f>
        <v>3</v>
      </c>
      <c r="K1446" s="14">
        <f>IFERROR(VLOOKUP(VENTAS[[#This Row],[Código del producto Vendido]],STOCK[],16,FALSE)*VENTAS[[#This Row],[Cantidad]]+VLOOKUP(VENTAS[[#This Row],[Código del producto Vendido]],STOCK[],19,FALSE)*VENTAS[[#This Row],[Cantidad]],VENTAS[[#This Row],[Total]])</f>
        <v>11.4</v>
      </c>
      <c r="L1446" s="14">
        <f>VENTAS[[#This Row],[Total]]-VENTAS[[#This Row],[Comisión 10%]]-VENTAS[[#This Row],[Costo SIN Comision]]</f>
        <v>15.6</v>
      </c>
      <c r="M1446" s="14"/>
    </row>
    <row r="1447" ht="20" hidden="1" customHeight="1" spans="1:13">
      <c r="A1447" s="10">
        <v>45537</v>
      </c>
      <c r="B1447" s="11"/>
      <c r="C1447" s="11"/>
      <c r="D1447" s="11" t="s">
        <v>4376</v>
      </c>
      <c r="E1447" s="11" t="s">
        <v>2448</v>
      </c>
      <c r="F1447" s="11" t="str">
        <f>IFERROR(VLOOKUP(VENTAS[[#This Row],[Código del producto Vendido]],STOCK[],5,FALSE),"-")</f>
        <v>Sandalias carmelitas de moda con correa de velcro</v>
      </c>
      <c r="G1447" s="11">
        <v>1</v>
      </c>
      <c r="H1447" s="14">
        <v>35</v>
      </c>
      <c r="I1447" s="14">
        <f>VENTAS[[#This Row],[Cantidad]]*VENTAS[[#This Row],[Precio Venta]]</f>
        <v>35</v>
      </c>
      <c r="J1447" s="14">
        <f>IF(VENTAS[[#This Row],[Nombre del Gestor]]&gt;1,VENTAS[[#This Row],[Total]]*10%,0)</f>
        <v>3.5</v>
      </c>
      <c r="K1447" s="14">
        <f>IFERROR(VLOOKUP(VENTAS[[#This Row],[Código del producto Vendido]],STOCK[],16,FALSE)*VENTAS[[#This Row],[Cantidad]]+VLOOKUP(VENTAS[[#This Row],[Código del producto Vendido]],STOCK[],19,FALSE)*VENTAS[[#This Row],[Cantidad]],VENTAS[[#This Row],[Total]])</f>
        <v>19.47</v>
      </c>
      <c r="L1447" s="14">
        <f>VENTAS[[#This Row],[Total]]-VENTAS[[#This Row],[Comisión 10%]]-VENTAS[[#This Row],[Costo SIN Comision]]</f>
        <v>12.03</v>
      </c>
      <c r="M1447" s="14"/>
    </row>
    <row r="1448" ht="20" hidden="1" customHeight="1" spans="1:13">
      <c r="A1448" s="10"/>
      <c r="B1448" s="11"/>
      <c r="C1448" s="11"/>
      <c r="D1448" s="11" t="s">
        <v>4420</v>
      </c>
      <c r="E1448" s="11" t="s">
        <v>2288</v>
      </c>
      <c r="F1448" s="11" t="str">
        <f>IFERROR(VLOOKUP(VENTAS[[#This Row],[Código del producto Vendido]],STOCK[],5,FALSE),"-")</f>
        <v>Bolso de lona en bloque de color</v>
      </c>
      <c r="G1448" s="11">
        <v>1</v>
      </c>
      <c r="H1448" s="14">
        <v>10.8</v>
      </c>
      <c r="I1448" s="14">
        <f>VENTAS[[#This Row],[Cantidad]]*VENTAS[[#This Row],[Precio Venta]]</f>
        <v>10.8</v>
      </c>
      <c r="J1448" s="14">
        <f>IF(VENTAS[[#This Row],[Nombre del Gestor]]&gt;1,VENTAS[[#This Row],[Total]]*10%,0)</f>
        <v>1.08</v>
      </c>
      <c r="K1448" s="14">
        <f>IFERROR(VLOOKUP(VENTAS[[#This Row],[Código del producto Vendido]],STOCK[],16,FALSE)*VENTAS[[#This Row],[Cantidad]]+VLOOKUP(VENTAS[[#This Row],[Código del producto Vendido]],STOCK[],19,FALSE)*VENTAS[[#This Row],[Cantidad]],VENTAS[[#This Row],[Total]])</f>
        <v>5.54</v>
      </c>
      <c r="L1448" s="14">
        <f>VENTAS[[#This Row],[Total]]-VENTAS[[#This Row],[Comisión 10%]]-VENTAS[[#This Row],[Costo SIN Comision]]</f>
        <v>4.18</v>
      </c>
      <c r="M1448" s="14"/>
    </row>
    <row r="1449" ht="20" hidden="1" customHeight="1" spans="1:13">
      <c r="A1449" s="10"/>
      <c r="B1449" s="11"/>
      <c r="C1449" s="11"/>
      <c r="D1449" s="11" t="s">
        <v>4365</v>
      </c>
      <c r="E1449" s="11" t="s">
        <v>2546</v>
      </c>
      <c r="F1449" s="11" t="str">
        <f>IFERROR(VLOOKUP(VENTAS[[#This Row],[Código del producto Vendido]],STOCK[],5,FALSE),"-")</f>
        <v>Pullover largo unicolor tela traslúcida negro</v>
      </c>
      <c r="G1449" s="11">
        <v>1</v>
      </c>
      <c r="H1449" s="14">
        <v>10</v>
      </c>
      <c r="I1449" s="14">
        <f>VENTAS[[#This Row],[Cantidad]]*VENTAS[[#This Row],[Precio Venta]]</f>
        <v>10</v>
      </c>
      <c r="J1449" s="14">
        <f>IF(VENTAS[[#This Row],[Nombre del Gestor]]&gt;1,VENTAS[[#This Row],[Total]]*10%,0)</f>
        <v>1</v>
      </c>
      <c r="K1449" s="14">
        <f>IFERROR(VLOOKUP(VENTAS[[#This Row],[Código del producto Vendido]],STOCK[],16,FALSE)*VENTAS[[#This Row],[Cantidad]]+VLOOKUP(VENTAS[[#This Row],[Código del producto Vendido]],STOCK[],19,FALSE)*VENTAS[[#This Row],[Cantidad]],VENTAS[[#This Row],[Total]])</f>
        <v>4.32</v>
      </c>
      <c r="L1449" s="14">
        <f>VENTAS[[#This Row],[Total]]-VENTAS[[#This Row],[Comisión 10%]]-VENTAS[[#This Row],[Costo SIN Comision]]</f>
        <v>4.68</v>
      </c>
      <c r="M1449" s="14"/>
    </row>
    <row r="1450" ht="20" hidden="1" customHeight="1" spans="1:13">
      <c r="A1450" s="10"/>
      <c r="B1450" s="11"/>
      <c r="C1450" s="11"/>
      <c r="D1450" s="11" t="s">
        <v>4365</v>
      </c>
      <c r="E1450" s="11" t="s">
        <v>2550</v>
      </c>
      <c r="F1450" s="11" t="str">
        <f>IFERROR(VLOOKUP(VENTAS[[#This Row],[Código del producto Vendido]],STOCK[],5,FALSE),"-")</f>
        <v>Pullover largo unicolor tela traslúcida terracota</v>
      </c>
      <c r="G1450" s="11">
        <v>0</v>
      </c>
      <c r="H1450" s="14">
        <v>10</v>
      </c>
      <c r="I1450" s="14">
        <f>VENTAS[[#This Row],[Cantidad]]*VENTAS[[#This Row],[Precio Venta]]</f>
        <v>0</v>
      </c>
      <c r="J1450" s="14">
        <f>IF(VENTAS[[#This Row],[Nombre del Gestor]]&gt;1,VENTAS[[#This Row],[Total]]*10%,0)</f>
        <v>0</v>
      </c>
      <c r="K1450" s="14">
        <f>IFERROR(VLOOKUP(VENTAS[[#This Row],[Código del producto Vendido]],STOCK[],16,FALSE)*VENTAS[[#This Row],[Cantidad]]+VLOOKUP(VENTAS[[#This Row],[Código del producto Vendido]],STOCK[],19,FALSE)*VENTAS[[#This Row],[Cantidad]],VENTAS[[#This Row],[Total]])</f>
        <v>0</v>
      </c>
      <c r="L1450" s="14">
        <f>VENTAS[[#This Row],[Total]]-VENTAS[[#This Row],[Comisión 10%]]-VENTAS[[#This Row],[Costo SIN Comision]]</f>
        <v>0</v>
      </c>
      <c r="M1450" s="14"/>
    </row>
    <row r="1451" ht="20" hidden="1" customHeight="1" spans="1:13">
      <c r="A1451" s="10"/>
      <c r="B1451" s="11"/>
      <c r="C1451" s="11"/>
      <c r="D1451" s="11" t="s">
        <v>4365</v>
      </c>
      <c r="E1451" s="11" t="s">
        <v>2553</v>
      </c>
      <c r="F1451" s="11" t="str">
        <f>IFERROR(VLOOKUP(VENTAS[[#This Row],[Código del producto Vendido]],STOCK[],5,FALSE),"-")</f>
        <v>Pullover largo unicolor tela traslúcida beige</v>
      </c>
      <c r="G1451" s="11">
        <v>1</v>
      </c>
      <c r="H1451" s="14">
        <v>10</v>
      </c>
      <c r="I1451" s="14">
        <f>VENTAS[[#This Row],[Cantidad]]*VENTAS[[#This Row],[Precio Venta]]</f>
        <v>10</v>
      </c>
      <c r="J1451" s="14">
        <f>IF(VENTAS[[#This Row],[Nombre del Gestor]]&gt;1,VENTAS[[#This Row],[Total]]*10%,0)</f>
        <v>1</v>
      </c>
      <c r="K1451" s="14">
        <f>IFERROR(VLOOKUP(VENTAS[[#This Row],[Código del producto Vendido]],STOCK[],16,FALSE)*VENTAS[[#This Row],[Cantidad]]+VLOOKUP(VENTAS[[#This Row],[Código del producto Vendido]],STOCK[],19,FALSE)*VENTAS[[#This Row],[Cantidad]],VENTAS[[#This Row],[Total]])</f>
        <v>4.32</v>
      </c>
      <c r="L1451" s="14">
        <f>VENTAS[[#This Row],[Total]]-VENTAS[[#This Row],[Comisión 10%]]-VENTAS[[#This Row],[Costo SIN Comision]]</f>
        <v>4.68</v>
      </c>
      <c r="M1451" s="14"/>
    </row>
    <row r="1452" ht="20" hidden="1" customHeight="1" spans="1:13">
      <c r="A1452" s="10">
        <v>45544</v>
      </c>
      <c r="B1452" s="11"/>
      <c r="C1452" s="11"/>
      <c r="D1452" s="11" t="s">
        <v>4212</v>
      </c>
      <c r="E1452" s="11" t="s">
        <v>2718</v>
      </c>
      <c r="F1452" s="11" t="str">
        <f>IFERROR(VLOOKUP(VENTAS[[#This Row],[Código del producto Vendido]],STOCK[],5,FALSE),"-")</f>
        <v>Chaleco Healter color crema y botones coral H&amp;M</v>
      </c>
      <c r="G1452" s="11">
        <v>0</v>
      </c>
      <c r="H1452" s="14">
        <v>30</v>
      </c>
      <c r="I1452" s="14">
        <f>VENTAS[[#This Row],[Cantidad]]*VENTAS[[#This Row],[Precio Venta]]</f>
        <v>0</v>
      </c>
      <c r="J1452" s="14">
        <f>IF(VENTAS[[#This Row],[Nombre del Gestor]]&gt;1,VENTAS[[#This Row],[Total]]*10%,0)</f>
        <v>0</v>
      </c>
      <c r="K1452" s="14">
        <f>IFERROR(VLOOKUP(VENTAS[[#This Row],[Código del producto Vendido]],STOCK[],16,FALSE)*VENTAS[[#This Row],[Cantidad]]+VLOOKUP(VENTAS[[#This Row],[Código del producto Vendido]],STOCK[],19,FALSE)*VENTAS[[#This Row],[Cantidad]],VENTAS[[#This Row],[Total]])</f>
        <v>0</v>
      </c>
      <c r="L1452" s="14">
        <f>VENTAS[[#This Row],[Total]]-VENTAS[[#This Row],[Comisión 10%]]-VENTAS[[#This Row],[Costo SIN Comision]]</f>
        <v>0</v>
      </c>
      <c r="M1452" s="14"/>
    </row>
    <row r="1453" ht="20" hidden="1" customHeight="1" spans="1:13">
      <c r="A1453" s="10">
        <v>45544</v>
      </c>
      <c r="B1453" s="11"/>
      <c r="C1453" s="11"/>
      <c r="D1453" s="11" t="s">
        <v>4212</v>
      </c>
      <c r="E1453" s="11" t="s">
        <v>2359</v>
      </c>
      <c r="F1453" s="11" t="str">
        <f>IFERROR(VLOOKUP(VENTAS[[#This Row],[Código del producto Vendido]],STOCK[],5,FALSE),"-")</f>
        <v>Espejuelos rectangulares unisex</v>
      </c>
      <c r="G1453" s="11">
        <v>0</v>
      </c>
      <c r="H1453" s="14">
        <v>10</v>
      </c>
      <c r="I1453" s="14">
        <f>VENTAS[[#This Row],[Cantidad]]*VENTAS[[#This Row],[Precio Venta]]</f>
        <v>0</v>
      </c>
      <c r="J1453" s="14">
        <f>IF(VENTAS[[#This Row],[Nombre del Gestor]]&gt;1,VENTAS[[#This Row],[Total]]*10%,0)</f>
        <v>0</v>
      </c>
      <c r="K1453" s="14">
        <f>IFERROR(VLOOKUP(VENTAS[[#This Row],[Código del producto Vendido]],STOCK[],16,FALSE)*VENTAS[[#This Row],[Cantidad]]+VLOOKUP(VENTAS[[#This Row],[Código del producto Vendido]],STOCK[],19,FALSE)*VENTAS[[#This Row],[Cantidad]],VENTAS[[#This Row],[Total]])</f>
        <v>0</v>
      </c>
      <c r="L1453" s="14">
        <f>VENTAS[[#This Row],[Total]]-VENTAS[[#This Row],[Comisión 10%]]-VENTAS[[#This Row],[Costo SIN Comision]]</f>
        <v>0</v>
      </c>
      <c r="M1453" s="14"/>
    </row>
    <row r="1454" ht="20" hidden="1" customHeight="1" spans="1:13">
      <c r="A1454" s="10"/>
      <c r="B1454" s="11"/>
      <c r="C1454" s="11" t="s">
        <v>4246</v>
      </c>
      <c r="D1454" s="11"/>
      <c r="E1454" s="11" t="s">
        <v>790</v>
      </c>
      <c r="F1454" s="11" t="str">
        <f>IFERROR(VLOOKUP(VENTAS[[#This Row],[Código del producto Vendido]],STOCK[],5,FALSE),"-")</f>
        <v>Visera rosa</v>
      </c>
      <c r="G1454" s="11">
        <v>1</v>
      </c>
      <c r="H1454" s="14">
        <v>0</v>
      </c>
      <c r="I1454" s="14">
        <f>VENTAS[[#This Row],[Cantidad]]*VENTAS[[#This Row],[Precio Venta]]</f>
        <v>0</v>
      </c>
      <c r="J1454" s="14">
        <f>IF(VENTAS[[#This Row],[Nombre del Gestor]]&gt;1,VENTAS[[#This Row],[Total]]*10%,0)</f>
        <v>0</v>
      </c>
      <c r="K1454" s="14">
        <f>IFERROR(VLOOKUP(VENTAS[[#This Row],[Código del producto Vendido]],STOCK[],16,FALSE)*VENTAS[[#This Row],[Cantidad]]+VLOOKUP(VENTAS[[#This Row],[Código del producto Vendido]],STOCK[],19,FALSE)*VENTAS[[#This Row],[Cantidad]],VENTAS[[#This Row],[Total]])</f>
        <v>11.5555555555556</v>
      </c>
      <c r="L1454" s="14">
        <f>VENTAS[[#This Row],[Total]]-VENTAS[[#This Row],[Comisión 10%]]-VENTAS[[#This Row],[Costo SIN Comision]]</f>
        <v>-11.5555555555556</v>
      </c>
      <c r="M1454" s="14"/>
    </row>
    <row r="1455" ht="20" hidden="1" customHeight="1" spans="1:13">
      <c r="A1455" s="10">
        <v>45557</v>
      </c>
      <c r="B1455" s="11"/>
      <c r="C1455" s="11" t="s">
        <v>4421</v>
      </c>
      <c r="D1455" s="11" t="s">
        <v>4266</v>
      </c>
      <c r="E1455" s="11" t="s">
        <v>2618</v>
      </c>
      <c r="F1455" s="11" t="str">
        <f>IFERROR(VLOOKUP(VENTAS[[#This Row],[Código del producto Vendido]],STOCK[],5,FALSE),"-")</f>
        <v>Vestido Blanco en Bordado Inglés</v>
      </c>
      <c r="G1455" s="11">
        <v>1</v>
      </c>
      <c r="H1455" s="14">
        <v>25</v>
      </c>
      <c r="I1455" s="14">
        <f>VENTAS[[#This Row],[Cantidad]]*VENTAS[[#This Row],[Precio Venta]]</f>
        <v>25</v>
      </c>
      <c r="J1455" s="14">
        <f>IF(VENTAS[[#This Row],[Nombre del Gestor]]&gt;1,VENTAS[[#This Row],[Total]]*10%,0)</f>
        <v>2.5</v>
      </c>
      <c r="K1455" s="14">
        <f>IFERROR(VLOOKUP(VENTAS[[#This Row],[Código del producto Vendido]],STOCK[],16,FALSE)*VENTAS[[#This Row],[Cantidad]]+VLOOKUP(VENTAS[[#This Row],[Código del producto Vendido]],STOCK[],19,FALSE)*VENTAS[[#This Row],[Cantidad]],VENTAS[[#This Row],[Total]])</f>
        <v>13.48</v>
      </c>
      <c r="L1455" s="14">
        <f>VENTAS[[#This Row],[Total]]-VENTAS[[#This Row],[Comisión 10%]]-VENTAS[[#This Row],[Costo SIN Comision]]</f>
        <v>9.02</v>
      </c>
      <c r="M1455" s="14"/>
    </row>
    <row r="1456" ht="20" hidden="1" customHeight="1" spans="1:13">
      <c r="A1456" s="10"/>
      <c r="B1456" s="11"/>
      <c r="C1456" s="11" t="s">
        <v>4422</v>
      </c>
      <c r="D1456" s="11" t="s">
        <v>4212</v>
      </c>
      <c r="E1456" s="11" t="s">
        <v>2741</v>
      </c>
      <c r="F1456" s="11" t="str">
        <f>IFERROR(VLOOKUP(VENTAS[[#This Row],[Código del producto Vendido]],STOCK[],5,FALSE),"-")</f>
        <v>Sandalias planas de moda de punta cuadrada (encargo)</v>
      </c>
      <c r="G1456" s="11">
        <v>1</v>
      </c>
      <c r="H1456" s="14">
        <v>12</v>
      </c>
      <c r="I1456" s="14">
        <f>VENTAS[[#This Row],[Cantidad]]*VENTAS[[#This Row],[Precio Venta]]</f>
        <v>12</v>
      </c>
      <c r="J1456" s="14">
        <f>IF(VENTAS[[#This Row],[Nombre del Gestor]]&gt;1,VENTAS[[#This Row],[Total]]*10%,0)</f>
        <v>1.2</v>
      </c>
      <c r="K1456" s="14">
        <f>IFERROR(VLOOKUP(VENTAS[[#This Row],[Código del producto Vendido]],STOCK[],16,FALSE)*VENTAS[[#This Row],[Cantidad]]+VLOOKUP(VENTAS[[#This Row],[Código del producto Vendido]],STOCK[],19,FALSE)*VENTAS[[#This Row],[Cantidad]],VENTAS[[#This Row],[Total]])</f>
        <v>8.34</v>
      </c>
      <c r="L1456" s="14">
        <f>VENTAS[[#This Row],[Total]]-VENTAS[[#This Row],[Comisión 10%]]-VENTAS[[#This Row],[Costo SIN Comision]]</f>
        <v>2.46</v>
      </c>
      <c r="M1456" s="14"/>
    </row>
    <row r="1457" ht="20" hidden="1" customHeight="1" spans="1:13">
      <c r="A1457" s="10"/>
      <c r="B1457" s="11"/>
      <c r="C1457" s="11" t="s">
        <v>4079</v>
      </c>
      <c r="D1457" s="11" t="s">
        <v>4076</v>
      </c>
      <c r="E1457" s="11" t="s">
        <v>2748</v>
      </c>
      <c r="F1457" s="11" t="str">
        <f>IFERROR(VLOOKUP(VENTAS[[#This Row],[Código del producto Vendido]],STOCK[],5,FALSE),"-")</f>
        <v>Yoga Sexy Set Deportivo con abertura trasera color Albaricoque</v>
      </c>
      <c r="G1457" s="11">
        <v>1</v>
      </c>
      <c r="H1457" s="14">
        <v>35</v>
      </c>
      <c r="I1457" s="14">
        <f>VENTAS[[#This Row],[Cantidad]]*VENTAS[[#This Row],[Precio Venta]]</f>
        <v>35</v>
      </c>
      <c r="J1457" s="14">
        <f>IF(VENTAS[[#This Row],[Nombre del Gestor]]&gt;1,VENTAS[[#This Row],[Total]]*10%,0)</f>
        <v>3.5</v>
      </c>
      <c r="K1457" s="14">
        <f>IFERROR(VLOOKUP(VENTAS[[#This Row],[Código del producto Vendido]],STOCK[],16,FALSE)*VENTAS[[#This Row],[Cantidad]]+VLOOKUP(VENTAS[[#This Row],[Código del producto Vendido]],STOCK[],19,FALSE)*VENTAS[[#This Row],[Cantidad]],VENTAS[[#This Row],[Total]])</f>
        <v>14.52</v>
      </c>
      <c r="L1457" s="14">
        <f>VENTAS[[#This Row],[Total]]-VENTAS[[#This Row],[Comisión 10%]]-VENTAS[[#This Row],[Costo SIN Comision]]</f>
        <v>16.98</v>
      </c>
      <c r="M1457" s="14"/>
    </row>
    <row r="1458" ht="20" hidden="1" customHeight="1" spans="1:13">
      <c r="A1458" s="10">
        <v>45548</v>
      </c>
      <c r="B1458" s="11"/>
      <c r="C1458" s="11" t="s">
        <v>4423</v>
      </c>
      <c r="D1458" s="11" t="s">
        <v>4241</v>
      </c>
      <c r="E1458" s="11" t="s">
        <v>2760</v>
      </c>
      <c r="F1458" s="11" t="str">
        <f>IFERROR(VLOOKUP(VENTAS[[#This Row],[Código del producto Vendido]],STOCK[],5,FALSE),"-")</f>
        <v>Vestido semiformal de hombros torcidos color naranja</v>
      </c>
      <c r="G1458" s="11">
        <v>0</v>
      </c>
      <c r="H1458" s="14">
        <v>25</v>
      </c>
      <c r="I1458" s="14">
        <f>VENTAS[[#This Row],[Cantidad]]*VENTAS[[#This Row],[Precio Venta]]</f>
        <v>0</v>
      </c>
      <c r="J1458" s="14">
        <f>IF(VENTAS[[#This Row],[Nombre del Gestor]]&gt;1,VENTAS[[#This Row],[Total]]*10%,0)</f>
        <v>0</v>
      </c>
      <c r="K1458" s="14">
        <f>IFERROR(VLOOKUP(VENTAS[[#This Row],[Código del producto Vendido]],STOCK[],16,FALSE)*VENTAS[[#This Row],[Cantidad]]+VLOOKUP(VENTAS[[#This Row],[Código del producto Vendido]],STOCK[],19,FALSE)*VENTAS[[#This Row],[Cantidad]],VENTAS[[#This Row],[Total]])</f>
        <v>0</v>
      </c>
      <c r="L1458" s="14">
        <f>VENTAS[[#This Row],[Total]]-VENTAS[[#This Row],[Comisión 10%]]-VENTAS[[#This Row],[Costo SIN Comision]]</f>
        <v>0</v>
      </c>
      <c r="M1458" s="14"/>
    </row>
    <row r="1459" ht="20" hidden="1" customHeight="1" spans="1:13">
      <c r="A1459" s="10"/>
      <c r="B1459" s="11"/>
      <c r="C1459" s="11"/>
      <c r="D1459" s="11" t="s">
        <v>4424</v>
      </c>
      <c r="E1459" s="11" t="s">
        <v>2418</v>
      </c>
      <c r="F1459" s="11" t="str">
        <f>IFERROR(VLOOKUP(VENTAS[[#This Row],[Código del producto Vendido]],STOCK[],5,FALSE),"-")</f>
        <v>Camisa blanca en mezcla de algodón</v>
      </c>
      <c r="G1459" s="11">
        <v>1</v>
      </c>
      <c r="H1459" s="14">
        <v>25</v>
      </c>
      <c r="I1459" s="14">
        <f>VENTAS[[#This Row],[Cantidad]]*VENTAS[[#This Row],[Precio Venta]]</f>
        <v>25</v>
      </c>
      <c r="J1459" s="14">
        <f>IF(VENTAS[[#This Row],[Nombre del Gestor]]&gt;1,VENTAS[[#This Row],[Total]]*10%,0)</f>
        <v>2.5</v>
      </c>
      <c r="K1459" s="14">
        <f>IFERROR(VLOOKUP(VENTAS[[#This Row],[Código del producto Vendido]],STOCK[],16,FALSE)*VENTAS[[#This Row],[Cantidad]]+VLOOKUP(VENTAS[[#This Row],[Código del producto Vendido]],STOCK[],19,FALSE)*VENTAS[[#This Row],[Cantidad]],VENTAS[[#This Row],[Total]])</f>
        <v>17.7808108108108</v>
      </c>
      <c r="L1459" s="14">
        <f>VENTAS[[#This Row],[Total]]-VENTAS[[#This Row],[Comisión 10%]]-VENTAS[[#This Row],[Costo SIN Comision]]</f>
        <v>4.7191891891892</v>
      </c>
      <c r="M1459" s="14"/>
    </row>
    <row r="1460" ht="20" hidden="1" customHeight="1" spans="1:13">
      <c r="A1460" s="10"/>
      <c r="B1460" s="11"/>
      <c r="C1460" s="11" t="s">
        <v>4425</v>
      </c>
      <c r="D1460" s="11" t="s">
        <v>4222</v>
      </c>
      <c r="E1460" s="11" t="s">
        <v>2126</v>
      </c>
      <c r="F1460" s="11" t="str">
        <f>IFERROR(VLOOKUP(VENTAS[[#This Row],[Código del producto Vendido]],STOCK[],5,FALSE),"-")</f>
        <v>Set de traje de baño elegante 2 piezas con adorno en forma de V</v>
      </c>
      <c r="G1460" s="11">
        <v>1</v>
      </c>
      <c r="H1460" s="14">
        <v>25</v>
      </c>
      <c r="I1460" s="14">
        <f>VENTAS[[#This Row],[Cantidad]]*VENTAS[[#This Row],[Precio Venta]]</f>
        <v>25</v>
      </c>
      <c r="J1460" s="14">
        <f>IF(VENTAS[[#This Row],[Nombre del Gestor]]&gt;1,VENTAS[[#This Row],[Total]]*10%,0)</f>
        <v>2.5</v>
      </c>
      <c r="K1460" s="14">
        <f>IFERROR(VLOOKUP(VENTAS[[#This Row],[Código del producto Vendido]],STOCK[],16,FALSE)*VENTAS[[#This Row],[Cantidad]]+VLOOKUP(VENTAS[[#This Row],[Código del producto Vendido]],STOCK[],19,FALSE)*VENTAS[[#This Row],[Cantidad]],VENTAS[[#This Row],[Total]])</f>
        <v>11.21</v>
      </c>
      <c r="L1460" s="14">
        <f>VENTAS[[#This Row],[Total]]-VENTAS[[#This Row],[Comisión 10%]]-VENTAS[[#This Row],[Costo SIN Comision]]</f>
        <v>11.29</v>
      </c>
      <c r="M1460" s="14"/>
    </row>
    <row r="1461" ht="20" hidden="1" customHeight="1" spans="1:13">
      <c r="A1461" s="10">
        <v>45553</v>
      </c>
      <c r="B1461" s="11"/>
      <c r="C1461" s="11" t="s">
        <v>4426</v>
      </c>
      <c r="D1461" s="11" t="s">
        <v>4427</v>
      </c>
      <c r="E1461" s="11" t="s">
        <v>2114</v>
      </c>
      <c r="F1461" s="11" t="str">
        <f>IFERROR(VLOOKUP(VENTAS[[#This Row],[Código del producto Vendido]],STOCK[],5,FALSE),"-")</f>
        <v>Flor TOTE fashion bag</v>
      </c>
      <c r="G1461" s="11">
        <v>0</v>
      </c>
      <c r="H1461" s="14">
        <v>10.8</v>
      </c>
      <c r="I1461" s="14">
        <f>VENTAS[[#This Row],[Cantidad]]*VENTAS[[#This Row],[Precio Venta]]</f>
        <v>0</v>
      </c>
      <c r="J1461" s="14">
        <f>IF(VENTAS[[#This Row],[Nombre del Gestor]]&gt;1,VENTAS[[#This Row],[Total]]*10%,0)</f>
        <v>0</v>
      </c>
      <c r="K1461" s="14">
        <f>IFERROR(VLOOKUP(VENTAS[[#This Row],[Código del producto Vendido]],STOCK[],16,FALSE)*VENTAS[[#This Row],[Cantidad]]+VLOOKUP(VENTAS[[#This Row],[Código del producto Vendido]],STOCK[],19,FALSE)*VENTAS[[#This Row],[Cantidad]],VENTAS[[#This Row],[Total]])</f>
        <v>0</v>
      </c>
      <c r="L1461" s="14">
        <f>VENTAS[[#This Row],[Total]]-VENTAS[[#This Row],[Comisión 10%]]-VENTAS[[#This Row],[Costo SIN Comision]]</f>
        <v>0</v>
      </c>
      <c r="M1461" s="14"/>
    </row>
    <row r="1462" ht="20" hidden="1" customHeight="1" spans="1:13">
      <c r="A1462" s="10">
        <v>45548</v>
      </c>
      <c r="B1462" s="11"/>
      <c r="C1462" s="11" t="s">
        <v>4428</v>
      </c>
      <c r="D1462" s="11" t="s">
        <v>4266</v>
      </c>
      <c r="E1462" s="11" t="s">
        <v>1834</v>
      </c>
      <c r="F1462" s="11" t="str">
        <f>IFERROR(VLOOKUP(VENTAS[[#This Row],[Código del producto Vendido]],STOCK[],5,FALSE),"-")</f>
        <v>Pantalón en piel </v>
      </c>
      <c r="G1462" s="11">
        <v>1</v>
      </c>
      <c r="H1462" s="14">
        <v>25</v>
      </c>
      <c r="I1462" s="14">
        <f>VENTAS[[#This Row],[Cantidad]]*VENTAS[[#This Row],[Precio Venta]]</f>
        <v>25</v>
      </c>
      <c r="J1462" s="14">
        <f>IF(VENTAS[[#This Row],[Nombre del Gestor]]&gt;1,VENTAS[[#This Row],[Total]]*10%,0)</f>
        <v>2.5</v>
      </c>
      <c r="K1462" s="14">
        <f>IFERROR(VLOOKUP(VENTAS[[#This Row],[Código del producto Vendido]],STOCK[],16,FALSE)*VENTAS[[#This Row],[Cantidad]]+VLOOKUP(VENTAS[[#This Row],[Código del producto Vendido]],STOCK[],19,FALSE)*VENTAS[[#This Row],[Cantidad]],VENTAS[[#This Row],[Total]])</f>
        <v>11.79</v>
      </c>
      <c r="L1462" s="14">
        <f>VENTAS[[#This Row],[Total]]-VENTAS[[#This Row],[Comisión 10%]]-VENTAS[[#This Row],[Costo SIN Comision]]</f>
        <v>10.71</v>
      </c>
      <c r="M1462" s="14"/>
    </row>
    <row r="1463" ht="20" hidden="1" customHeight="1" spans="1:13">
      <c r="A1463" s="10">
        <v>45558</v>
      </c>
      <c r="B1463" s="11"/>
      <c r="C1463" s="11" t="s">
        <v>4429</v>
      </c>
      <c r="D1463" s="11" t="s">
        <v>4241</v>
      </c>
      <c r="E1463" s="11" t="s">
        <v>1832</v>
      </c>
      <c r="F1463" s="11" t="str">
        <f>IFERROR(VLOOKUP(VENTAS[[#This Row],[Código del producto Vendido]],STOCK[],5,FALSE),"-")</f>
        <v>Pantalón en piel </v>
      </c>
      <c r="G1463" s="11">
        <v>1</v>
      </c>
      <c r="H1463" s="14">
        <v>25</v>
      </c>
      <c r="I1463" s="14">
        <f>VENTAS[[#This Row],[Cantidad]]*VENTAS[[#This Row],[Precio Venta]]</f>
        <v>25</v>
      </c>
      <c r="J1463" s="14">
        <f>IF(VENTAS[[#This Row],[Nombre del Gestor]]&gt;1,VENTAS[[#This Row],[Total]]*10%,0)</f>
        <v>2.5</v>
      </c>
      <c r="K1463" s="14">
        <f>IFERROR(VLOOKUP(VENTAS[[#This Row],[Código del producto Vendido]],STOCK[],16,FALSE)*VENTAS[[#This Row],[Cantidad]]+VLOOKUP(VENTAS[[#This Row],[Código del producto Vendido]],STOCK[],19,FALSE)*VENTAS[[#This Row],[Cantidad]],VENTAS[[#This Row],[Total]])</f>
        <v>11.79</v>
      </c>
      <c r="L1463" s="14">
        <f>VENTAS[[#This Row],[Total]]-VENTAS[[#This Row],[Comisión 10%]]-VENTAS[[#This Row],[Costo SIN Comision]]</f>
        <v>10.71</v>
      </c>
      <c r="M1463" s="14"/>
    </row>
    <row r="1464" ht="20" hidden="1" customHeight="1" spans="1:13">
      <c r="A1464" s="10">
        <v>45558</v>
      </c>
      <c r="B1464" s="11"/>
      <c r="C1464" s="11" t="s">
        <v>4429</v>
      </c>
      <c r="D1464" s="11" t="s">
        <v>4241</v>
      </c>
      <c r="E1464" s="11" t="s">
        <v>1489</v>
      </c>
      <c r="F1464" s="11" t="str">
        <f>IFERROR(VLOOKUP(VENTAS[[#This Row],[Código del producto Vendido]],STOCK[],5,FALSE),"-")</f>
        <v>Falda satinada negra línea A </v>
      </c>
      <c r="G1464" s="11">
        <v>1</v>
      </c>
      <c r="H1464" s="14">
        <v>25</v>
      </c>
      <c r="I1464" s="14">
        <f>VENTAS[[#This Row],[Cantidad]]*VENTAS[[#This Row],[Precio Venta]]</f>
        <v>25</v>
      </c>
      <c r="J1464" s="14">
        <f>IF(VENTAS[[#This Row],[Nombre del Gestor]]&gt;1,VENTAS[[#This Row],[Total]]*10%,0)</f>
        <v>2.5</v>
      </c>
      <c r="K1464" s="14">
        <f>IFERROR(VLOOKUP(VENTAS[[#This Row],[Código del producto Vendido]],STOCK[],16,FALSE)*VENTAS[[#This Row],[Cantidad]]+VLOOKUP(VENTAS[[#This Row],[Código del producto Vendido]],STOCK[],19,FALSE)*VENTAS[[#This Row],[Cantidad]],VENTAS[[#This Row],[Total]])</f>
        <v>15</v>
      </c>
      <c r="L1464" s="14">
        <f>VENTAS[[#This Row],[Total]]-VENTAS[[#This Row],[Comisión 10%]]-VENTAS[[#This Row],[Costo SIN Comision]]</f>
        <v>7.5</v>
      </c>
      <c r="M1464" s="14"/>
    </row>
    <row r="1465" ht="20" hidden="1" customHeight="1" spans="1:13">
      <c r="A1465" s="10">
        <v>45558</v>
      </c>
      <c r="B1465" s="11"/>
      <c r="C1465" s="11" t="s">
        <v>4429</v>
      </c>
      <c r="D1465" s="11" t="s">
        <v>4241</v>
      </c>
      <c r="E1465" s="11" t="s">
        <v>2511</v>
      </c>
      <c r="F1465" s="11" t="str">
        <f>IFERROR(VLOOKUP(VENTAS[[#This Row],[Código del producto Vendido]],STOCK[],5,FALSE),"-")</f>
        <v>Camisa elegante de listas</v>
      </c>
      <c r="G1465" s="11">
        <v>1</v>
      </c>
      <c r="H1465" s="14">
        <v>22</v>
      </c>
      <c r="I1465" s="14">
        <f>VENTAS[[#This Row],[Cantidad]]*VENTAS[[#This Row],[Precio Venta]]</f>
        <v>22</v>
      </c>
      <c r="J1465" s="14">
        <f>IF(VENTAS[[#This Row],[Nombre del Gestor]]&gt;1,VENTAS[[#This Row],[Total]]*10%,0)</f>
        <v>2.2</v>
      </c>
      <c r="K1465" s="14">
        <f>IFERROR(VLOOKUP(VENTAS[[#This Row],[Código del producto Vendido]],STOCK[],16,FALSE)*VENTAS[[#This Row],[Cantidad]]+VLOOKUP(VENTAS[[#This Row],[Código del producto Vendido]],STOCK[],19,FALSE)*VENTAS[[#This Row],[Cantidad]],VENTAS[[#This Row],[Total]])</f>
        <v>11.3</v>
      </c>
      <c r="L1465" s="14">
        <f>VENTAS[[#This Row],[Total]]-VENTAS[[#This Row],[Comisión 10%]]-VENTAS[[#This Row],[Costo SIN Comision]]</f>
        <v>8.5</v>
      </c>
      <c r="M1465" s="14"/>
    </row>
    <row r="1466" ht="20" hidden="1" customHeight="1" spans="1:13">
      <c r="A1466" s="10">
        <v>45553</v>
      </c>
      <c r="B1466" s="11"/>
      <c r="C1466" s="11" t="s">
        <v>4430</v>
      </c>
      <c r="D1466" s="11" t="s">
        <v>4241</v>
      </c>
      <c r="E1466" s="11" t="s">
        <v>2485</v>
      </c>
      <c r="F1466" s="11" t="str">
        <f>IFERROR(VLOOKUP(VENTAS[[#This Row],[Código del producto Vendido]],STOCK[],5,FALSE),"-")</f>
        <v>Zapatos elegantes de punta fina negros</v>
      </c>
      <c r="G1466" s="11">
        <v>0</v>
      </c>
      <c r="H1466" s="14">
        <v>40</v>
      </c>
      <c r="I1466" s="14">
        <f>VENTAS[[#This Row],[Cantidad]]*VENTAS[[#This Row],[Precio Venta]]</f>
        <v>0</v>
      </c>
      <c r="J1466" s="14">
        <f>IF(VENTAS[[#This Row],[Nombre del Gestor]]&gt;1,VENTAS[[#This Row],[Total]]*10%,0)</f>
        <v>0</v>
      </c>
      <c r="K1466" s="14">
        <f>IFERROR(VLOOKUP(VENTAS[[#This Row],[Código del producto Vendido]],STOCK[],16,FALSE)*VENTAS[[#This Row],[Cantidad]]+VLOOKUP(VENTAS[[#This Row],[Código del producto Vendido]],STOCK[],19,FALSE)*VENTAS[[#This Row],[Cantidad]],VENTAS[[#This Row],[Total]])</f>
        <v>0</v>
      </c>
      <c r="L1466" s="14">
        <f>VENTAS[[#This Row],[Total]]-VENTAS[[#This Row],[Comisión 10%]]-VENTAS[[#This Row],[Costo SIN Comision]]</f>
        <v>0</v>
      </c>
      <c r="M1466" s="14"/>
    </row>
    <row r="1467" ht="20" hidden="1" customHeight="1" spans="1:13">
      <c r="A1467" s="10">
        <v>45553</v>
      </c>
      <c r="B1467" s="11"/>
      <c r="C1467" s="11" t="s">
        <v>4430</v>
      </c>
      <c r="D1467" s="11" t="s">
        <v>4241</v>
      </c>
      <c r="E1467" s="11" t="s">
        <v>2421</v>
      </c>
      <c r="F1467" s="11" t="str">
        <f>IFERROR(VLOOKUP(VENTAS[[#This Row],[Código del producto Vendido]],STOCK[],5,FALSE),"-")</f>
        <v>Camisa blanca en mezcla de algodón</v>
      </c>
      <c r="G1467" s="11">
        <v>0</v>
      </c>
      <c r="H1467" s="14">
        <v>25</v>
      </c>
      <c r="I1467" s="14">
        <f>VENTAS[[#This Row],[Cantidad]]*VENTAS[[#This Row],[Precio Venta]]</f>
        <v>0</v>
      </c>
      <c r="J1467" s="14">
        <f>IF(VENTAS[[#This Row],[Nombre del Gestor]]&gt;1,VENTAS[[#This Row],[Total]]*10%,0)</f>
        <v>0</v>
      </c>
      <c r="K1467" s="14">
        <f>IFERROR(VLOOKUP(VENTAS[[#This Row],[Código del producto Vendido]],STOCK[],16,FALSE)*VENTAS[[#This Row],[Cantidad]]+VLOOKUP(VENTAS[[#This Row],[Código del producto Vendido]],STOCK[],19,FALSE)*VENTAS[[#This Row],[Cantidad]],VENTAS[[#This Row],[Total]])</f>
        <v>0</v>
      </c>
      <c r="L1467" s="14">
        <f>VENTAS[[#This Row],[Total]]-VENTAS[[#This Row],[Comisión 10%]]-VENTAS[[#This Row],[Costo SIN Comision]]</f>
        <v>0</v>
      </c>
      <c r="M1467" s="14"/>
    </row>
    <row r="1468" ht="20" hidden="1" customHeight="1" spans="1:13">
      <c r="A1468" s="10">
        <v>45546</v>
      </c>
      <c r="B1468" s="11"/>
      <c r="C1468" s="11" t="s">
        <v>4431</v>
      </c>
      <c r="D1468" s="11" t="s">
        <v>4241</v>
      </c>
      <c r="E1468" s="11" t="s">
        <v>2762</v>
      </c>
      <c r="F1468" s="11" t="str">
        <f>IFERROR(VLOOKUP(VENTAS[[#This Row],[Código del producto Vendido]],STOCK[],5,FALSE),"-")</f>
        <v>Set de bikini estilo europeo blanco en tendencia</v>
      </c>
      <c r="G1468" s="11">
        <v>0</v>
      </c>
      <c r="H1468" s="14">
        <v>22</v>
      </c>
      <c r="I1468" s="14">
        <f>VENTAS[[#This Row],[Cantidad]]*VENTAS[[#This Row],[Precio Venta]]</f>
        <v>0</v>
      </c>
      <c r="J1468" s="14">
        <f>IF(VENTAS[[#This Row],[Nombre del Gestor]]&gt;1,VENTAS[[#This Row],[Total]]*10%,0)</f>
        <v>0</v>
      </c>
      <c r="K1468" s="14">
        <f>IFERROR(VLOOKUP(VENTAS[[#This Row],[Código del producto Vendido]],STOCK[],16,FALSE)*VENTAS[[#This Row],[Cantidad]]+VLOOKUP(VENTAS[[#This Row],[Código del producto Vendido]],STOCK[],19,FALSE)*VENTAS[[#This Row],[Cantidad]],VENTAS[[#This Row],[Total]])</f>
        <v>0</v>
      </c>
      <c r="L1468" s="14">
        <f>VENTAS[[#This Row],[Total]]-VENTAS[[#This Row],[Comisión 10%]]-VENTAS[[#This Row],[Costo SIN Comision]]</f>
        <v>0</v>
      </c>
      <c r="M1468" s="14"/>
    </row>
    <row r="1469" ht="20" hidden="1" customHeight="1" spans="1:13">
      <c r="A1469" s="10">
        <v>45547</v>
      </c>
      <c r="B1469" s="11"/>
      <c r="C1469" s="11" t="s">
        <v>4432</v>
      </c>
      <c r="D1469" s="11" t="s">
        <v>4241</v>
      </c>
      <c r="E1469" s="11" t="s">
        <v>2769</v>
      </c>
      <c r="F1469" s="11" t="str">
        <f>IFERROR(VLOOKUP(VENTAS[[#This Row],[Código del producto Vendido]],STOCK[],5,FALSE),"-")</f>
        <v>Set de bikini de estilo europeo de moda color Oliva</v>
      </c>
      <c r="G1469" s="11">
        <v>1</v>
      </c>
      <c r="H1469" s="14">
        <v>22</v>
      </c>
      <c r="I1469" s="14">
        <f>VENTAS[[#This Row],[Cantidad]]*VENTAS[[#This Row],[Precio Venta]]</f>
        <v>22</v>
      </c>
      <c r="J1469" s="14">
        <f>IF(VENTAS[[#This Row],[Nombre del Gestor]]&gt;1,VENTAS[[#This Row],[Total]]*10%,0)</f>
        <v>2.2</v>
      </c>
      <c r="K1469" s="14">
        <f>IFERROR(VLOOKUP(VENTAS[[#This Row],[Código del producto Vendido]],STOCK[],16,FALSE)*VENTAS[[#This Row],[Cantidad]]+VLOOKUP(VENTAS[[#This Row],[Código del producto Vendido]],STOCK[],19,FALSE)*VENTAS[[#This Row],[Cantidad]],VENTAS[[#This Row],[Total]])</f>
        <v>12.87</v>
      </c>
      <c r="L1469" s="14">
        <f>VENTAS[[#This Row],[Total]]-VENTAS[[#This Row],[Comisión 10%]]-VENTAS[[#This Row],[Costo SIN Comision]]</f>
        <v>6.93</v>
      </c>
      <c r="M1469" s="14"/>
    </row>
    <row r="1470" ht="20" hidden="1" customHeight="1" spans="1:13">
      <c r="A1470" s="10">
        <v>45548</v>
      </c>
      <c r="B1470" s="11"/>
      <c r="C1470" s="11" t="s">
        <v>4423</v>
      </c>
      <c r="D1470" s="11" t="s">
        <v>4241</v>
      </c>
      <c r="E1470" s="11" t="s">
        <v>1925</v>
      </c>
      <c r="F1470" s="11" t="str">
        <f>IFERROR(VLOOKUP(VENTAS[[#This Row],[Código del producto Vendido]],STOCK[],5,FALSE),"-")</f>
        <v>Vestido Fresco Verano en Bloque de Color</v>
      </c>
      <c r="G1470" s="11">
        <v>1</v>
      </c>
      <c r="H1470" s="14">
        <v>30</v>
      </c>
      <c r="I1470" s="14">
        <f>VENTAS[[#This Row],[Cantidad]]*VENTAS[[#This Row],[Precio Venta]]</f>
        <v>30</v>
      </c>
      <c r="J1470" s="14">
        <f>IF(VENTAS[[#This Row],[Nombre del Gestor]]&gt;1,VENTAS[[#This Row],[Total]]*10%,0)</f>
        <v>3</v>
      </c>
      <c r="K1470" s="14">
        <f>IFERROR(VLOOKUP(VENTAS[[#This Row],[Código del producto Vendido]],STOCK[],16,FALSE)*VENTAS[[#This Row],[Cantidad]]+VLOOKUP(VENTAS[[#This Row],[Código del producto Vendido]],STOCK[],19,FALSE)*VENTAS[[#This Row],[Cantidad]],VENTAS[[#This Row],[Total]])</f>
        <v>11.61</v>
      </c>
      <c r="L1470" s="14">
        <f>VENTAS[[#This Row],[Total]]-VENTAS[[#This Row],[Comisión 10%]]-VENTAS[[#This Row],[Costo SIN Comision]]</f>
        <v>15.39</v>
      </c>
      <c r="M1470" s="14"/>
    </row>
    <row r="1471" ht="20" hidden="1" customHeight="1" spans="1:13">
      <c r="A1471" s="10"/>
      <c r="B1471" s="11"/>
      <c r="C1471" s="11" t="s">
        <v>4433</v>
      </c>
      <c r="D1471" s="11"/>
      <c r="E1471" s="11" t="s">
        <v>825</v>
      </c>
      <c r="F1471" s="11" t="str">
        <f>IFERROR(VLOOKUP(VENTAS[[#This Row],[Código del producto Vendido]],STOCK[],5,FALSE),"-")</f>
        <v>Bikini Rosa Viejo Satinado </v>
      </c>
      <c r="G1471" s="11">
        <v>1</v>
      </c>
      <c r="H1471" s="14">
        <v>12</v>
      </c>
      <c r="I1471" s="14">
        <f>VENTAS[[#This Row],[Cantidad]]*VENTAS[[#This Row],[Precio Venta]]</f>
        <v>12</v>
      </c>
      <c r="J1471" s="14">
        <f>IF(VENTAS[[#This Row],[Nombre del Gestor]]&gt;1,VENTAS[[#This Row],[Total]]*10%,0)</f>
        <v>0</v>
      </c>
      <c r="K1471" s="14">
        <f>IFERROR(VLOOKUP(VENTAS[[#This Row],[Código del producto Vendido]],STOCK[],16,FALSE)*VENTAS[[#This Row],[Cantidad]]+VLOOKUP(VENTAS[[#This Row],[Código del producto Vendido]],STOCK[],19,FALSE)*VENTAS[[#This Row],[Cantidad]],VENTAS[[#This Row],[Total]])</f>
        <v>6.55555555555556</v>
      </c>
      <c r="L1471" s="14">
        <f>VENTAS[[#This Row],[Total]]-VENTAS[[#This Row],[Comisión 10%]]-VENTAS[[#This Row],[Costo SIN Comision]]</f>
        <v>5.44444444444444</v>
      </c>
      <c r="M1471" s="14"/>
    </row>
    <row r="1472" ht="20" hidden="1" customHeight="1" spans="1:13">
      <c r="A1472" s="10"/>
      <c r="B1472" s="11"/>
      <c r="C1472" s="11" t="s">
        <v>4433</v>
      </c>
      <c r="D1472" s="11"/>
      <c r="E1472" s="11" t="s">
        <v>2193</v>
      </c>
      <c r="F1472" s="11" t="str">
        <f>IFERROR(VLOOKUP(VENTAS[[#This Row],[Código del producto Vendido]],STOCK[],5,FALSE),"-")</f>
        <v>Set de traje de baño elegante 2 piezas con adorno en forma de V</v>
      </c>
      <c r="G1472" s="11">
        <v>1</v>
      </c>
      <c r="H1472" s="14">
        <v>21</v>
      </c>
      <c r="I1472" s="14">
        <f>VENTAS[[#This Row],[Cantidad]]*VENTAS[[#This Row],[Precio Venta]]</f>
        <v>21</v>
      </c>
      <c r="J1472" s="14">
        <f>IF(VENTAS[[#This Row],[Nombre del Gestor]]&gt;1,VENTAS[[#This Row],[Total]]*10%,0)</f>
        <v>0</v>
      </c>
      <c r="K1472" s="14">
        <f>IFERROR(VLOOKUP(VENTAS[[#This Row],[Código del producto Vendido]],STOCK[],16,FALSE)*VENTAS[[#This Row],[Cantidad]]+VLOOKUP(VENTAS[[#This Row],[Código del producto Vendido]],STOCK[],19,FALSE)*VENTAS[[#This Row],[Cantidad]],VENTAS[[#This Row],[Total]])</f>
        <v>11.21</v>
      </c>
      <c r="L1472" s="14">
        <f>VENTAS[[#This Row],[Total]]-VENTAS[[#This Row],[Comisión 10%]]-VENTAS[[#This Row],[Costo SIN Comision]]</f>
        <v>9.79</v>
      </c>
      <c r="M1472" s="14"/>
    </row>
    <row r="1473" ht="20" hidden="1" customHeight="1" spans="1:13">
      <c r="A1473" s="10"/>
      <c r="B1473" s="11"/>
      <c r="C1473" s="11"/>
      <c r="D1473" s="11" t="s">
        <v>4420</v>
      </c>
      <c r="E1473" s="11" t="s">
        <v>2191</v>
      </c>
      <c r="F1473" s="11" t="str">
        <f>IFERROR(VLOOKUP(VENTAS[[#This Row],[Código del producto Vendido]],STOCK[],5,FALSE),"-")</f>
        <v>Conjunto Playero color verde 2 piezas</v>
      </c>
      <c r="G1473" s="11">
        <v>1</v>
      </c>
      <c r="H1473" s="14">
        <v>25</v>
      </c>
      <c r="I1473" s="14">
        <f>VENTAS[[#This Row],[Cantidad]]*VENTAS[[#This Row],[Precio Venta]]</f>
        <v>25</v>
      </c>
      <c r="J1473" s="14">
        <f>IF(VENTAS[[#This Row],[Nombre del Gestor]]&gt;1,VENTAS[[#This Row],[Total]]*10%,0)</f>
        <v>2.5</v>
      </c>
      <c r="K1473" s="14">
        <f>IFERROR(VLOOKUP(VENTAS[[#This Row],[Código del producto Vendido]],STOCK[],16,FALSE)*VENTAS[[#This Row],[Cantidad]]+VLOOKUP(VENTAS[[#This Row],[Código del producto Vendido]],STOCK[],19,FALSE)*VENTAS[[#This Row],[Cantidad]],VENTAS[[#This Row],[Total]])</f>
        <v>12.48</v>
      </c>
      <c r="L1473" s="14">
        <f>VENTAS[[#This Row],[Total]]-VENTAS[[#This Row],[Comisión 10%]]-VENTAS[[#This Row],[Costo SIN Comision]]</f>
        <v>10.02</v>
      </c>
      <c r="M1473" s="14"/>
    </row>
    <row r="1474" ht="20" hidden="1" customHeight="1" spans="1:13">
      <c r="A1474" s="10">
        <v>45566</v>
      </c>
      <c r="B1474" s="11"/>
      <c r="C1474" s="11"/>
      <c r="D1474" s="11" t="s">
        <v>4212</v>
      </c>
      <c r="E1474" s="11" t="s">
        <v>2857</v>
      </c>
      <c r="F1474" s="11" t="str">
        <f>IFERROR(VLOOKUP(VENTAS[[#This Row],[Código del producto Vendido]],STOCK[],5,FALSE),"-")</f>
        <v>Bolso cuadrado tejido de rafia Tamaño grande Color Carmelita</v>
      </c>
      <c r="G1474" s="11">
        <v>1</v>
      </c>
      <c r="H1474" s="14">
        <v>25</v>
      </c>
      <c r="I1474" s="14">
        <f>VENTAS[[#This Row],[Cantidad]]*VENTAS[[#This Row],[Precio Venta]]</f>
        <v>25</v>
      </c>
      <c r="J1474" s="14">
        <f>IF(VENTAS[[#This Row],[Nombre del Gestor]]&gt;1,VENTAS[[#This Row],[Total]]*10%,0)</f>
        <v>2.5</v>
      </c>
      <c r="K1474" s="14">
        <f>IFERROR(VLOOKUP(VENTAS[[#This Row],[Código del producto Vendido]],STOCK[],16,FALSE)*VENTAS[[#This Row],[Cantidad]]+VLOOKUP(VENTAS[[#This Row],[Código del producto Vendido]],STOCK[],19,FALSE)*VENTAS[[#This Row],[Cantidad]],VENTAS[[#This Row],[Total]])</f>
        <v>14.85</v>
      </c>
      <c r="L1474" s="14">
        <f>VENTAS[[#This Row],[Total]]-VENTAS[[#This Row],[Comisión 10%]]-VENTAS[[#This Row],[Costo SIN Comision]]</f>
        <v>7.65</v>
      </c>
      <c r="M1474" s="14"/>
    </row>
    <row r="1475" ht="20" hidden="1" customHeight="1" spans="1:13">
      <c r="A1475" s="10">
        <v>45565</v>
      </c>
      <c r="B1475" s="11"/>
      <c r="C1475" s="11"/>
      <c r="D1475" s="11" t="s">
        <v>4212</v>
      </c>
      <c r="E1475" s="11" t="s">
        <v>2820</v>
      </c>
      <c r="F1475" s="11" t="str">
        <f>IFERROR(VLOOKUP(VENTAS[[#This Row],[Código del producto Vendido]],STOCK[],5,FALSE),"-")</f>
        <v>Bolso de diario ligero y casual de gran capacidad elegante de cocodrilo</v>
      </c>
      <c r="G1475" s="11">
        <v>1</v>
      </c>
      <c r="H1475" s="14">
        <v>25</v>
      </c>
      <c r="I1475" s="14">
        <f>VENTAS[[#This Row],[Cantidad]]*VENTAS[[#This Row],[Precio Venta]]</f>
        <v>25</v>
      </c>
      <c r="J1475" s="14">
        <f>IF(VENTAS[[#This Row],[Nombre del Gestor]]&gt;1,VENTAS[[#This Row],[Total]]*10%,0)</f>
        <v>2.5</v>
      </c>
      <c r="K1475" s="14">
        <f>IFERROR(VLOOKUP(VENTAS[[#This Row],[Código del producto Vendido]],STOCK[],16,FALSE)*VENTAS[[#This Row],[Cantidad]]+VLOOKUP(VENTAS[[#This Row],[Código del producto Vendido]],STOCK[],19,FALSE)*VENTAS[[#This Row],[Cantidad]],VENTAS[[#This Row],[Total]])</f>
        <v>10.14</v>
      </c>
      <c r="L1475" s="14">
        <f>VENTAS[[#This Row],[Total]]-VENTAS[[#This Row],[Comisión 10%]]-VENTAS[[#This Row],[Costo SIN Comision]]</f>
        <v>12.36</v>
      </c>
      <c r="M1475" s="14"/>
    </row>
    <row r="1476" ht="20" hidden="1" customHeight="1" spans="1:13">
      <c r="A1476" s="10">
        <v>45563</v>
      </c>
      <c r="B1476" s="11"/>
      <c r="C1476" s="11"/>
      <c r="D1476" s="11" t="s">
        <v>4212</v>
      </c>
      <c r="E1476" s="11" t="s">
        <v>2786</v>
      </c>
      <c r="F1476" s="11" t="str">
        <f>IFERROR(VLOOKUP(VENTAS[[#This Row],[Código del producto Vendido]],STOCK[],5,FALSE),"-")</f>
        <v>Sandalias doradas de tiras anchas para toda ocasión</v>
      </c>
      <c r="G1476" s="11">
        <v>1</v>
      </c>
      <c r="H1476" s="14">
        <v>20</v>
      </c>
      <c r="I1476" s="14">
        <f>VENTAS[[#This Row],[Cantidad]]*VENTAS[[#This Row],[Precio Venta]]</f>
        <v>20</v>
      </c>
      <c r="J1476" s="14">
        <f>IF(VENTAS[[#This Row],[Nombre del Gestor]]&gt;1,VENTAS[[#This Row],[Total]]*10%,0)</f>
        <v>2</v>
      </c>
      <c r="K1476" s="14">
        <f>IFERROR(VLOOKUP(VENTAS[[#This Row],[Código del producto Vendido]],STOCK[],16,FALSE)*VENTAS[[#This Row],[Cantidad]]+VLOOKUP(VENTAS[[#This Row],[Código del producto Vendido]],STOCK[],19,FALSE)*VENTAS[[#This Row],[Cantidad]],VENTAS[[#This Row],[Total]])</f>
        <v>6.65</v>
      </c>
      <c r="L1476" s="14">
        <f>VENTAS[[#This Row],[Total]]-VENTAS[[#This Row],[Comisión 10%]]-VENTAS[[#This Row],[Costo SIN Comision]]</f>
        <v>11.35</v>
      </c>
      <c r="M1476" s="14"/>
    </row>
    <row r="1477" ht="20" hidden="1" customHeight="1" spans="1:13">
      <c r="A1477" s="10">
        <v>45563</v>
      </c>
      <c r="B1477" s="11"/>
      <c r="C1477" s="11"/>
      <c r="D1477" s="11" t="s">
        <v>4212</v>
      </c>
      <c r="E1477" s="11" t="s">
        <v>2842</v>
      </c>
      <c r="F1477" s="11" t="str">
        <f>IFERROR(VLOOKUP(VENTAS[[#This Row],[Código del producto Vendido]],STOCK[],5,FALSE),"-")</f>
        <v>Bolso de ratán unicolor con ribete negro</v>
      </c>
      <c r="G1477" s="11">
        <v>1</v>
      </c>
      <c r="H1477" s="14">
        <v>30</v>
      </c>
      <c r="I1477" s="14">
        <f>VENTAS[[#This Row],[Cantidad]]*VENTAS[[#This Row],[Precio Venta]]</f>
        <v>30</v>
      </c>
      <c r="J1477" s="14">
        <f>IF(VENTAS[[#This Row],[Nombre del Gestor]]&gt;1,VENTAS[[#This Row],[Total]]*10%,0)</f>
        <v>3</v>
      </c>
      <c r="K1477" s="14">
        <f>IFERROR(VLOOKUP(VENTAS[[#This Row],[Código del producto Vendido]],STOCK[],16,FALSE)*VENTAS[[#This Row],[Cantidad]]+VLOOKUP(VENTAS[[#This Row],[Código del producto Vendido]],STOCK[],19,FALSE)*VENTAS[[#This Row],[Cantidad]],VENTAS[[#This Row],[Total]])</f>
        <v>15.59</v>
      </c>
      <c r="L1477" s="14">
        <f>VENTAS[[#This Row],[Total]]-VENTAS[[#This Row],[Comisión 10%]]-VENTAS[[#This Row],[Costo SIN Comision]]</f>
        <v>11.41</v>
      </c>
      <c r="M1477" s="14"/>
    </row>
    <row r="1478" ht="20" hidden="1" customHeight="1" spans="1:13">
      <c r="A1478" s="10">
        <v>45562</v>
      </c>
      <c r="B1478" s="11"/>
      <c r="C1478" s="11"/>
      <c r="D1478" s="11" t="s">
        <v>4212</v>
      </c>
      <c r="E1478" s="11" t="s">
        <v>2957</v>
      </c>
      <c r="F1478" s="11" t="str">
        <f>IFERROR(VLOOKUP(VENTAS[[#This Row],[Código del producto Vendido]],STOCK[],5,FALSE),"-")</f>
        <v>Vestido elegante largo ajustado con hombro atado</v>
      </c>
      <c r="G1478" s="11">
        <v>1</v>
      </c>
      <c r="H1478" s="14">
        <v>30</v>
      </c>
      <c r="I1478" s="14">
        <f>VENTAS[[#This Row],[Cantidad]]*VENTAS[[#This Row],[Precio Venta]]</f>
        <v>30</v>
      </c>
      <c r="J1478" s="14">
        <f>IF(VENTAS[[#This Row],[Nombre del Gestor]]&gt;1,VENTAS[[#This Row],[Total]]*10%,0)</f>
        <v>3</v>
      </c>
      <c r="K1478" s="14">
        <f>IFERROR(VLOOKUP(VENTAS[[#This Row],[Código del producto Vendido]],STOCK[],16,FALSE)*VENTAS[[#This Row],[Cantidad]]+VLOOKUP(VENTAS[[#This Row],[Código del producto Vendido]],STOCK[],19,FALSE)*VENTAS[[#This Row],[Cantidad]],VENTAS[[#This Row],[Total]])</f>
        <v>15.13</v>
      </c>
      <c r="L1478" s="14">
        <f>VENTAS[[#This Row],[Total]]-VENTAS[[#This Row],[Comisión 10%]]-VENTAS[[#This Row],[Costo SIN Comision]]</f>
        <v>11.87</v>
      </c>
      <c r="M1478" s="14"/>
    </row>
    <row r="1479" ht="20" hidden="1" customHeight="1" spans="1:13">
      <c r="A1479" s="10">
        <v>45560</v>
      </c>
      <c r="B1479" s="11"/>
      <c r="C1479" s="11"/>
      <c r="D1479" s="11" t="s">
        <v>4212</v>
      </c>
      <c r="E1479" s="11" t="s">
        <v>2833</v>
      </c>
      <c r="F1479" s="11" t="str">
        <f>IFERROR(VLOOKUP(VENTAS[[#This Row],[Código del producto Vendido]],STOCK[],5,FALSE),"-")</f>
        <v>Vestido elegante de crochet de de cuello profundo y espalda cruzada</v>
      </c>
      <c r="G1479" s="11">
        <v>1</v>
      </c>
      <c r="H1479" s="14">
        <v>30</v>
      </c>
      <c r="I1479" s="14">
        <f>VENTAS[[#This Row],[Cantidad]]*VENTAS[[#This Row],[Precio Venta]]</f>
        <v>30</v>
      </c>
      <c r="J1479" s="14">
        <f>IF(VENTAS[[#This Row],[Nombre del Gestor]]&gt;1,VENTAS[[#This Row],[Total]]*10%,0)</f>
        <v>3</v>
      </c>
      <c r="K1479" s="14">
        <f>IFERROR(VLOOKUP(VENTAS[[#This Row],[Código del producto Vendido]],STOCK[],16,FALSE)*VENTAS[[#This Row],[Cantidad]]+VLOOKUP(VENTAS[[#This Row],[Código del producto Vendido]],STOCK[],19,FALSE)*VENTAS[[#This Row],[Cantidad]],VENTAS[[#This Row],[Total]])</f>
        <v>13.5</v>
      </c>
      <c r="L1479" s="14">
        <f>VENTAS[[#This Row],[Total]]-VENTAS[[#This Row],[Comisión 10%]]-VENTAS[[#This Row],[Costo SIN Comision]]</f>
        <v>13.5</v>
      </c>
      <c r="M1479" s="14"/>
    </row>
    <row r="1480" ht="20" hidden="1" customHeight="1" spans="1:13">
      <c r="A1480" s="10">
        <v>45565</v>
      </c>
      <c r="B1480" s="11" t="s">
        <v>4434</v>
      </c>
      <c r="C1480" s="11" t="s">
        <v>4435</v>
      </c>
      <c r="D1480" s="11" t="s">
        <v>4076</v>
      </c>
      <c r="E1480" s="11" t="s">
        <v>2796</v>
      </c>
      <c r="F1480" s="11" t="str">
        <f>IFERROR(VLOOKUP(VENTAS[[#This Row],[Código del producto Vendido]],STOCK[],5,FALSE),"-")</f>
        <v>Sandalias estilo chunky de suela gruesa en contraste de color</v>
      </c>
      <c r="G1480" s="11">
        <v>1</v>
      </c>
      <c r="H1480" s="14">
        <v>35</v>
      </c>
      <c r="I1480" s="14">
        <f>VENTAS[[#This Row],[Cantidad]]*VENTAS[[#This Row],[Precio Venta]]</f>
        <v>35</v>
      </c>
      <c r="J1480" s="14">
        <f>IF(VENTAS[[#This Row],[Nombre del Gestor]]&gt;1,VENTAS[[#This Row],[Total]]*10%,0)</f>
        <v>3.5</v>
      </c>
      <c r="K1480" s="14">
        <f>IFERROR(VLOOKUP(VENTAS[[#This Row],[Código del producto Vendido]],STOCK[],16,FALSE)*VENTAS[[#This Row],[Cantidad]]+VLOOKUP(VENTAS[[#This Row],[Código del producto Vendido]],STOCK[],19,FALSE)*VENTAS[[#This Row],[Cantidad]],VENTAS[[#This Row],[Total]])</f>
        <v>13.4</v>
      </c>
      <c r="L1480" s="14">
        <f>VENTAS[[#This Row],[Total]]-VENTAS[[#This Row],[Comisión 10%]]-VENTAS[[#This Row],[Costo SIN Comision]]</f>
        <v>18.1</v>
      </c>
      <c r="M1480" s="14"/>
    </row>
    <row r="1481" ht="20" hidden="1" customHeight="1" spans="1:13">
      <c r="A1481" s="10">
        <v>45565</v>
      </c>
      <c r="B1481" s="11"/>
      <c r="C1481" s="11" t="s">
        <v>4435</v>
      </c>
      <c r="D1481" s="11" t="s">
        <v>4076</v>
      </c>
      <c r="E1481" s="11" t="s">
        <v>2773</v>
      </c>
      <c r="F1481" s="11" t="str">
        <f>IFERROR(VLOOKUP(VENTAS[[#This Row],[Código del producto Vendido]],STOCK[],5,FALSE),"-")</f>
        <v>Sandalias de plataforma de rafia natural</v>
      </c>
      <c r="G1481" s="11">
        <v>1</v>
      </c>
      <c r="H1481" s="14">
        <v>45</v>
      </c>
      <c r="I1481" s="14">
        <f>VENTAS[[#This Row],[Cantidad]]*VENTAS[[#This Row],[Precio Venta]]</f>
        <v>45</v>
      </c>
      <c r="J1481" s="14">
        <f>IF(VENTAS[[#This Row],[Nombre del Gestor]]&gt;1,VENTAS[[#This Row],[Total]]*10%,0)</f>
        <v>4.5</v>
      </c>
      <c r="K1481" s="14">
        <f>IFERROR(VLOOKUP(VENTAS[[#This Row],[Código del producto Vendido]],STOCK[],16,FALSE)*VENTAS[[#This Row],[Cantidad]]+VLOOKUP(VENTAS[[#This Row],[Código del producto Vendido]],STOCK[],19,FALSE)*VENTAS[[#This Row],[Cantidad]],VENTAS[[#This Row],[Total]])</f>
        <v>19.65</v>
      </c>
      <c r="L1481" s="14">
        <f>VENTAS[[#This Row],[Total]]-VENTAS[[#This Row],[Comisión 10%]]-VENTAS[[#This Row],[Costo SIN Comision]]</f>
        <v>20.85</v>
      </c>
      <c r="M1481" s="14"/>
    </row>
    <row r="1482" ht="20" hidden="1" customHeight="1" spans="1:13">
      <c r="A1482" s="10">
        <v>45546</v>
      </c>
      <c r="B1482" s="11"/>
      <c r="C1482" s="11" t="s">
        <v>4436</v>
      </c>
      <c r="D1482" s="11" t="s">
        <v>4076</v>
      </c>
      <c r="E1482" s="11" t="s">
        <v>1409</v>
      </c>
      <c r="F1482" s="11" t="str">
        <f>IFERROR(VLOOKUP(VENTAS[[#This Row],[Código del producto Vendido]],STOCK[],5,FALSE),"-")</f>
        <v>Pantaloneta con abertura y bolsillos</v>
      </c>
      <c r="G1482" s="11">
        <v>1</v>
      </c>
      <c r="H1482" s="14">
        <v>20.7</v>
      </c>
      <c r="I1482" s="14">
        <f>VENTAS[[#This Row],[Cantidad]]*VENTAS[[#This Row],[Precio Venta]]</f>
        <v>20.7</v>
      </c>
      <c r="J1482" s="14">
        <f>IF(VENTAS[[#This Row],[Nombre del Gestor]]&gt;1,VENTAS[[#This Row],[Total]]*10%,0)</f>
        <v>2.07</v>
      </c>
      <c r="K1482" s="14">
        <f>IFERROR(VLOOKUP(VENTAS[[#This Row],[Código del producto Vendido]],STOCK[],16,FALSE)*VENTAS[[#This Row],[Cantidad]]+VLOOKUP(VENTAS[[#This Row],[Código del producto Vendido]],STOCK[],19,FALSE)*VENTAS[[#This Row],[Cantidad]],VENTAS[[#This Row],[Total]])</f>
        <v>14.22</v>
      </c>
      <c r="L1482" s="14">
        <f>VENTAS[[#This Row],[Total]]-VENTAS[[#This Row],[Comisión 10%]]-VENTAS[[#This Row],[Costo SIN Comision]]</f>
        <v>4.41</v>
      </c>
      <c r="M1482" s="14"/>
    </row>
    <row r="1483" ht="20" hidden="1" customHeight="1" spans="1:13">
      <c r="A1483" s="10">
        <v>45565</v>
      </c>
      <c r="B1483" s="11"/>
      <c r="C1483" s="11" t="s">
        <v>4437</v>
      </c>
      <c r="D1483" s="11" t="s">
        <v>4300</v>
      </c>
      <c r="E1483" s="11" t="s">
        <v>2938</v>
      </c>
      <c r="F1483" s="11" t="str">
        <f>IFERROR(VLOOKUP(VENTAS[[#This Row],[Código del producto Vendido]],STOCK[],5,FALSE),"-")</f>
        <v>Vestido maxi sólido con espalda ajustable</v>
      </c>
      <c r="G1483" s="11">
        <v>1</v>
      </c>
      <c r="H1483" s="14">
        <v>25</v>
      </c>
      <c r="I1483" s="14">
        <f>VENTAS[[#This Row],[Cantidad]]*VENTAS[[#This Row],[Precio Venta]]</f>
        <v>25</v>
      </c>
      <c r="J1483" s="14">
        <f>IF(VENTAS[[#This Row],[Nombre del Gestor]]&gt;1,VENTAS[[#This Row],[Total]]*10%,0)</f>
        <v>2.5</v>
      </c>
      <c r="K1483" s="14">
        <f>IFERROR(VLOOKUP(VENTAS[[#This Row],[Código del producto Vendido]],STOCK[],16,FALSE)*VENTAS[[#This Row],[Cantidad]]+VLOOKUP(VENTAS[[#This Row],[Código del producto Vendido]],STOCK[],19,FALSE)*VENTAS[[#This Row],[Cantidad]],VENTAS[[#This Row],[Total]])</f>
        <v>10.79</v>
      </c>
      <c r="L1483" s="14">
        <f>VENTAS[[#This Row],[Total]]-VENTAS[[#This Row],[Comisión 10%]]-VENTAS[[#This Row],[Costo SIN Comision]]</f>
        <v>11.71</v>
      </c>
      <c r="M1483" s="14"/>
    </row>
    <row r="1484" ht="20" hidden="1" customHeight="1" spans="1:13">
      <c r="A1484" s="10">
        <v>45564</v>
      </c>
      <c r="B1484" s="11"/>
      <c r="C1484" s="11" t="s">
        <v>4432</v>
      </c>
      <c r="D1484" s="11" t="s">
        <v>4300</v>
      </c>
      <c r="E1484" s="11" t="s">
        <v>1937</v>
      </c>
      <c r="F1484" s="11" t="str">
        <f>IFERROR(VLOOKUP(VENTAS[[#This Row],[Código del producto Vendido]],STOCK[],5,FALSE),"-")</f>
        <v>Sujetador suave de encaje y satén Beige</v>
      </c>
      <c r="G1484" s="11">
        <v>1</v>
      </c>
      <c r="H1484" s="14">
        <v>8</v>
      </c>
      <c r="I1484" s="14">
        <f>VENTAS[[#This Row],[Cantidad]]*VENTAS[[#This Row],[Precio Venta]]</f>
        <v>8</v>
      </c>
      <c r="J1484" s="14">
        <f>IF(VENTAS[[#This Row],[Nombre del Gestor]]&gt;1,VENTAS[[#This Row],[Total]]*10%,0)</f>
        <v>0.8</v>
      </c>
      <c r="K1484" s="14">
        <f>IFERROR(VLOOKUP(VENTAS[[#This Row],[Código del producto Vendido]],STOCK[],16,FALSE)*VENTAS[[#This Row],[Cantidad]]+VLOOKUP(VENTAS[[#This Row],[Código del producto Vendido]],STOCK[],19,FALSE)*VENTAS[[#This Row],[Cantidad]],VENTAS[[#This Row],[Total]])</f>
        <v>3.85</v>
      </c>
      <c r="L1484" s="14">
        <f>VENTAS[[#This Row],[Total]]-VENTAS[[#This Row],[Comisión 10%]]-VENTAS[[#This Row],[Costo SIN Comision]]</f>
        <v>3.35</v>
      </c>
      <c r="M1484" s="14"/>
    </row>
    <row r="1485" ht="20" hidden="1" customHeight="1" spans="1:13">
      <c r="A1485" s="10">
        <v>45562</v>
      </c>
      <c r="B1485" s="11"/>
      <c r="C1485" s="11" t="s">
        <v>4438</v>
      </c>
      <c r="D1485" s="11" t="s">
        <v>4300</v>
      </c>
      <c r="E1485" s="11" t="s">
        <v>2797</v>
      </c>
      <c r="F1485" s="11" t="str">
        <f>IFERROR(VLOOKUP(VENTAS[[#This Row],[Código del producto Vendido]],STOCK[],5,FALSE),"-")</f>
        <v>Sandalias estilo chunky de suela gruesa en contraste de color</v>
      </c>
      <c r="G1485" s="11">
        <v>1</v>
      </c>
      <c r="H1485" s="14">
        <v>35</v>
      </c>
      <c r="I1485" s="14">
        <f>VENTAS[[#This Row],[Cantidad]]*VENTAS[[#This Row],[Precio Venta]]</f>
        <v>35</v>
      </c>
      <c r="J1485" s="14">
        <f>IF(VENTAS[[#This Row],[Nombre del Gestor]]&gt;1,VENTAS[[#This Row],[Total]]*10%,0)</f>
        <v>3.5</v>
      </c>
      <c r="K1485" s="14">
        <f>IFERROR(VLOOKUP(VENTAS[[#This Row],[Código del producto Vendido]],STOCK[],16,FALSE)*VENTAS[[#This Row],[Cantidad]]+VLOOKUP(VENTAS[[#This Row],[Código del producto Vendido]],STOCK[],19,FALSE)*VENTAS[[#This Row],[Cantidad]],VENTAS[[#This Row],[Total]])</f>
        <v>19.65</v>
      </c>
      <c r="L1485" s="14">
        <f>VENTAS[[#This Row],[Total]]-VENTAS[[#This Row],[Comisión 10%]]-VENTAS[[#This Row],[Costo SIN Comision]]</f>
        <v>11.85</v>
      </c>
      <c r="M1485" s="14"/>
    </row>
    <row r="1486" ht="20" hidden="1" customHeight="1" spans="1:13">
      <c r="A1486" s="10">
        <v>45562</v>
      </c>
      <c r="B1486" s="11"/>
      <c r="C1486" s="11" t="s">
        <v>4439</v>
      </c>
      <c r="D1486" s="11" t="s">
        <v>4300</v>
      </c>
      <c r="E1486" s="11" t="s">
        <v>2815</v>
      </c>
      <c r="F1486" s="11" t="str">
        <f>IFERROR(VLOOKUP(VENTAS[[#This Row],[Código del producto Vendido]],STOCK[],5,FALSE),"-")</f>
        <v>Bolso de ratán de Moda para vacaciones tamaño mediano con diseño de listas negras</v>
      </c>
      <c r="G1486" s="11">
        <v>1</v>
      </c>
      <c r="H1486" s="14">
        <v>22</v>
      </c>
      <c r="I1486" s="14">
        <f>VENTAS[[#This Row],[Cantidad]]*VENTAS[[#This Row],[Precio Venta]]</f>
        <v>22</v>
      </c>
      <c r="J1486" s="14">
        <f>IF(VENTAS[[#This Row],[Nombre del Gestor]]&gt;1,VENTAS[[#This Row],[Total]]*10%,0)</f>
        <v>2.2</v>
      </c>
      <c r="K1486" s="14">
        <f>IFERROR(VLOOKUP(VENTAS[[#This Row],[Código del producto Vendido]],STOCK[],16,FALSE)*VENTAS[[#This Row],[Cantidad]]+VLOOKUP(VENTAS[[#This Row],[Código del producto Vendido]],STOCK[],19,FALSE)*VENTAS[[#This Row],[Cantidad]],VENTAS[[#This Row],[Total]])</f>
        <v>12.17</v>
      </c>
      <c r="L1486" s="14">
        <f>VENTAS[[#This Row],[Total]]-VENTAS[[#This Row],[Comisión 10%]]-VENTAS[[#This Row],[Costo SIN Comision]]</f>
        <v>7.63</v>
      </c>
      <c r="M1486" s="14"/>
    </row>
    <row r="1487" ht="20" hidden="1" customHeight="1" spans="1:13">
      <c r="A1487" s="10">
        <v>45558</v>
      </c>
      <c r="B1487" s="11"/>
      <c r="C1487" s="11" t="s">
        <v>4440</v>
      </c>
      <c r="D1487" s="11" t="s">
        <v>4300</v>
      </c>
      <c r="E1487" s="11" t="s">
        <v>2733</v>
      </c>
      <c r="F1487" s="11" t="str">
        <f>IFERROR(VLOOKUP(VENTAS[[#This Row],[Código del producto Vendido]],STOCK[],5,FALSE),"-")</f>
        <v>Traje de baño sexy de una sola pieza negro</v>
      </c>
      <c r="G1487" s="11">
        <v>1</v>
      </c>
      <c r="H1487" s="14">
        <v>20</v>
      </c>
      <c r="I1487" s="14">
        <f>VENTAS[[#This Row],[Cantidad]]*VENTAS[[#This Row],[Precio Venta]]</f>
        <v>20</v>
      </c>
      <c r="J1487" s="14">
        <f>IF(VENTAS[[#This Row],[Nombre del Gestor]]&gt;1,VENTAS[[#This Row],[Total]]*10%,0)</f>
        <v>2</v>
      </c>
      <c r="K1487" s="14">
        <f>IFERROR(VLOOKUP(VENTAS[[#This Row],[Código del producto Vendido]],STOCK[],16,FALSE)*VENTAS[[#This Row],[Cantidad]]+VLOOKUP(VENTAS[[#This Row],[Código del producto Vendido]],STOCK[],19,FALSE)*VENTAS[[#This Row],[Cantidad]],VENTAS[[#This Row],[Total]])</f>
        <v>11.06</v>
      </c>
      <c r="L1487" s="14">
        <f>VENTAS[[#This Row],[Total]]-VENTAS[[#This Row],[Comisión 10%]]-VENTAS[[#This Row],[Costo SIN Comision]]</f>
        <v>6.94</v>
      </c>
      <c r="M1487" s="14"/>
    </row>
    <row r="1488" ht="20" hidden="1" customHeight="1" spans="1:13">
      <c r="A1488" s="10">
        <v>45565</v>
      </c>
      <c r="B1488" s="11"/>
      <c r="C1488" s="11" t="s">
        <v>4441</v>
      </c>
      <c r="D1488" s="11" t="s">
        <v>4241</v>
      </c>
      <c r="E1488" s="11" t="s">
        <v>2825</v>
      </c>
      <c r="F1488" s="11" t="str">
        <f>IFERROR(VLOOKUP(VENTAS[[#This Row],[Código del producto Vendido]],STOCK[],5,FALSE),"-")</f>
        <v>Bolso tejido redondo de gran capacidad Beis</v>
      </c>
      <c r="G1488" s="11">
        <v>1</v>
      </c>
      <c r="H1488" s="14">
        <v>25</v>
      </c>
      <c r="I1488" s="14">
        <f>VENTAS[[#This Row],[Cantidad]]*VENTAS[[#This Row],[Precio Venta]]</f>
        <v>25</v>
      </c>
      <c r="J1488" s="14">
        <f>IF(VENTAS[[#This Row],[Nombre del Gestor]]&gt;1,VENTAS[[#This Row],[Total]]*10%,0)</f>
        <v>2.5</v>
      </c>
      <c r="K1488" s="14">
        <f>IFERROR(VLOOKUP(VENTAS[[#This Row],[Código del producto Vendido]],STOCK[],16,FALSE)*VENTAS[[#This Row],[Cantidad]]+VLOOKUP(VENTAS[[#This Row],[Código del producto Vendido]],STOCK[],19,FALSE)*VENTAS[[#This Row],[Cantidad]],VENTAS[[#This Row],[Total]])</f>
        <v>12.74</v>
      </c>
      <c r="L1488" s="14">
        <f>VENTAS[[#This Row],[Total]]-VENTAS[[#This Row],[Comisión 10%]]-VENTAS[[#This Row],[Costo SIN Comision]]</f>
        <v>9.76</v>
      </c>
      <c r="M1488" s="14"/>
    </row>
    <row r="1489" ht="20" hidden="1" customHeight="1" spans="1:13">
      <c r="A1489" s="10">
        <v>45565</v>
      </c>
      <c r="B1489" s="11"/>
      <c r="C1489" s="11" t="s">
        <v>4442</v>
      </c>
      <c r="D1489" s="11" t="s">
        <v>4241</v>
      </c>
      <c r="E1489" s="11" t="s">
        <v>2829</v>
      </c>
      <c r="F1489" s="11" t="str">
        <f>IFERROR(VLOOKUP(VENTAS[[#This Row],[Código del producto Vendido]],STOCK[],5,FALSE),"-")</f>
        <v>Bolso tejido redondo de gran capacidad Ojo Turco</v>
      </c>
      <c r="G1489" s="11">
        <v>1</v>
      </c>
      <c r="H1489" s="14">
        <v>25</v>
      </c>
      <c r="I1489" s="14">
        <f>VENTAS[[#This Row],[Cantidad]]*VENTAS[[#This Row],[Precio Venta]]</f>
        <v>25</v>
      </c>
      <c r="J1489" s="14">
        <f>IF(VENTAS[[#This Row],[Nombre del Gestor]]&gt;1,VENTAS[[#This Row],[Total]]*10%,0)</f>
        <v>2.5</v>
      </c>
      <c r="K1489" s="14">
        <f>IFERROR(VLOOKUP(VENTAS[[#This Row],[Código del producto Vendido]],STOCK[],16,FALSE)*VENTAS[[#This Row],[Cantidad]]+VLOOKUP(VENTAS[[#This Row],[Código del producto Vendido]],STOCK[],19,FALSE)*VENTAS[[#This Row],[Cantidad]],VENTAS[[#This Row],[Total]])</f>
        <v>13.03</v>
      </c>
      <c r="L1489" s="14">
        <f>VENTAS[[#This Row],[Total]]-VENTAS[[#This Row],[Comisión 10%]]-VENTAS[[#This Row],[Costo SIN Comision]]</f>
        <v>9.47</v>
      </c>
      <c r="M1489" s="14"/>
    </row>
    <row r="1490" ht="20" hidden="1" customHeight="1" spans="1:13">
      <c r="A1490" s="10">
        <v>45564</v>
      </c>
      <c r="B1490" s="11"/>
      <c r="C1490" s="11" t="s">
        <v>4443</v>
      </c>
      <c r="D1490" s="11" t="s">
        <v>4241</v>
      </c>
      <c r="E1490" s="11" t="s">
        <v>2820</v>
      </c>
      <c r="F1490" s="11" t="str">
        <f>IFERROR(VLOOKUP(VENTAS[[#This Row],[Código del producto Vendido]],STOCK[],5,FALSE),"-")</f>
        <v>Bolso de diario ligero y casual de gran capacidad elegante de cocodrilo</v>
      </c>
      <c r="G1490" s="11">
        <v>1</v>
      </c>
      <c r="H1490" s="14">
        <v>25</v>
      </c>
      <c r="I1490" s="14">
        <f>VENTAS[[#This Row],[Cantidad]]*VENTAS[[#This Row],[Precio Venta]]</f>
        <v>25</v>
      </c>
      <c r="J1490" s="14">
        <f>IF(VENTAS[[#This Row],[Nombre del Gestor]]&gt;1,VENTAS[[#This Row],[Total]]*10%,0)</f>
        <v>2.5</v>
      </c>
      <c r="K1490" s="14">
        <f>IFERROR(VLOOKUP(VENTAS[[#This Row],[Código del producto Vendido]],STOCK[],16,FALSE)*VENTAS[[#This Row],[Cantidad]]+VLOOKUP(VENTAS[[#This Row],[Código del producto Vendido]],STOCK[],19,FALSE)*VENTAS[[#This Row],[Cantidad]],VENTAS[[#This Row],[Total]])</f>
        <v>10.14</v>
      </c>
      <c r="L1490" s="14">
        <f>VENTAS[[#This Row],[Total]]-VENTAS[[#This Row],[Comisión 10%]]-VENTAS[[#This Row],[Costo SIN Comision]]</f>
        <v>12.36</v>
      </c>
      <c r="M1490" s="14"/>
    </row>
    <row r="1491" ht="20" hidden="1" customHeight="1" spans="1:13">
      <c r="A1491" s="10">
        <v>45564</v>
      </c>
      <c r="B1491" s="11"/>
      <c r="C1491" s="11" t="s">
        <v>4444</v>
      </c>
      <c r="D1491" s="11" t="s">
        <v>4241</v>
      </c>
      <c r="E1491" s="11" t="s">
        <v>2815</v>
      </c>
      <c r="F1491" s="11" t="str">
        <f>IFERROR(VLOOKUP(VENTAS[[#This Row],[Código del producto Vendido]],STOCK[],5,FALSE),"-")</f>
        <v>Bolso de ratán de Moda para vacaciones tamaño mediano con diseño de listas negras</v>
      </c>
      <c r="G1491" s="11">
        <v>1</v>
      </c>
      <c r="H1491" s="14">
        <v>22</v>
      </c>
      <c r="I1491" s="14">
        <f>VENTAS[[#This Row],[Cantidad]]*VENTAS[[#This Row],[Precio Venta]]</f>
        <v>22</v>
      </c>
      <c r="J1491" s="14">
        <f>IF(VENTAS[[#This Row],[Nombre del Gestor]]&gt;1,VENTAS[[#This Row],[Total]]*10%,0)</f>
        <v>2.2</v>
      </c>
      <c r="K1491" s="14">
        <f>IFERROR(VLOOKUP(VENTAS[[#This Row],[Código del producto Vendido]],STOCK[],16,FALSE)*VENTAS[[#This Row],[Cantidad]]+VLOOKUP(VENTAS[[#This Row],[Código del producto Vendido]],STOCK[],19,FALSE)*VENTAS[[#This Row],[Cantidad]],VENTAS[[#This Row],[Total]])</f>
        <v>12.17</v>
      </c>
      <c r="L1491" s="14">
        <f>VENTAS[[#This Row],[Total]]-VENTAS[[#This Row],[Comisión 10%]]-VENTAS[[#This Row],[Costo SIN Comision]]</f>
        <v>7.63</v>
      </c>
      <c r="M1491" s="14"/>
    </row>
    <row r="1492" ht="20" hidden="1" customHeight="1" spans="1:13">
      <c r="A1492" s="10">
        <v>45563</v>
      </c>
      <c r="B1492" s="11"/>
      <c r="C1492" s="11" t="s">
        <v>4445</v>
      </c>
      <c r="D1492" s="11" t="s">
        <v>4241</v>
      </c>
      <c r="E1492" s="11" t="s">
        <v>2804</v>
      </c>
      <c r="F1492" s="11" t="str">
        <f>IFERROR(VLOOKUP(VENTAS[[#This Row],[Código del producto Vendido]],STOCK[],5,FALSE),"-")</f>
        <v>Sandalias espadriles de cuña de correas transparentes</v>
      </c>
      <c r="G1492" s="11">
        <v>1</v>
      </c>
      <c r="H1492" s="14">
        <v>40</v>
      </c>
      <c r="I1492" s="14">
        <f>VENTAS[[#This Row],[Cantidad]]*VENTAS[[#This Row],[Precio Venta]]</f>
        <v>40</v>
      </c>
      <c r="J1492" s="14">
        <f>IF(VENTAS[[#This Row],[Nombre del Gestor]]&gt;1,VENTAS[[#This Row],[Total]]*10%,0)</f>
        <v>4</v>
      </c>
      <c r="K1492" s="14">
        <f>IFERROR(VLOOKUP(VENTAS[[#This Row],[Código del producto Vendido]],STOCK[],16,FALSE)*VENTAS[[#This Row],[Cantidad]]+VLOOKUP(VENTAS[[#This Row],[Código del producto Vendido]],STOCK[],19,FALSE)*VENTAS[[#This Row],[Cantidad]],VENTAS[[#This Row],[Total]])</f>
        <v>13.01</v>
      </c>
      <c r="L1492" s="14">
        <f>VENTAS[[#This Row],[Total]]-VENTAS[[#This Row],[Comisión 10%]]-VENTAS[[#This Row],[Costo SIN Comision]]</f>
        <v>22.99</v>
      </c>
      <c r="M1492" s="14"/>
    </row>
    <row r="1493" ht="20" hidden="1" customHeight="1" spans="1:13">
      <c r="A1493" s="10">
        <v>45565</v>
      </c>
      <c r="B1493" s="11"/>
      <c r="C1493" s="11" t="s">
        <v>4446</v>
      </c>
      <c r="D1493" s="11" t="s">
        <v>4241</v>
      </c>
      <c r="E1493" s="11" t="s">
        <v>2783</v>
      </c>
      <c r="F1493" s="11" t="str">
        <f>IFERROR(VLOOKUP(VENTAS[[#This Row],[Código del producto Vendido]],STOCK[],5,FALSE),"-")</f>
        <v>Sandalias naranjas espadriles de saco atadas con hebilla al tobillo</v>
      </c>
      <c r="G1493" s="11">
        <v>1</v>
      </c>
      <c r="H1493" s="14">
        <v>35</v>
      </c>
      <c r="I1493" s="14">
        <f>VENTAS[[#This Row],[Cantidad]]*VENTAS[[#This Row],[Precio Venta]]</f>
        <v>35</v>
      </c>
      <c r="J1493" s="14">
        <f>IF(VENTAS[[#This Row],[Nombre del Gestor]]&gt;1,VENTAS[[#This Row],[Total]]*10%,0)</f>
        <v>3.5</v>
      </c>
      <c r="K1493" s="14">
        <f>IFERROR(VLOOKUP(VENTAS[[#This Row],[Código del producto Vendido]],STOCK[],16,FALSE)*VENTAS[[#This Row],[Cantidad]]+VLOOKUP(VENTAS[[#This Row],[Código del producto Vendido]],STOCK[],19,FALSE)*VENTAS[[#This Row],[Cantidad]],VENTAS[[#This Row],[Total]])</f>
        <v>10.4</v>
      </c>
      <c r="L1493" s="14">
        <f>VENTAS[[#This Row],[Total]]-VENTAS[[#This Row],[Comisión 10%]]-VENTAS[[#This Row],[Costo SIN Comision]]</f>
        <v>21.1</v>
      </c>
      <c r="M1493" s="14"/>
    </row>
    <row r="1494" ht="20" hidden="1" customHeight="1" spans="1:13">
      <c r="A1494" s="10">
        <v>45560</v>
      </c>
      <c r="B1494" s="11"/>
      <c r="C1494" s="11" t="s">
        <v>4447</v>
      </c>
      <c r="D1494" s="11" t="s">
        <v>4241</v>
      </c>
      <c r="E1494" s="11" t="s">
        <v>2827</v>
      </c>
      <c r="F1494" s="11" t="str">
        <f>IFERROR(VLOOKUP(VENTAS[[#This Row],[Código del producto Vendido]],STOCK[],5,FALSE),"-")</f>
        <v>Bolso tejido redondo de gran capacidad Carmelita</v>
      </c>
      <c r="G1494" s="11">
        <v>1</v>
      </c>
      <c r="H1494" s="14">
        <v>25</v>
      </c>
      <c r="I1494" s="14">
        <f>VENTAS[[#This Row],[Cantidad]]*VENTAS[[#This Row],[Precio Venta]]</f>
        <v>25</v>
      </c>
      <c r="J1494" s="14">
        <f>IF(VENTAS[[#This Row],[Nombre del Gestor]]&gt;1,VENTAS[[#This Row],[Total]]*10%,0)</f>
        <v>2.5</v>
      </c>
      <c r="K1494" s="14">
        <f>IFERROR(VLOOKUP(VENTAS[[#This Row],[Código del producto Vendido]],STOCK[],16,FALSE)*VENTAS[[#This Row],[Cantidad]]+VLOOKUP(VENTAS[[#This Row],[Código del producto Vendido]],STOCK[],19,FALSE)*VENTAS[[#This Row],[Cantidad]],VENTAS[[#This Row],[Total]])</f>
        <v>13.31</v>
      </c>
      <c r="L1494" s="14">
        <f>VENTAS[[#This Row],[Total]]-VENTAS[[#This Row],[Comisión 10%]]-VENTAS[[#This Row],[Costo SIN Comision]]</f>
        <v>9.19</v>
      </c>
      <c r="M1494" s="14"/>
    </row>
    <row r="1495" ht="20" hidden="1" customHeight="1" spans="1:13">
      <c r="A1495" s="10">
        <v>45560</v>
      </c>
      <c r="B1495" s="11"/>
      <c r="C1495" s="11" t="s">
        <v>4448</v>
      </c>
      <c r="D1495" s="11" t="s">
        <v>4241</v>
      </c>
      <c r="E1495" s="11" t="s">
        <v>2857</v>
      </c>
      <c r="F1495" s="11" t="str">
        <f>IFERROR(VLOOKUP(VENTAS[[#This Row],[Código del producto Vendido]],STOCK[],5,FALSE),"-")</f>
        <v>Bolso cuadrado tejido de rafia Tamaño grande Color Carmelita</v>
      </c>
      <c r="G1495" s="11">
        <v>1</v>
      </c>
      <c r="H1495" s="14">
        <v>25</v>
      </c>
      <c r="I1495" s="14">
        <f>VENTAS[[#This Row],[Cantidad]]*VENTAS[[#This Row],[Precio Venta]]</f>
        <v>25</v>
      </c>
      <c r="J1495" s="14">
        <f>IF(VENTAS[[#This Row],[Nombre del Gestor]]&gt;1,VENTAS[[#This Row],[Total]]*10%,0)</f>
        <v>2.5</v>
      </c>
      <c r="K1495" s="14">
        <f>IFERROR(VLOOKUP(VENTAS[[#This Row],[Código del producto Vendido]],STOCK[],16,FALSE)*VENTAS[[#This Row],[Cantidad]]+VLOOKUP(VENTAS[[#This Row],[Código del producto Vendido]],STOCK[],19,FALSE)*VENTAS[[#This Row],[Cantidad]],VENTAS[[#This Row],[Total]])</f>
        <v>14.85</v>
      </c>
      <c r="L1495" s="14">
        <f>VENTAS[[#This Row],[Total]]-VENTAS[[#This Row],[Comisión 10%]]-VENTAS[[#This Row],[Costo SIN Comision]]</f>
        <v>7.65</v>
      </c>
      <c r="M1495" s="14"/>
    </row>
    <row r="1496" ht="20" hidden="1" customHeight="1" spans="1:13">
      <c r="A1496" s="10">
        <v>45560</v>
      </c>
      <c r="B1496" s="11"/>
      <c r="C1496" s="11" t="s">
        <v>4449</v>
      </c>
      <c r="D1496" s="11" t="s">
        <v>4241</v>
      </c>
      <c r="E1496" s="11" t="s">
        <v>2815</v>
      </c>
      <c r="F1496" s="11" t="str">
        <f>IFERROR(VLOOKUP(VENTAS[[#This Row],[Código del producto Vendido]],STOCK[],5,FALSE),"-")</f>
        <v>Bolso de ratán de Moda para vacaciones tamaño mediano con diseño de listas negras</v>
      </c>
      <c r="G1496" s="11">
        <v>1</v>
      </c>
      <c r="H1496" s="14">
        <v>22</v>
      </c>
      <c r="I1496" s="14">
        <f>VENTAS[[#This Row],[Cantidad]]*VENTAS[[#This Row],[Precio Venta]]</f>
        <v>22</v>
      </c>
      <c r="J1496" s="14">
        <f>IF(VENTAS[[#This Row],[Nombre del Gestor]]&gt;1,VENTAS[[#This Row],[Total]]*10%,0)</f>
        <v>2.2</v>
      </c>
      <c r="K1496" s="14">
        <f>IFERROR(VLOOKUP(VENTAS[[#This Row],[Código del producto Vendido]],STOCK[],16,FALSE)*VENTAS[[#This Row],[Cantidad]]+VLOOKUP(VENTAS[[#This Row],[Código del producto Vendido]],STOCK[],19,FALSE)*VENTAS[[#This Row],[Cantidad]],VENTAS[[#This Row],[Total]])</f>
        <v>12.17</v>
      </c>
      <c r="L1496" s="14">
        <f>VENTAS[[#This Row],[Total]]-VENTAS[[#This Row],[Comisión 10%]]-VENTAS[[#This Row],[Costo SIN Comision]]</f>
        <v>7.63</v>
      </c>
      <c r="M1496" s="14"/>
    </row>
    <row r="1497" ht="20" hidden="1" customHeight="1" spans="1:13">
      <c r="A1497" s="10">
        <v>45558</v>
      </c>
      <c r="B1497" s="11"/>
      <c r="C1497" s="11" t="s">
        <v>4429</v>
      </c>
      <c r="D1497" s="11" t="s">
        <v>4241</v>
      </c>
      <c r="E1497" s="11" t="s">
        <v>3022</v>
      </c>
      <c r="F1497" s="11" t="str">
        <f>IFERROR(VLOOKUP(VENTAS[[#This Row],[Código del producto Vendido]],STOCK[],5,FALSE),"-")</f>
        <v>falda negra con abertura H&amp;M</v>
      </c>
      <c r="G1497" s="11">
        <v>1</v>
      </c>
      <c r="H1497" s="14">
        <v>25</v>
      </c>
      <c r="I1497" s="14">
        <f>VENTAS[[#This Row],[Cantidad]]*VENTAS[[#This Row],[Precio Venta]]</f>
        <v>25</v>
      </c>
      <c r="J1497" s="14">
        <f>IF(VENTAS[[#This Row],[Nombre del Gestor]]&gt;1,VENTAS[[#This Row],[Total]]*10%,0)</f>
        <v>2.5</v>
      </c>
      <c r="K1497" s="14">
        <f>IFERROR(VLOOKUP(VENTAS[[#This Row],[Código del producto Vendido]],STOCK[],16,FALSE)*VENTAS[[#This Row],[Cantidad]]+VLOOKUP(VENTAS[[#This Row],[Código del producto Vendido]],STOCK[],19,FALSE)*VENTAS[[#This Row],[Cantidad]],VENTAS[[#This Row],[Total]])</f>
        <v>14.6</v>
      </c>
      <c r="L1497" s="14">
        <f>VENTAS[[#This Row],[Total]]-VENTAS[[#This Row],[Comisión 10%]]-VENTAS[[#This Row],[Costo SIN Comision]]</f>
        <v>7.9</v>
      </c>
      <c r="M1497" s="14"/>
    </row>
    <row r="1498" ht="20" hidden="1" customHeight="1" spans="1:13">
      <c r="A1498" s="10">
        <v>45536</v>
      </c>
      <c r="B1498" s="11"/>
      <c r="C1498" s="11" t="s">
        <v>4450</v>
      </c>
      <c r="D1498" s="11" t="s">
        <v>4241</v>
      </c>
      <c r="E1498" s="11" t="s">
        <v>2455</v>
      </c>
      <c r="F1498" s="11" t="str">
        <f>IFERROR(VLOOKUP(VENTAS[[#This Row],[Código del producto Vendido]],STOCK[],5,FALSE),"-")</f>
        <v>Sandalias prácticas Chunky Negras</v>
      </c>
      <c r="G1498" s="11">
        <v>1</v>
      </c>
      <c r="H1498" s="14">
        <v>35</v>
      </c>
      <c r="I1498" s="14">
        <f>VENTAS[[#This Row],[Cantidad]]*VENTAS[[#This Row],[Precio Venta]]</f>
        <v>35</v>
      </c>
      <c r="J1498" s="14">
        <f>IF(VENTAS[[#This Row],[Nombre del Gestor]]&gt;1,VENTAS[[#This Row],[Total]]*10%,0)</f>
        <v>3.5</v>
      </c>
      <c r="K1498" s="14">
        <f>IFERROR(VLOOKUP(VENTAS[[#This Row],[Código del producto Vendido]],STOCK[],16,FALSE)*VENTAS[[#This Row],[Cantidad]]+VLOOKUP(VENTAS[[#This Row],[Código del producto Vendido]],STOCK[],19,FALSE)*VENTAS[[#This Row],[Cantidad]],VENTAS[[#This Row],[Total]])</f>
        <v>21.97</v>
      </c>
      <c r="L1498" s="14">
        <f>VENTAS[[#This Row],[Total]]-VENTAS[[#This Row],[Comisión 10%]]-VENTAS[[#This Row],[Costo SIN Comision]]</f>
        <v>9.53</v>
      </c>
      <c r="M1498" s="14"/>
    </row>
    <row r="1499" ht="20" hidden="1" customHeight="1" spans="1:13">
      <c r="A1499" s="10">
        <v>45565</v>
      </c>
      <c r="B1499" s="11"/>
      <c r="C1499" s="11" t="s">
        <v>4361</v>
      </c>
      <c r="D1499" s="11" t="s">
        <v>4266</v>
      </c>
      <c r="E1499" s="11" t="s">
        <v>2820</v>
      </c>
      <c r="F1499" s="11" t="str">
        <f>IFERROR(VLOOKUP(VENTAS[[#This Row],[Código del producto Vendido]],STOCK[],5,FALSE),"-")</f>
        <v>Bolso de diario ligero y casual de gran capacidad elegante de cocodrilo</v>
      </c>
      <c r="G1499" s="11">
        <v>1</v>
      </c>
      <c r="H1499" s="14">
        <v>25</v>
      </c>
      <c r="I1499" s="14">
        <f>VENTAS[[#This Row],[Cantidad]]*VENTAS[[#This Row],[Precio Venta]]</f>
        <v>25</v>
      </c>
      <c r="J1499" s="14">
        <f>IF(VENTAS[[#This Row],[Nombre del Gestor]]&gt;1,VENTAS[[#This Row],[Total]]*10%,0)</f>
        <v>2.5</v>
      </c>
      <c r="K1499" s="14">
        <f>IFERROR(VLOOKUP(VENTAS[[#This Row],[Código del producto Vendido]],STOCK[],16,FALSE)*VENTAS[[#This Row],[Cantidad]]+VLOOKUP(VENTAS[[#This Row],[Código del producto Vendido]],STOCK[],19,FALSE)*VENTAS[[#This Row],[Cantidad]],VENTAS[[#This Row],[Total]])</f>
        <v>10.14</v>
      </c>
      <c r="L1499" s="14">
        <f>VENTAS[[#This Row],[Total]]-VENTAS[[#This Row],[Comisión 10%]]-VENTAS[[#This Row],[Costo SIN Comision]]</f>
        <v>12.36</v>
      </c>
      <c r="M1499" s="14"/>
    </row>
    <row r="1500" ht="20" hidden="1" customHeight="1" spans="1:13">
      <c r="A1500" s="10">
        <v>45565</v>
      </c>
      <c r="B1500" s="11"/>
      <c r="C1500" s="11" t="s">
        <v>4210</v>
      </c>
      <c r="D1500" s="11"/>
      <c r="E1500" s="11" t="s">
        <v>2455</v>
      </c>
      <c r="F1500" s="11" t="str">
        <f>IFERROR(VLOOKUP(VENTAS[[#This Row],[Código del producto Vendido]],STOCK[],5,FALSE),"-")</f>
        <v>Sandalias prácticas Chunky Negras</v>
      </c>
      <c r="G1500" s="11">
        <v>2</v>
      </c>
      <c r="H1500" s="14">
        <v>35</v>
      </c>
      <c r="I1500" s="14">
        <f>VENTAS[[#This Row],[Cantidad]]*VENTAS[[#This Row],[Precio Venta]]</f>
        <v>70</v>
      </c>
      <c r="J1500" s="14">
        <f>IF(VENTAS[[#This Row],[Nombre del Gestor]]&gt;1,VENTAS[[#This Row],[Total]]*10%,0)</f>
        <v>0</v>
      </c>
      <c r="K1500" s="14">
        <f>IFERROR(VLOOKUP(VENTAS[[#This Row],[Código del producto Vendido]],STOCK[],16,FALSE)*VENTAS[[#This Row],[Cantidad]]+VLOOKUP(VENTAS[[#This Row],[Código del producto Vendido]],STOCK[],19,FALSE)*VENTAS[[#This Row],[Cantidad]],VENTAS[[#This Row],[Total]])</f>
        <v>43.94</v>
      </c>
      <c r="L1500" s="14">
        <f>VENTAS[[#This Row],[Total]]-VENTAS[[#This Row],[Comisión 10%]]-VENTAS[[#This Row],[Costo SIN Comision]]</f>
        <v>26.06</v>
      </c>
      <c r="M1500" s="14"/>
    </row>
    <row r="1501" ht="20" hidden="1" customHeight="1" spans="1:13">
      <c r="A1501" s="10">
        <v>45564</v>
      </c>
      <c r="B1501" s="11"/>
      <c r="C1501" s="11" t="s">
        <v>4380</v>
      </c>
      <c r="D1501" s="11" t="s">
        <v>4076</v>
      </c>
      <c r="E1501" s="11" t="s">
        <v>2506</v>
      </c>
      <c r="F1501" s="11" t="str">
        <f>IFERROR(VLOOKUP(VENTAS[[#This Row],[Código del producto Vendido]],STOCK[],5,FALSE),"-")</f>
        <v>Camisa elegante con lazo grande</v>
      </c>
      <c r="G1501" s="11">
        <v>1</v>
      </c>
      <c r="H1501" s="14">
        <v>20</v>
      </c>
      <c r="I1501" s="14">
        <f>VENTAS[[#This Row],[Cantidad]]*VENTAS[[#This Row],[Precio Venta]]</f>
        <v>20</v>
      </c>
      <c r="J1501" s="14">
        <f>IF(VENTAS[[#This Row],[Nombre del Gestor]]&gt;1,VENTAS[[#This Row],[Total]]*10%,0)</f>
        <v>2</v>
      </c>
      <c r="K1501" s="14">
        <f>IFERROR(VLOOKUP(VENTAS[[#This Row],[Código del producto Vendido]],STOCK[],16,FALSE)*VENTAS[[#This Row],[Cantidad]]+VLOOKUP(VENTAS[[#This Row],[Código del producto Vendido]],STOCK[],19,FALSE)*VENTAS[[#This Row],[Cantidad]],VENTAS[[#This Row],[Total]])</f>
        <v>10.92</v>
      </c>
      <c r="L1501" s="14">
        <f>VENTAS[[#This Row],[Total]]-VENTAS[[#This Row],[Comisión 10%]]-VENTAS[[#This Row],[Costo SIN Comision]]</f>
        <v>7.08</v>
      </c>
      <c r="M1501" s="14"/>
    </row>
    <row r="1502" ht="20" hidden="1" customHeight="1" spans="1:13">
      <c r="A1502" s="10">
        <v>45565</v>
      </c>
      <c r="B1502" s="11"/>
      <c r="C1502" s="11" t="s">
        <v>4451</v>
      </c>
      <c r="D1502" s="11" t="s">
        <v>4266</v>
      </c>
      <c r="E1502" s="11" t="s">
        <v>3013</v>
      </c>
      <c r="F1502" s="11" t="str">
        <f>IFERROR(VLOOKUP(VENTAS[[#This Row],[Código del producto Vendido]],STOCK[],5,FALSE),"-")</f>
        <v>Pantalón alto de pierna ancha color caramelo</v>
      </c>
      <c r="G1502" s="11">
        <v>1</v>
      </c>
      <c r="H1502" s="14">
        <v>30</v>
      </c>
      <c r="I1502" s="14">
        <f>VENTAS[[#This Row],[Cantidad]]*VENTAS[[#This Row],[Precio Venta]]</f>
        <v>30</v>
      </c>
      <c r="J1502" s="14">
        <f>IF(VENTAS[[#This Row],[Nombre del Gestor]]&gt;1,VENTAS[[#This Row],[Total]]*10%,0)</f>
        <v>3</v>
      </c>
      <c r="K1502" s="14">
        <f>IFERROR(VLOOKUP(VENTAS[[#This Row],[Código del producto Vendido]],STOCK[],16,FALSE)*VENTAS[[#This Row],[Cantidad]]+VLOOKUP(VENTAS[[#This Row],[Código del producto Vendido]],STOCK[],19,FALSE)*VENTAS[[#This Row],[Cantidad]],VENTAS[[#This Row],[Total]])</f>
        <v>12.63</v>
      </c>
      <c r="L1502" s="14">
        <f>VENTAS[[#This Row],[Total]]-VENTAS[[#This Row],[Comisión 10%]]-VENTAS[[#This Row],[Costo SIN Comision]]</f>
        <v>14.37</v>
      </c>
      <c r="M1502" s="14"/>
    </row>
    <row r="1503" ht="20" hidden="1" customHeight="1" spans="1:13">
      <c r="A1503" s="10">
        <v>45565</v>
      </c>
      <c r="B1503" s="11"/>
      <c r="C1503" s="11" t="s">
        <v>4452</v>
      </c>
      <c r="D1503" s="11" t="s">
        <v>4266</v>
      </c>
      <c r="E1503" s="11" t="s">
        <v>2813</v>
      </c>
      <c r="F1503" s="11" t="str">
        <f>IFERROR(VLOOKUP(VENTAS[[#This Row],[Código del producto Vendido]],STOCK[],5,FALSE),"-")</f>
        <v>Bolso elegante de estilo sillín</v>
      </c>
      <c r="G1503" s="11">
        <v>1</v>
      </c>
      <c r="H1503" s="14">
        <v>22</v>
      </c>
      <c r="I1503" s="14">
        <f>VENTAS[[#This Row],[Cantidad]]*VENTAS[[#This Row],[Precio Venta]]</f>
        <v>22</v>
      </c>
      <c r="J1503" s="14">
        <f>IF(VENTAS[[#This Row],[Nombre del Gestor]]&gt;1,VENTAS[[#This Row],[Total]]*10%,0)</f>
        <v>2.2</v>
      </c>
      <c r="K1503" s="14">
        <f>IFERROR(VLOOKUP(VENTAS[[#This Row],[Código del producto Vendido]],STOCK[],16,FALSE)*VENTAS[[#This Row],[Cantidad]]+VLOOKUP(VENTAS[[#This Row],[Código del producto Vendido]],STOCK[],19,FALSE)*VENTAS[[#This Row],[Cantidad]],VENTAS[[#This Row],[Total]])</f>
        <v>10.28</v>
      </c>
      <c r="L1503" s="14">
        <f>VENTAS[[#This Row],[Total]]-VENTAS[[#This Row],[Comisión 10%]]-VENTAS[[#This Row],[Costo SIN Comision]]</f>
        <v>9.52</v>
      </c>
      <c r="M1503" s="14"/>
    </row>
    <row r="1504" ht="20" hidden="1" customHeight="1" spans="1:13">
      <c r="A1504" s="10">
        <v>45565</v>
      </c>
      <c r="B1504" s="11"/>
      <c r="C1504" s="11" t="s">
        <v>4453</v>
      </c>
      <c r="D1504" s="11" t="s">
        <v>4266</v>
      </c>
      <c r="E1504" s="11" t="s">
        <v>1064</v>
      </c>
      <c r="F1504" s="11" t="str">
        <f>IFERROR(VLOOKUP(VENTAS[[#This Row],[Código del producto Vendido]],STOCK[],5,FALSE),"-")</f>
        <v>Top cami carrera</v>
      </c>
      <c r="G1504" s="11">
        <v>1</v>
      </c>
      <c r="H1504" s="14">
        <v>7</v>
      </c>
      <c r="I1504" s="14">
        <f>VENTAS[[#This Row],[Cantidad]]*VENTAS[[#This Row],[Precio Venta]]</f>
        <v>7</v>
      </c>
      <c r="J1504" s="14">
        <f>IF(VENTAS[[#This Row],[Nombre del Gestor]]&gt;1,VENTAS[[#This Row],[Total]]*10%,0)</f>
        <v>0.7</v>
      </c>
      <c r="K1504" s="14">
        <f>IFERROR(VLOOKUP(VENTAS[[#This Row],[Código del producto Vendido]],STOCK[],16,FALSE)*VENTAS[[#This Row],[Cantidad]]+VLOOKUP(VENTAS[[#This Row],[Código del producto Vendido]],STOCK[],19,FALSE)*VENTAS[[#This Row],[Cantidad]],VENTAS[[#This Row],[Total]])</f>
        <v>4.99264705882353</v>
      </c>
      <c r="L1504" s="14">
        <f>VENTAS[[#This Row],[Total]]-VENTAS[[#This Row],[Comisión 10%]]-VENTAS[[#This Row],[Costo SIN Comision]]</f>
        <v>1.30735294117647</v>
      </c>
      <c r="M1504" s="14"/>
    </row>
    <row r="1505" ht="20" hidden="1" customHeight="1" spans="1:13">
      <c r="A1505" s="10">
        <v>45565</v>
      </c>
      <c r="B1505" s="11"/>
      <c r="C1505" s="11" t="s">
        <v>4453</v>
      </c>
      <c r="D1505" s="11" t="s">
        <v>4266</v>
      </c>
      <c r="E1505" s="11" t="s">
        <v>2995</v>
      </c>
      <c r="F1505" s="11" t="str">
        <f>IFERROR(VLOOKUP(VENTAS[[#This Row],[Código del producto Vendido]],STOCK[],5,FALSE),"-")</f>
        <v>Camiseta de moda con estampado de cereza</v>
      </c>
      <c r="G1505" s="11">
        <v>1</v>
      </c>
      <c r="H1505" s="14">
        <v>15</v>
      </c>
      <c r="I1505" s="14">
        <f>VENTAS[[#This Row],[Cantidad]]*VENTAS[[#This Row],[Precio Venta]]</f>
        <v>15</v>
      </c>
      <c r="J1505" s="14">
        <f>IF(VENTAS[[#This Row],[Nombre del Gestor]]&gt;1,VENTAS[[#This Row],[Total]]*10%,0)</f>
        <v>1.5</v>
      </c>
      <c r="K1505" s="14">
        <f>IFERROR(VLOOKUP(VENTAS[[#This Row],[Código del producto Vendido]],STOCK[],16,FALSE)*VENTAS[[#This Row],[Cantidad]]+VLOOKUP(VENTAS[[#This Row],[Código del producto Vendido]],STOCK[],19,FALSE)*VENTAS[[#This Row],[Cantidad]],VENTAS[[#This Row],[Total]])</f>
        <v>5.92</v>
      </c>
      <c r="L1505" s="14">
        <f>VENTAS[[#This Row],[Total]]-VENTAS[[#This Row],[Comisión 10%]]-VENTAS[[#This Row],[Costo SIN Comision]]</f>
        <v>7.58</v>
      </c>
      <c r="M1505" s="14"/>
    </row>
    <row r="1506" ht="20" hidden="1" customHeight="1" spans="1:13">
      <c r="A1506" s="10">
        <v>45564</v>
      </c>
      <c r="B1506" s="11"/>
      <c r="C1506" s="11" t="s">
        <v>4220</v>
      </c>
      <c r="D1506" s="11" t="s">
        <v>4266</v>
      </c>
      <c r="E1506" s="11" t="s">
        <v>2752</v>
      </c>
      <c r="F1506" s="11" t="str">
        <f>IFERROR(VLOOKUP(VENTAS[[#This Row],[Código del producto Vendido]],STOCK[],5,FALSE),"-")</f>
        <v>Vestido Privé Unicolor Sin Mangas ajustado con pliegues color negro</v>
      </c>
      <c r="G1506" s="11">
        <v>1</v>
      </c>
      <c r="H1506" s="14">
        <v>20</v>
      </c>
      <c r="I1506" s="14">
        <f>VENTAS[[#This Row],[Cantidad]]*VENTAS[[#This Row],[Precio Venta]]</f>
        <v>20</v>
      </c>
      <c r="J1506" s="14">
        <f>IF(VENTAS[[#This Row],[Nombre del Gestor]]&gt;1,VENTAS[[#This Row],[Total]]*10%,0)</f>
        <v>2</v>
      </c>
      <c r="K1506" s="14">
        <f>IFERROR(VLOOKUP(VENTAS[[#This Row],[Código del producto Vendido]],STOCK[],16,FALSE)*VENTAS[[#This Row],[Cantidad]]+VLOOKUP(VENTAS[[#This Row],[Código del producto Vendido]],STOCK[],19,FALSE)*VENTAS[[#This Row],[Cantidad]],VENTAS[[#This Row],[Total]])</f>
        <v>6.12</v>
      </c>
      <c r="L1506" s="14">
        <f>VENTAS[[#This Row],[Total]]-VENTAS[[#This Row],[Comisión 10%]]-VENTAS[[#This Row],[Costo SIN Comision]]</f>
        <v>11.88</v>
      </c>
      <c r="M1506" s="14"/>
    </row>
    <row r="1507" ht="20" hidden="1" customHeight="1" spans="1:13">
      <c r="A1507" s="10">
        <v>45564</v>
      </c>
      <c r="B1507" s="11"/>
      <c r="C1507" s="11" t="s">
        <v>4320</v>
      </c>
      <c r="D1507" s="11" t="s">
        <v>4266</v>
      </c>
      <c r="E1507" s="11" t="s">
        <v>2833</v>
      </c>
      <c r="F1507" s="11" t="str">
        <f>IFERROR(VLOOKUP(VENTAS[[#This Row],[Código del producto Vendido]],STOCK[],5,FALSE),"-")</f>
        <v>Vestido elegante de crochet de de cuello profundo y espalda cruzada</v>
      </c>
      <c r="G1507" s="11">
        <v>1</v>
      </c>
      <c r="H1507" s="14">
        <v>30</v>
      </c>
      <c r="I1507" s="14">
        <f>VENTAS[[#This Row],[Cantidad]]*VENTAS[[#This Row],[Precio Venta]]</f>
        <v>30</v>
      </c>
      <c r="J1507" s="14">
        <f>IF(VENTAS[[#This Row],[Nombre del Gestor]]&gt;1,VENTAS[[#This Row],[Total]]*10%,0)</f>
        <v>3</v>
      </c>
      <c r="K1507" s="14">
        <f>IFERROR(VLOOKUP(VENTAS[[#This Row],[Código del producto Vendido]],STOCK[],16,FALSE)*VENTAS[[#This Row],[Cantidad]]+VLOOKUP(VENTAS[[#This Row],[Código del producto Vendido]],STOCK[],19,FALSE)*VENTAS[[#This Row],[Cantidad]],VENTAS[[#This Row],[Total]])</f>
        <v>13.5</v>
      </c>
      <c r="L1507" s="14">
        <f>VENTAS[[#This Row],[Total]]-VENTAS[[#This Row],[Comisión 10%]]-VENTAS[[#This Row],[Costo SIN Comision]]</f>
        <v>13.5</v>
      </c>
      <c r="M1507" s="14"/>
    </row>
    <row r="1508" ht="20" hidden="1" customHeight="1" spans="1:13">
      <c r="A1508" s="10">
        <v>45564</v>
      </c>
      <c r="B1508" s="11"/>
      <c r="C1508" s="11" t="s">
        <v>4454</v>
      </c>
      <c r="D1508" s="11" t="s">
        <v>4266</v>
      </c>
      <c r="E1508" s="11" t="s">
        <v>2836</v>
      </c>
      <c r="F1508" s="11" t="str">
        <f>IFERROR(VLOOKUP(VENTAS[[#This Row],[Código del producto Vendido]],STOCK[],5,FALSE),"-")</f>
        <v>Vestido elegante de crochet de de cuello profundo y espalda cruzada</v>
      </c>
      <c r="G1508" s="11">
        <v>1</v>
      </c>
      <c r="H1508" s="14">
        <v>30</v>
      </c>
      <c r="I1508" s="14">
        <f>VENTAS[[#This Row],[Cantidad]]*VENTAS[[#This Row],[Precio Venta]]</f>
        <v>30</v>
      </c>
      <c r="J1508" s="14">
        <f>IF(VENTAS[[#This Row],[Nombre del Gestor]]&gt;1,VENTAS[[#This Row],[Total]]*10%,0)</f>
        <v>3</v>
      </c>
      <c r="K1508" s="14">
        <f>IFERROR(VLOOKUP(VENTAS[[#This Row],[Código del producto Vendido]],STOCK[],16,FALSE)*VENTAS[[#This Row],[Cantidad]]+VLOOKUP(VENTAS[[#This Row],[Código del producto Vendido]],STOCK[],19,FALSE)*VENTAS[[#This Row],[Cantidad]],VENTAS[[#This Row],[Total]])</f>
        <v>13.5</v>
      </c>
      <c r="L1508" s="14">
        <f>VENTAS[[#This Row],[Total]]-VENTAS[[#This Row],[Comisión 10%]]-VENTAS[[#This Row],[Costo SIN Comision]]</f>
        <v>13.5</v>
      </c>
      <c r="M1508" s="14"/>
    </row>
    <row r="1509" ht="20" hidden="1" customHeight="1" spans="1:13">
      <c r="A1509" s="10">
        <v>45563</v>
      </c>
      <c r="B1509" s="11"/>
      <c r="C1509" s="11" t="s">
        <v>4455</v>
      </c>
      <c r="D1509" s="11" t="s">
        <v>4266</v>
      </c>
      <c r="E1509" s="11" t="s">
        <v>2953</v>
      </c>
      <c r="F1509" s="11" t="str">
        <f>IFERROR(VLOOKUP(VENTAS[[#This Row],[Código del producto Vendido]],STOCK[],5,FALSE),"-")</f>
        <v>Vestido camisola de ajustado romántico sexy</v>
      </c>
      <c r="G1509" s="11">
        <v>1</v>
      </c>
      <c r="H1509" s="14">
        <v>30</v>
      </c>
      <c r="I1509" s="14">
        <f>VENTAS[[#This Row],[Cantidad]]*VENTAS[[#This Row],[Precio Venta]]</f>
        <v>30</v>
      </c>
      <c r="J1509" s="14">
        <f>IF(VENTAS[[#This Row],[Nombre del Gestor]]&gt;1,VENTAS[[#This Row],[Total]]*10%,0)</f>
        <v>3</v>
      </c>
      <c r="K1509" s="14">
        <f>IFERROR(VLOOKUP(VENTAS[[#This Row],[Código del producto Vendido]],STOCK[],16,FALSE)*VENTAS[[#This Row],[Cantidad]]+VLOOKUP(VENTAS[[#This Row],[Código del producto Vendido]],STOCK[],19,FALSE)*VENTAS[[#This Row],[Cantidad]],VENTAS[[#This Row],[Total]])</f>
        <v>13.3</v>
      </c>
      <c r="L1509" s="14">
        <f>VENTAS[[#This Row],[Total]]-VENTAS[[#This Row],[Comisión 10%]]-VENTAS[[#This Row],[Costo SIN Comision]]</f>
        <v>13.7</v>
      </c>
      <c r="M1509" s="14"/>
    </row>
    <row r="1510" ht="20" hidden="1" customHeight="1" spans="1:13">
      <c r="A1510" s="10">
        <v>45563</v>
      </c>
      <c r="B1510" s="11"/>
      <c r="C1510" s="11" t="s">
        <v>4444</v>
      </c>
      <c r="D1510" s="11" t="s">
        <v>4266</v>
      </c>
      <c r="E1510" s="11" t="s">
        <v>2965</v>
      </c>
      <c r="F1510" s="11" t="str">
        <f>IFERROR(VLOOKUP(VENTAS[[#This Row],[Código del producto Vendido]],STOCK[],5,FALSE),"-")</f>
        <v>Vestido camisola negro con abertura</v>
      </c>
      <c r="G1510" s="11">
        <v>1</v>
      </c>
      <c r="H1510" s="14">
        <v>20</v>
      </c>
      <c r="I1510" s="14">
        <f>VENTAS[[#This Row],[Cantidad]]*VENTAS[[#This Row],[Precio Venta]]</f>
        <v>20</v>
      </c>
      <c r="J1510" s="14">
        <f>IF(VENTAS[[#This Row],[Nombre del Gestor]]&gt;1,VENTAS[[#This Row],[Total]]*10%,0)</f>
        <v>2</v>
      </c>
      <c r="K1510" s="14">
        <f>IFERROR(VLOOKUP(VENTAS[[#This Row],[Código del producto Vendido]],STOCK[],16,FALSE)*VENTAS[[#This Row],[Cantidad]]+VLOOKUP(VENTAS[[#This Row],[Código del producto Vendido]],STOCK[],19,FALSE)*VENTAS[[#This Row],[Cantidad]],VENTAS[[#This Row],[Total]])</f>
        <v>7.63</v>
      </c>
      <c r="L1510" s="14">
        <f>VENTAS[[#This Row],[Total]]-VENTAS[[#This Row],[Comisión 10%]]-VENTAS[[#This Row],[Costo SIN Comision]]</f>
        <v>10.37</v>
      </c>
      <c r="M1510" s="14"/>
    </row>
    <row r="1511" ht="20" hidden="1" customHeight="1" spans="1:13">
      <c r="A1511" s="10">
        <v>45563</v>
      </c>
      <c r="B1511" s="11"/>
      <c r="C1511" s="11" t="s">
        <v>4456</v>
      </c>
      <c r="D1511" s="11" t="s">
        <v>4266</v>
      </c>
      <c r="E1511" s="11" t="s">
        <v>2974</v>
      </c>
      <c r="F1511" s="11" t="str">
        <f>IFERROR(VLOOKUP(VENTAS[[#This Row],[Código del producto Vendido]],STOCK[],5,FALSE),"-")</f>
        <v>Vestido de un hombro con abertura trasera color azul celeste</v>
      </c>
      <c r="G1511" s="11">
        <v>1</v>
      </c>
      <c r="H1511" s="14">
        <v>25</v>
      </c>
      <c r="I1511" s="14">
        <f>VENTAS[[#This Row],[Cantidad]]*VENTAS[[#This Row],[Precio Venta]]</f>
        <v>25</v>
      </c>
      <c r="J1511" s="14">
        <f>IF(VENTAS[[#This Row],[Nombre del Gestor]]&gt;1,VENTAS[[#This Row],[Total]]*10%,0)</f>
        <v>2.5</v>
      </c>
      <c r="K1511" s="14">
        <f>IFERROR(VLOOKUP(VENTAS[[#This Row],[Código del producto Vendido]],STOCK[],16,FALSE)*VENTAS[[#This Row],[Cantidad]]+VLOOKUP(VENTAS[[#This Row],[Código del producto Vendido]],STOCK[],19,FALSE)*VENTAS[[#This Row],[Cantidad]],VENTAS[[#This Row],[Total]])</f>
        <v>12.32</v>
      </c>
      <c r="L1511" s="14">
        <f>VENTAS[[#This Row],[Total]]-VENTAS[[#This Row],[Comisión 10%]]-VENTAS[[#This Row],[Costo SIN Comision]]</f>
        <v>10.18</v>
      </c>
      <c r="M1511" s="14"/>
    </row>
    <row r="1512" ht="20" hidden="1" customHeight="1" spans="1:13">
      <c r="A1512" s="10">
        <v>45563</v>
      </c>
      <c r="B1512" s="11"/>
      <c r="C1512" s="11" t="s">
        <v>4457</v>
      </c>
      <c r="D1512" s="11" t="s">
        <v>4266</v>
      </c>
      <c r="E1512" s="11" t="s">
        <v>2849</v>
      </c>
      <c r="F1512" s="11" t="str">
        <f>IFERROR(VLOOKUP(VENTAS[[#This Row],[Código del producto Vendido]],STOCK[],5,FALSE),"-")</f>
        <v>Pantalones largros rayados de moda de gran comodidad</v>
      </c>
      <c r="G1512" s="11">
        <v>1</v>
      </c>
      <c r="H1512" s="14">
        <v>22</v>
      </c>
      <c r="I1512" s="14">
        <f>VENTAS[[#This Row],[Cantidad]]*VENTAS[[#This Row],[Precio Venta]]</f>
        <v>22</v>
      </c>
      <c r="J1512" s="14">
        <f>IF(VENTAS[[#This Row],[Nombre del Gestor]]&gt;1,VENTAS[[#This Row],[Total]]*10%,0)</f>
        <v>2.2</v>
      </c>
      <c r="K1512" s="14">
        <f>IFERROR(VLOOKUP(VENTAS[[#This Row],[Código del producto Vendido]],STOCK[],16,FALSE)*VENTAS[[#This Row],[Cantidad]]+VLOOKUP(VENTAS[[#This Row],[Código del producto Vendido]],STOCK[],19,FALSE)*VENTAS[[#This Row],[Cantidad]],VENTAS[[#This Row],[Total]])</f>
        <v>10.52</v>
      </c>
      <c r="L1512" s="14">
        <f>VENTAS[[#This Row],[Total]]-VENTAS[[#This Row],[Comisión 10%]]-VENTAS[[#This Row],[Costo SIN Comision]]</f>
        <v>9.28</v>
      </c>
      <c r="M1512" s="14"/>
    </row>
    <row r="1513" ht="20" hidden="1" customHeight="1" spans="1:13">
      <c r="A1513" s="10">
        <v>45562</v>
      </c>
      <c r="B1513" s="11"/>
      <c r="C1513" s="11" t="s">
        <v>4458</v>
      </c>
      <c r="D1513" s="11" t="s">
        <v>4266</v>
      </c>
      <c r="E1513" s="11" t="s">
        <v>2857</v>
      </c>
      <c r="F1513" s="11" t="str">
        <f>IFERROR(VLOOKUP(VENTAS[[#This Row],[Código del producto Vendido]],STOCK[],5,FALSE),"-")</f>
        <v>Bolso cuadrado tejido de rafia Tamaño grande Color Carmelita</v>
      </c>
      <c r="G1513" s="11">
        <v>1</v>
      </c>
      <c r="H1513" s="14">
        <v>25</v>
      </c>
      <c r="I1513" s="14">
        <f>VENTAS[[#This Row],[Cantidad]]*VENTAS[[#This Row],[Precio Venta]]</f>
        <v>25</v>
      </c>
      <c r="J1513" s="14">
        <f>IF(VENTAS[[#This Row],[Nombre del Gestor]]&gt;1,VENTAS[[#This Row],[Total]]*10%,0)</f>
        <v>2.5</v>
      </c>
      <c r="K1513" s="14">
        <f>IFERROR(VLOOKUP(VENTAS[[#This Row],[Código del producto Vendido]],STOCK[],16,FALSE)*VENTAS[[#This Row],[Cantidad]]+VLOOKUP(VENTAS[[#This Row],[Código del producto Vendido]],STOCK[],19,FALSE)*VENTAS[[#This Row],[Cantidad]],VENTAS[[#This Row],[Total]])</f>
        <v>14.85</v>
      </c>
      <c r="L1513" s="14">
        <f>VENTAS[[#This Row],[Total]]-VENTAS[[#This Row],[Comisión 10%]]-VENTAS[[#This Row],[Costo SIN Comision]]</f>
        <v>7.65</v>
      </c>
      <c r="M1513" s="14"/>
    </row>
    <row r="1514" ht="20" hidden="1" customHeight="1" spans="1:13">
      <c r="A1514" s="10">
        <v>45562</v>
      </c>
      <c r="B1514" s="11"/>
      <c r="C1514" s="11" t="s">
        <v>4459</v>
      </c>
      <c r="D1514" s="11" t="s">
        <v>4266</v>
      </c>
      <c r="E1514" s="11" t="s">
        <v>601</v>
      </c>
      <c r="F1514" s="11" t="str">
        <f>IFERROR(VLOOKUP(VENTAS[[#This Row],[Código del producto Vendido]],STOCK[],5,FALSE),"-")</f>
        <v>Top corsetero asimétrico</v>
      </c>
      <c r="G1514" s="11">
        <v>1</v>
      </c>
      <c r="H1514" s="14">
        <v>9</v>
      </c>
      <c r="I1514" s="14">
        <f>VENTAS[[#This Row],[Cantidad]]*VENTAS[[#This Row],[Precio Venta]]</f>
        <v>9</v>
      </c>
      <c r="J1514" s="14">
        <f>IF(VENTAS[[#This Row],[Nombre del Gestor]]&gt;1,VENTAS[[#This Row],[Total]]*10%,0)</f>
        <v>0.9</v>
      </c>
      <c r="K1514" s="14">
        <f>IFERROR(VLOOKUP(VENTAS[[#This Row],[Código del producto Vendido]],STOCK[],16,FALSE)*VENTAS[[#This Row],[Cantidad]]+VLOOKUP(VENTAS[[#This Row],[Código del producto Vendido]],STOCK[],19,FALSE)*VENTAS[[#This Row],[Cantidad]],VENTAS[[#This Row],[Total]])</f>
        <v>5.56833333333333</v>
      </c>
      <c r="L1514" s="14">
        <f>VENTAS[[#This Row],[Total]]-VENTAS[[#This Row],[Comisión 10%]]-VENTAS[[#This Row],[Costo SIN Comision]]</f>
        <v>2.53166666666667</v>
      </c>
      <c r="M1514" s="14"/>
    </row>
    <row r="1515" ht="20" hidden="1" customHeight="1" spans="1:13">
      <c r="A1515" s="10">
        <v>45561</v>
      </c>
      <c r="B1515" s="11"/>
      <c r="C1515" s="11" t="s">
        <v>4460</v>
      </c>
      <c r="D1515" s="11" t="s">
        <v>4266</v>
      </c>
      <c r="E1515" s="11" t="s">
        <v>1400</v>
      </c>
      <c r="F1515" s="11" t="str">
        <f>IFERROR(VLOOKUP(VENTAS[[#This Row],[Código del producto Vendido]],STOCK[],5,FALSE),"-")</f>
        <v>Camiseta acanalada de bajo asimétrico naranja</v>
      </c>
      <c r="G1515" s="11">
        <v>1</v>
      </c>
      <c r="H1515" s="14">
        <v>12</v>
      </c>
      <c r="I1515" s="14">
        <f>VENTAS[[#This Row],[Cantidad]]*VENTAS[[#This Row],[Precio Venta]]</f>
        <v>12</v>
      </c>
      <c r="J1515" s="14">
        <f>IF(VENTAS[[#This Row],[Nombre del Gestor]]&gt;1,VENTAS[[#This Row],[Total]]*10%,0)</f>
        <v>1.2</v>
      </c>
      <c r="K1515" s="14">
        <f>IFERROR(VLOOKUP(VENTAS[[#This Row],[Código del producto Vendido]],STOCK[],16,FALSE)*VENTAS[[#This Row],[Cantidad]]+VLOOKUP(VENTAS[[#This Row],[Código del producto Vendido]],STOCK[],19,FALSE)*VENTAS[[#This Row],[Cantidad]],VENTAS[[#This Row],[Total]])</f>
        <v>9</v>
      </c>
      <c r="L1515" s="14">
        <f>VENTAS[[#This Row],[Total]]-VENTAS[[#This Row],[Comisión 10%]]-VENTAS[[#This Row],[Costo SIN Comision]]</f>
        <v>1.8</v>
      </c>
      <c r="M1515" s="14"/>
    </row>
    <row r="1516" ht="20" hidden="1" customHeight="1" spans="1:13">
      <c r="A1516" s="10">
        <v>45560</v>
      </c>
      <c r="B1516" s="11"/>
      <c r="C1516" s="11" t="s">
        <v>4461</v>
      </c>
      <c r="D1516" s="11" t="s">
        <v>4266</v>
      </c>
      <c r="E1516" s="11" t="s">
        <v>1696</v>
      </c>
      <c r="F1516" s="11" t="str">
        <f>IFERROR(VLOOKUP(VENTAS[[#This Row],[Código del producto Vendido]],STOCK[],5,FALSE),"-")</f>
        <v>Jean Mom con bajo descosido</v>
      </c>
      <c r="G1516" s="11">
        <v>1</v>
      </c>
      <c r="H1516" s="14">
        <v>30</v>
      </c>
      <c r="I1516" s="14">
        <f>VENTAS[[#This Row],[Cantidad]]*VENTAS[[#This Row],[Precio Venta]]</f>
        <v>30</v>
      </c>
      <c r="J1516" s="14">
        <f>IF(VENTAS[[#This Row],[Nombre del Gestor]]&gt;1,VENTAS[[#This Row],[Total]]*10%,0)</f>
        <v>3</v>
      </c>
      <c r="K1516" s="14">
        <f>IFERROR(VLOOKUP(VENTAS[[#This Row],[Código del producto Vendido]],STOCK[],16,FALSE)*VENTAS[[#This Row],[Cantidad]]+VLOOKUP(VENTAS[[#This Row],[Código del producto Vendido]],STOCK[],19,FALSE)*VENTAS[[#This Row],[Cantidad]],VENTAS[[#This Row],[Total]])</f>
        <v>20.5</v>
      </c>
      <c r="L1516" s="14">
        <f>VENTAS[[#This Row],[Total]]-VENTAS[[#This Row],[Comisión 10%]]-VENTAS[[#This Row],[Costo SIN Comision]]</f>
        <v>6.5</v>
      </c>
      <c r="M1516" s="14"/>
    </row>
    <row r="1517" ht="20" hidden="1" customHeight="1" spans="1:13">
      <c r="A1517" s="10">
        <v>45560</v>
      </c>
      <c r="B1517" s="11"/>
      <c r="C1517" s="11" t="s">
        <v>4461</v>
      </c>
      <c r="D1517" s="11" t="s">
        <v>4266</v>
      </c>
      <c r="E1517" s="11" t="s">
        <v>2436</v>
      </c>
      <c r="F1517" s="11" t="str">
        <f>IFERROR(VLOOKUP(VENTAS[[#This Row],[Código del producto Vendido]],STOCK[],5,FALSE),"-")</f>
        <v>Pantalón cigarrette ajustado elegante</v>
      </c>
      <c r="G1517" s="11">
        <v>1</v>
      </c>
      <c r="H1517" s="14">
        <v>35</v>
      </c>
      <c r="I1517" s="14">
        <f>VENTAS[[#This Row],[Cantidad]]*VENTAS[[#This Row],[Precio Venta]]</f>
        <v>35</v>
      </c>
      <c r="J1517" s="14">
        <f>IF(VENTAS[[#This Row],[Nombre del Gestor]]&gt;1,VENTAS[[#This Row],[Total]]*10%,0)</f>
        <v>3.5</v>
      </c>
      <c r="K1517" s="14">
        <f>IFERROR(VLOOKUP(VENTAS[[#This Row],[Código del producto Vendido]],STOCK[],16,FALSE)*VENTAS[[#This Row],[Cantidad]]+VLOOKUP(VENTAS[[#This Row],[Código del producto Vendido]],STOCK[],19,FALSE)*VENTAS[[#This Row],[Cantidad]],VENTAS[[#This Row],[Total]])</f>
        <v>16.1944418331375</v>
      </c>
      <c r="L1517" s="14">
        <f>VENTAS[[#This Row],[Total]]-VENTAS[[#This Row],[Comisión 10%]]-VENTAS[[#This Row],[Costo SIN Comision]]</f>
        <v>15.3055581668625</v>
      </c>
      <c r="M1517" s="14"/>
    </row>
    <row r="1518" ht="20" hidden="1" customHeight="1" spans="1:13">
      <c r="A1518" s="10">
        <v>45554</v>
      </c>
      <c r="B1518" s="11"/>
      <c r="C1518" s="11" t="s">
        <v>4453</v>
      </c>
      <c r="D1518" s="11" t="s">
        <v>4266</v>
      </c>
      <c r="E1518" s="11" t="s">
        <v>662</v>
      </c>
      <c r="F1518" s="11" t="str">
        <f>IFERROR(VLOOKUP(VENTAS[[#This Row],[Código del producto Vendido]],STOCK[],5,FALSE),"-")</f>
        <v>Top Cruzado negro</v>
      </c>
      <c r="G1518" s="11">
        <v>1</v>
      </c>
      <c r="H1518" s="14">
        <v>9</v>
      </c>
      <c r="I1518" s="14">
        <f>VENTAS[[#This Row],[Cantidad]]*VENTAS[[#This Row],[Precio Venta]]</f>
        <v>9</v>
      </c>
      <c r="J1518" s="14">
        <f>IF(VENTAS[[#This Row],[Nombre del Gestor]]&gt;1,VENTAS[[#This Row],[Total]]*10%,0)</f>
        <v>0.9</v>
      </c>
      <c r="K1518" s="14">
        <f>IFERROR(VLOOKUP(VENTAS[[#This Row],[Código del producto Vendido]],STOCK[],16,FALSE)*VENTAS[[#This Row],[Cantidad]]+VLOOKUP(VENTAS[[#This Row],[Código del producto Vendido]],STOCK[],19,FALSE)*VENTAS[[#This Row],[Cantidad]],VENTAS[[#This Row],[Total]])</f>
        <v>4.90166666666667</v>
      </c>
      <c r="L1518" s="14">
        <f>VENTAS[[#This Row],[Total]]-VENTAS[[#This Row],[Comisión 10%]]-VENTAS[[#This Row],[Costo SIN Comision]]</f>
        <v>3.19833333333333</v>
      </c>
      <c r="M1518" s="14"/>
    </row>
    <row r="1519" ht="20" hidden="1" customHeight="1" spans="1:13">
      <c r="A1519" s="10">
        <v>45552</v>
      </c>
      <c r="B1519" s="11"/>
      <c r="C1519" s="11" t="s">
        <v>4444</v>
      </c>
      <c r="D1519" s="11" t="s">
        <v>4266</v>
      </c>
      <c r="E1519" s="11" t="s">
        <v>1905</v>
      </c>
      <c r="F1519" s="11" t="str">
        <f>IFERROR(VLOOKUP(VENTAS[[#This Row],[Código del producto Vendido]],STOCK[],5,FALSE),"-")</f>
        <v>Blusa estampada de Lunares</v>
      </c>
      <c r="G1519" s="11">
        <v>1</v>
      </c>
      <c r="H1519" s="14">
        <v>14</v>
      </c>
      <c r="I1519" s="14">
        <f>VENTAS[[#This Row],[Cantidad]]*VENTAS[[#This Row],[Precio Venta]]</f>
        <v>14</v>
      </c>
      <c r="J1519" s="14">
        <f>IF(VENTAS[[#This Row],[Nombre del Gestor]]&gt;1,VENTAS[[#This Row],[Total]]*10%,0)</f>
        <v>1.4</v>
      </c>
      <c r="K1519" s="14">
        <f>IFERROR(VLOOKUP(VENTAS[[#This Row],[Código del producto Vendido]],STOCK[],16,FALSE)*VENTAS[[#This Row],[Cantidad]]+VLOOKUP(VENTAS[[#This Row],[Código del producto Vendido]],STOCK[],19,FALSE)*VENTAS[[#This Row],[Cantidad]],VENTAS[[#This Row],[Total]])</f>
        <v>9.2</v>
      </c>
      <c r="L1519" s="14">
        <f>VENTAS[[#This Row],[Total]]-VENTAS[[#This Row],[Comisión 10%]]-VENTAS[[#This Row],[Costo SIN Comision]]</f>
        <v>3.4</v>
      </c>
      <c r="M1519" s="14"/>
    </row>
    <row r="1520" ht="20" hidden="1" customHeight="1" spans="1:13">
      <c r="A1520" s="10">
        <v>45548</v>
      </c>
      <c r="B1520" s="11"/>
      <c r="C1520" s="11" t="s">
        <v>4428</v>
      </c>
      <c r="D1520" s="11" t="s">
        <v>4266</v>
      </c>
      <c r="E1520" s="11" t="s">
        <v>587</v>
      </c>
      <c r="F1520" s="11" t="str">
        <f>IFERROR(VLOOKUP(VENTAS[[#This Row],[Código del producto Vendido]],STOCK[],5,FALSE),"-")</f>
        <v>Top cruzado blanco</v>
      </c>
      <c r="G1520" s="11">
        <v>1</v>
      </c>
      <c r="H1520" s="14">
        <v>9</v>
      </c>
      <c r="I1520" s="14">
        <f>VENTAS[[#This Row],[Cantidad]]*VENTAS[[#This Row],[Precio Venta]]</f>
        <v>9</v>
      </c>
      <c r="J1520" s="14">
        <f>IF(VENTAS[[#This Row],[Nombre del Gestor]]&gt;1,VENTAS[[#This Row],[Total]]*10%,0)</f>
        <v>0.9</v>
      </c>
      <c r="K1520" s="14">
        <f>IFERROR(VLOOKUP(VENTAS[[#This Row],[Código del producto Vendido]],STOCK[],16,FALSE)*VENTAS[[#This Row],[Cantidad]]+VLOOKUP(VENTAS[[#This Row],[Código del producto Vendido]],STOCK[],19,FALSE)*VENTAS[[#This Row],[Cantidad]],VENTAS[[#This Row],[Total]])</f>
        <v>5.19333333333333</v>
      </c>
      <c r="L1520" s="14">
        <f>VENTAS[[#This Row],[Total]]-VENTAS[[#This Row],[Comisión 10%]]-VENTAS[[#This Row],[Costo SIN Comision]]</f>
        <v>2.90666666666667</v>
      </c>
      <c r="M1520" s="14"/>
    </row>
    <row r="1521" ht="20" hidden="1" customHeight="1" spans="1:13">
      <c r="A1521" s="10">
        <v>45544</v>
      </c>
      <c r="B1521" s="11"/>
      <c r="C1521" s="11" t="s">
        <v>4456</v>
      </c>
      <c r="D1521" s="11" t="s">
        <v>4266</v>
      </c>
      <c r="E1521" s="11" t="s">
        <v>1326</v>
      </c>
      <c r="F1521" s="11" t="str">
        <f>IFERROR(VLOOKUP(VENTAS[[#This Row],[Código del producto Vendido]],STOCK[],5,FALSE),"-")</f>
        <v>Camisa Blanca </v>
      </c>
      <c r="G1521" s="11">
        <v>1</v>
      </c>
      <c r="H1521" s="14">
        <v>25</v>
      </c>
      <c r="I1521" s="14">
        <f>VENTAS[[#This Row],[Cantidad]]*VENTAS[[#This Row],[Precio Venta]]</f>
        <v>25</v>
      </c>
      <c r="J1521" s="14">
        <f>IF(VENTAS[[#This Row],[Nombre del Gestor]]&gt;1,VENTAS[[#This Row],[Total]]*10%,0)</f>
        <v>2.5</v>
      </c>
      <c r="K1521" s="14">
        <f>IFERROR(VLOOKUP(VENTAS[[#This Row],[Código del producto Vendido]],STOCK[],16,FALSE)*VENTAS[[#This Row],[Cantidad]]+VLOOKUP(VENTAS[[#This Row],[Código del producto Vendido]],STOCK[],19,FALSE)*VENTAS[[#This Row],[Cantidad]],VENTAS[[#This Row],[Total]])</f>
        <v>19</v>
      </c>
      <c r="L1521" s="14">
        <f>VENTAS[[#This Row],[Total]]-VENTAS[[#This Row],[Comisión 10%]]-VENTAS[[#This Row],[Costo SIN Comision]]</f>
        <v>3.5</v>
      </c>
      <c r="M1521" s="14"/>
    </row>
    <row r="1522" ht="20" hidden="1" customHeight="1" spans="1:13">
      <c r="A1522" s="10">
        <v>45565</v>
      </c>
      <c r="B1522" s="11"/>
      <c r="C1522" s="11" t="s">
        <v>4462</v>
      </c>
      <c r="D1522" s="11" t="s">
        <v>4463</v>
      </c>
      <c r="E1522" s="11" t="s">
        <v>2827</v>
      </c>
      <c r="F1522" s="11" t="str">
        <f>IFERROR(VLOOKUP(VENTAS[[#This Row],[Código del producto Vendido]],STOCK[],5,FALSE),"-")</f>
        <v>Bolso tejido redondo de gran capacidad Carmelita</v>
      </c>
      <c r="G1522" s="11">
        <v>1</v>
      </c>
      <c r="H1522" s="14">
        <v>25</v>
      </c>
      <c r="I1522" s="14">
        <f>VENTAS[[#This Row],[Cantidad]]*VENTAS[[#This Row],[Precio Venta]]</f>
        <v>25</v>
      </c>
      <c r="J1522" s="14">
        <f>IF(VENTAS[[#This Row],[Nombre del Gestor]]&gt;1,VENTAS[[#This Row],[Total]]*10%,0)</f>
        <v>2.5</v>
      </c>
      <c r="K1522" s="14">
        <f>IFERROR(VLOOKUP(VENTAS[[#This Row],[Código del producto Vendido]],STOCK[],16,FALSE)*VENTAS[[#This Row],[Cantidad]]+VLOOKUP(VENTAS[[#This Row],[Código del producto Vendido]],STOCK[],19,FALSE)*VENTAS[[#This Row],[Cantidad]],VENTAS[[#This Row],[Total]])</f>
        <v>13.31</v>
      </c>
      <c r="L1522" s="14">
        <f>VENTAS[[#This Row],[Total]]-VENTAS[[#This Row],[Comisión 10%]]-VENTAS[[#This Row],[Costo SIN Comision]]</f>
        <v>9.19</v>
      </c>
      <c r="M1522" s="14"/>
    </row>
    <row r="1523" ht="20" hidden="1" customHeight="1" spans="1:13">
      <c r="A1523" s="10">
        <v>45564</v>
      </c>
      <c r="B1523" s="11"/>
      <c r="C1523" s="11" t="s">
        <v>4303</v>
      </c>
      <c r="D1523" s="11" t="s">
        <v>4463</v>
      </c>
      <c r="E1523" s="11" t="s">
        <v>2815</v>
      </c>
      <c r="F1523" s="11" t="str">
        <f>IFERROR(VLOOKUP(VENTAS[[#This Row],[Código del producto Vendido]],STOCK[],5,FALSE),"-")</f>
        <v>Bolso de ratán de Moda para vacaciones tamaño mediano con diseño de listas negras</v>
      </c>
      <c r="G1523" s="11">
        <v>1</v>
      </c>
      <c r="H1523" s="14">
        <v>25</v>
      </c>
      <c r="I1523" s="14">
        <f>VENTAS[[#This Row],[Cantidad]]*VENTAS[[#This Row],[Precio Venta]]</f>
        <v>25</v>
      </c>
      <c r="J1523" s="14">
        <f>IF(VENTAS[[#This Row],[Nombre del Gestor]]&gt;1,VENTAS[[#This Row],[Total]]*10%,0)</f>
        <v>2.5</v>
      </c>
      <c r="K1523" s="14">
        <f>IFERROR(VLOOKUP(VENTAS[[#This Row],[Código del producto Vendido]],STOCK[],16,FALSE)*VENTAS[[#This Row],[Cantidad]]+VLOOKUP(VENTAS[[#This Row],[Código del producto Vendido]],STOCK[],19,FALSE)*VENTAS[[#This Row],[Cantidad]],VENTAS[[#This Row],[Total]])</f>
        <v>12.17</v>
      </c>
      <c r="L1523" s="14">
        <f>VENTAS[[#This Row],[Total]]-VENTAS[[#This Row],[Comisión 10%]]-VENTAS[[#This Row],[Costo SIN Comision]]</f>
        <v>10.33</v>
      </c>
      <c r="M1523" s="14"/>
    </row>
    <row r="1524" ht="20" hidden="1" customHeight="1" spans="1:13">
      <c r="A1524" s="10">
        <v>45563</v>
      </c>
      <c r="B1524" s="11"/>
      <c r="C1524" s="11" t="s">
        <v>4464</v>
      </c>
      <c r="D1524" s="11" t="s">
        <v>4463</v>
      </c>
      <c r="E1524" s="11" t="s">
        <v>2106</v>
      </c>
      <c r="F1524" s="11" t="str">
        <f>IFERROR(VLOOKUP(VENTAS[[#This Row],[Código del producto Vendido]],STOCK[],5,FALSE),"-")</f>
        <v>Fashion TOTE bag tamaño de gran capacidad</v>
      </c>
      <c r="G1524" s="11">
        <v>1</v>
      </c>
      <c r="H1524" s="14">
        <v>18</v>
      </c>
      <c r="I1524" s="14">
        <f>VENTAS[[#This Row],[Cantidad]]*VENTAS[[#This Row],[Precio Venta]]</f>
        <v>18</v>
      </c>
      <c r="J1524" s="14">
        <f>IF(VENTAS[[#This Row],[Nombre del Gestor]]&gt;1,VENTAS[[#This Row],[Total]]*10%,0)</f>
        <v>1.8</v>
      </c>
      <c r="K1524" s="14">
        <f>IFERROR(VLOOKUP(VENTAS[[#This Row],[Código del producto Vendido]],STOCK[],16,FALSE)*VENTAS[[#This Row],[Cantidad]]+VLOOKUP(VENTAS[[#This Row],[Código del producto Vendido]],STOCK[],19,FALSE)*VENTAS[[#This Row],[Cantidad]],VENTAS[[#This Row],[Total]])</f>
        <v>7.59</v>
      </c>
      <c r="L1524" s="14">
        <f>VENTAS[[#This Row],[Total]]-VENTAS[[#This Row],[Comisión 10%]]-VENTAS[[#This Row],[Costo SIN Comision]]</f>
        <v>8.61</v>
      </c>
      <c r="M1524" s="14"/>
    </row>
    <row r="1525" ht="20" hidden="1" customHeight="1" spans="1:13">
      <c r="A1525" s="10">
        <v>45562</v>
      </c>
      <c r="B1525" s="11"/>
      <c r="C1525" s="11" t="s">
        <v>4465</v>
      </c>
      <c r="D1525" s="11" t="s">
        <v>4463</v>
      </c>
      <c r="E1525" s="11" t="s">
        <v>934</v>
      </c>
      <c r="F1525" s="11" t="str">
        <f>IFERROR(VLOOKUP(VENTAS[[#This Row],[Código del producto Vendido]],STOCK[],5,FALSE),"-")</f>
        <v>Falda de trabajo</v>
      </c>
      <c r="G1525" s="11">
        <v>1</v>
      </c>
      <c r="H1525" s="14">
        <v>12</v>
      </c>
      <c r="I1525" s="14">
        <f>VENTAS[[#This Row],[Cantidad]]*VENTAS[[#This Row],[Precio Venta]]</f>
        <v>12</v>
      </c>
      <c r="J1525" s="14">
        <f>IF(VENTAS[[#This Row],[Nombre del Gestor]]&gt;1,VENTAS[[#This Row],[Total]]*10%,0)</f>
        <v>1.2</v>
      </c>
      <c r="K1525" s="14">
        <f>IFERROR(VLOOKUP(VENTAS[[#This Row],[Código del producto Vendido]],STOCK[],16,FALSE)*VENTAS[[#This Row],[Cantidad]]+VLOOKUP(VENTAS[[#This Row],[Código del producto Vendido]],STOCK[],19,FALSE)*VENTAS[[#This Row],[Cantidad]],VENTAS[[#This Row],[Total]])</f>
        <v>7.74863636363636</v>
      </c>
      <c r="L1525" s="14">
        <f>VENTAS[[#This Row],[Total]]-VENTAS[[#This Row],[Comisión 10%]]-VENTAS[[#This Row],[Costo SIN Comision]]</f>
        <v>3.05136363636364</v>
      </c>
      <c r="M1525" s="14"/>
    </row>
    <row r="1526" ht="20" hidden="1" customHeight="1" spans="1:13">
      <c r="A1526" s="10">
        <v>45562</v>
      </c>
      <c r="B1526" s="11"/>
      <c r="C1526" s="11" t="s">
        <v>4466</v>
      </c>
      <c r="D1526" s="11" t="s">
        <v>4463</v>
      </c>
      <c r="E1526" s="11" t="s">
        <v>3010</v>
      </c>
      <c r="F1526" s="11" t="str">
        <f>IFERROR(VLOOKUP(VENTAS[[#This Row],[Código del producto Vendido]],STOCK[],5,FALSE),"-")</f>
        <v>Pantalón alto de pierna ancha color caramelo</v>
      </c>
      <c r="G1526" s="11">
        <v>1</v>
      </c>
      <c r="H1526" s="14">
        <v>30</v>
      </c>
      <c r="I1526" s="14">
        <f>VENTAS[[#This Row],[Cantidad]]*VENTAS[[#This Row],[Precio Venta]]</f>
        <v>30</v>
      </c>
      <c r="J1526" s="14">
        <f>IF(VENTAS[[#This Row],[Nombre del Gestor]]&gt;1,VENTAS[[#This Row],[Total]]*10%,0)</f>
        <v>3</v>
      </c>
      <c r="K1526" s="14">
        <f>IFERROR(VLOOKUP(VENTAS[[#This Row],[Código del producto Vendido]],STOCK[],16,FALSE)*VENTAS[[#This Row],[Cantidad]]+VLOOKUP(VENTAS[[#This Row],[Código del producto Vendido]],STOCK[],19,FALSE)*VENTAS[[#This Row],[Cantidad]],VENTAS[[#This Row],[Total]])</f>
        <v>12.63</v>
      </c>
      <c r="L1526" s="14">
        <f>VENTAS[[#This Row],[Total]]-VENTAS[[#This Row],[Comisión 10%]]-VENTAS[[#This Row],[Costo SIN Comision]]</f>
        <v>14.37</v>
      </c>
      <c r="M1526" s="14"/>
    </row>
    <row r="1527" ht="20" hidden="1" customHeight="1" spans="1:13">
      <c r="A1527" s="10">
        <v>45561</v>
      </c>
      <c r="B1527" s="11"/>
      <c r="C1527" s="11" t="s">
        <v>4467</v>
      </c>
      <c r="D1527" s="11" t="s">
        <v>4463</v>
      </c>
      <c r="E1527" s="11" t="s">
        <v>2578</v>
      </c>
      <c r="F1527" s="11" t="str">
        <f>IFERROR(VLOOKUP(VENTAS[[#This Row],[Código del producto Vendido]],STOCK[],5,FALSE),"-")</f>
        <v>Vestido Largo con cinturón fruncido</v>
      </c>
      <c r="G1527" s="11">
        <v>1</v>
      </c>
      <c r="H1527" s="14">
        <v>30</v>
      </c>
      <c r="I1527" s="14">
        <f>VENTAS[[#This Row],[Cantidad]]*VENTAS[[#This Row],[Precio Venta]]</f>
        <v>30</v>
      </c>
      <c r="J1527" s="14">
        <f>IF(VENTAS[[#This Row],[Nombre del Gestor]]&gt;1,VENTAS[[#This Row],[Total]]*10%,0)</f>
        <v>3</v>
      </c>
      <c r="K1527" s="14">
        <f>IFERROR(VLOOKUP(VENTAS[[#This Row],[Código del producto Vendido]],STOCK[],16,FALSE)*VENTAS[[#This Row],[Cantidad]]+VLOOKUP(VENTAS[[#This Row],[Código del producto Vendido]],STOCK[],19,FALSE)*VENTAS[[#This Row],[Cantidad]],VENTAS[[#This Row],[Total]])</f>
        <v>13.66</v>
      </c>
      <c r="L1527" s="14">
        <f>VENTAS[[#This Row],[Total]]-VENTAS[[#This Row],[Comisión 10%]]-VENTAS[[#This Row],[Costo SIN Comision]]</f>
        <v>13.34</v>
      </c>
      <c r="M1527" s="14"/>
    </row>
    <row r="1528" ht="20" hidden="1" customHeight="1" spans="1:13">
      <c r="A1528" s="10">
        <v>45561</v>
      </c>
      <c r="B1528" s="11"/>
      <c r="C1528" s="11" t="s">
        <v>4318</v>
      </c>
      <c r="D1528" s="11" t="s">
        <v>4463</v>
      </c>
      <c r="E1528" s="11" t="s">
        <v>483</v>
      </c>
      <c r="F1528" s="11" t="str">
        <f>IFERROR(VLOOKUP(VENTAS[[#This Row],[Código del producto Vendido]],STOCK[],5,FALSE),"-")</f>
        <v>Bikini estampado cebra</v>
      </c>
      <c r="G1528" s="11">
        <v>1</v>
      </c>
      <c r="H1528" s="14">
        <v>12</v>
      </c>
      <c r="I1528" s="14">
        <f>VENTAS[[#This Row],[Cantidad]]*VENTAS[[#This Row],[Precio Venta]]</f>
        <v>12</v>
      </c>
      <c r="J1528" s="14">
        <f>IF(VENTAS[[#This Row],[Nombre del Gestor]]&gt;1,VENTAS[[#This Row],[Total]]*10%,0)</f>
        <v>1.2</v>
      </c>
      <c r="K1528" s="14">
        <f>IFERROR(VLOOKUP(VENTAS[[#This Row],[Código del producto Vendido]],STOCK[],16,FALSE)*VENTAS[[#This Row],[Cantidad]]+VLOOKUP(VENTAS[[#This Row],[Código del producto Vendido]],STOCK[],19,FALSE)*VENTAS[[#This Row],[Cantidad]],VENTAS[[#This Row],[Total]])</f>
        <v>8.78722222222222</v>
      </c>
      <c r="L1528" s="14">
        <f>VENTAS[[#This Row],[Total]]-VENTAS[[#This Row],[Comisión 10%]]-VENTAS[[#This Row],[Costo SIN Comision]]</f>
        <v>2.01277777777778</v>
      </c>
      <c r="M1528" s="14"/>
    </row>
    <row r="1529" ht="20" hidden="1" customHeight="1" spans="1:13">
      <c r="A1529" s="10">
        <v>45561</v>
      </c>
      <c r="B1529" s="11"/>
      <c r="C1529" s="11" t="s">
        <v>4468</v>
      </c>
      <c r="D1529" s="11" t="s">
        <v>4463</v>
      </c>
      <c r="E1529" s="11" t="s">
        <v>3014</v>
      </c>
      <c r="F1529" s="11" t="str">
        <f>IFERROR(VLOOKUP(VENTAS[[#This Row],[Código del producto Vendido]],STOCK[],5,FALSE),"-")</f>
        <v>Pantalón alto de pierna ancha color caramelo</v>
      </c>
      <c r="G1529" s="11">
        <v>1</v>
      </c>
      <c r="H1529" s="14">
        <v>30</v>
      </c>
      <c r="I1529" s="14">
        <f>VENTAS[[#This Row],[Cantidad]]*VENTAS[[#This Row],[Precio Venta]]</f>
        <v>30</v>
      </c>
      <c r="J1529" s="14">
        <f>IF(VENTAS[[#This Row],[Nombre del Gestor]]&gt;1,VENTAS[[#This Row],[Total]]*10%,0)</f>
        <v>3</v>
      </c>
      <c r="K1529" s="14">
        <f>IFERROR(VLOOKUP(VENTAS[[#This Row],[Código del producto Vendido]],STOCK[],16,FALSE)*VENTAS[[#This Row],[Cantidad]]+VLOOKUP(VENTAS[[#This Row],[Código del producto Vendido]],STOCK[],19,FALSE)*VENTAS[[#This Row],[Cantidad]],VENTAS[[#This Row],[Total]])</f>
        <v>12.63</v>
      </c>
      <c r="L1529" s="14">
        <f>VENTAS[[#This Row],[Total]]-VENTAS[[#This Row],[Comisión 10%]]-VENTAS[[#This Row],[Costo SIN Comision]]</f>
        <v>14.37</v>
      </c>
      <c r="M1529" s="14"/>
    </row>
    <row r="1530" ht="20" hidden="1" customHeight="1" spans="1:13">
      <c r="A1530" s="10">
        <v>45559</v>
      </c>
      <c r="B1530" s="11"/>
      <c r="C1530" s="11" t="s">
        <v>4164</v>
      </c>
      <c r="D1530" s="11" t="s">
        <v>4463</v>
      </c>
      <c r="E1530" s="11" t="s">
        <v>2576</v>
      </c>
      <c r="F1530" s="11" t="str">
        <f>IFERROR(VLOOKUP(VENTAS[[#This Row],[Código del producto Vendido]],STOCK[],5,FALSE),"-")</f>
        <v>Vestido Largo con cinturón fruncido</v>
      </c>
      <c r="G1530" s="11">
        <v>1</v>
      </c>
      <c r="H1530" s="14">
        <v>30</v>
      </c>
      <c r="I1530" s="14">
        <f>VENTAS[[#This Row],[Cantidad]]*VENTAS[[#This Row],[Precio Venta]]</f>
        <v>30</v>
      </c>
      <c r="J1530" s="14">
        <f>IF(VENTAS[[#This Row],[Nombre del Gestor]]&gt;1,VENTAS[[#This Row],[Total]]*10%,0)</f>
        <v>3</v>
      </c>
      <c r="K1530" s="14">
        <f>IFERROR(VLOOKUP(VENTAS[[#This Row],[Código del producto Vendido]],STOCK[],16,FALSE)*VENTAS[[#This Row],[Cantidad]]+VLOOKUP(VENTAS[[#This Row],[Código del producto Vendido]],STOCK[],19,FALSE)*VENTAS[[#This Row],[Cantidad]],VENTAS[[#This Row],[Total]])</f>
        <v>13.66</v>
      </c>
      <c r="L1530" s="14">
        <f>VENTAS[[#This Row],[Total]]-VENTAS[[#This Row],[Comisión 10%]]-VENTAS[[#This Row],[Costo SIN Comision]]</f>
        <v>13.34</v>
      </c>
      <c r="M1530" s="14"/>
    </row>
    <row r="1531" ht="20" hidden="1" customHeight="1" spans="1:13">
      <c r="A1531" s="10">
        <v>45565</v>
      </c>
      <c r="B1531" s="11"/>
      <c r="C1531" s="11" t="s">
        <v>4469</v>
      </c>
      <c r="D1531" s="11" t="s">
        <v>4470</v>
      </c>
      <c r="E1531" s="11" t="s">
        <v>2974</v>
      </c>
      <c r="F1531" s="11" t="str">
        <f>IFERROR(VLOOKUP(VENTAS[[#This Row],[Código del producto Vendido]],STOCK[],5,FALSE),"-")</f>
        <v>Vestido de un hombro con abertura trasera color azul celeste</v>
      </c>
      <c r="G1531" s="11">
        <v>1</v>
      </c>
      <c r="H1531" s="14">
        <v>25</v>
      </c>
      <c r="I1531" s="14">
        <f>VENTAS[[#This Row],[Cantidad]]*VENTAS[[#This Row],[Precio Venta]]</f>
        <v>25</v>
      </c>
      <c r="J1531" s="14">
        <f>IF(VENTAS[[#This Row],[Nombre del Gestor]]&gt;1,VENTAS[[#This Row],[Total]]*10%,0)</f>
        <v>2.5</v>
      </c>
      <c r="K1531" s="14">
        <f>IFERROR(VLOOKUP(VENTAS[[#This Row],[Código del producto Vendido]],STOCK[],16,FALSE)*VENTAS[[#This Row],[Cantidad]]+VLOOKUP(VENTAS[[#This Row],[Código del producto Vendido]],STOCK[],19,FALSE)*VENTAS[[#This Row],[Cantidad]],VENTAS[[#This Row],[Total]])</f>
        <v>12.32</v>
      </c>
      <c r="L1531" s="14">
        <f>VENTAS[[#This Row],[Total]]-VENTAS[[#This Row],[Comisión 10%]]-VENTAS[[#This Row],[Costo SIN Comision]]</f>
        <v>10.18</v>
      </c>
      <c r="M1531" s="14"/>
    </row>
    <row r="1532" ht="27" hidden="1" customHeight="1" spans="1:13">
      <c r="A1532" s="10">
        <v>45562</v>
      </c>
      <c r="B1532" s="11"/>
      <c r="C1532" s="11" t="s">
        <v>4471</v>
      </c>
      <c r="D1532" s="11" t="s">
        <v>4470</v>
      </c>
      <c r="E1532" s="11" t="s">
        <v>2815</v>
      </c>
      <c r="F1532" s="11" t="str">
        <f>IFERROR(VLOOKUP(VENTAS[[#This Row],[Código del producto Vendido]],STOCK[],5,FALSE),"-")</f>
        <v>Bolso de ratán de Moda para vacaciones tamaño mediano con diseño de listas negras</v>
      </c>
      <c r="G1532" s="11">
        <v>1</v>
      </c>
      <c r="H1532" s="14">
        <v>22</v>
      </c>
      <c r="I1532" s="14">
        <f>VENTAS[[#This Row],[Cantidad]]*VENTAS[[#This Row],[Precio Venta]]</f>
        <v>22</v>
      </c>
      <c r="J1532" s="14">
        <f>IF(VENTAS[[#This Row],[Nombre del Gestor]]&gt;1,VENTAS[[#This Row],[Total]]*10%,0)</f>
        <v>2.2</v>
      </c>
      <c r="K1532" s="14">
        <f>IFERROR(VLOOKUP(VENTAS[[#This Row],[Código del producto Vendido]],STOCK[],16,FALSE)*VENTAS[[#This Row],[Cantidad]]+VLOOKUP(VENTAS[[#This Row],[Código del producto Vendido]],STOCK[],19,FALSE)*VENTAS[[#This Row],[Cantidad]],VENTAS[[#This Row],[Total]])</f>
        <v>12.17</v>
      </c>
      <c r="L1532" s="14">
        <f>VENTAS[[#This Row],[Total]]-VENTAS[[#This Row],[Comisión 10%]]-VENTAS[[#This Row],[Costo SIN Comision]]</f>
        <v>7.63</v>
      </c>
      <c r="M1532" s="14"/>
    </row>
    <row r="1533" ht="20" hidden="1" customHeight="1" spans="1:13">
      <c r="A1533" s="10">
        <v>45563</v>
      </c>
      <c r="B1533" s="11"/>
      <c r="C1533" s="11" t="s">
        <v>4472</v>
      </c>
      <c r="D1533" s="11" t="s">
        <v>4470</v>
      </c>
      <c r="E1533" s="11" t="s">
        <v>2965</v>
      </c>
      <c r="F1533" s="11" t="str">
        <f>IFERROR(VLOOKUP(VENTAS[[#This Row],[Código del producto Vendido]],STOCK[],5,FALSE),"-")</f>
        <v>Vestido camisola negro con abertura</v>
      </c>
      <c r="G1533" s="11">
        <v>1</v>
      </c>
      <c r="H1533" s="14">
        <v>20</v>
      </c>
      <c r="I1533" s="14">
        <f>VENTAS[[#This Row],[Cantidad]]*VENTAS[[#This Row],[Precio Venta]]</f>
        <v>20</v>
      </c>
      <c r="J1533" s="14">
        <f>IF(VENTAS[[#This Row],[Nombre del Gestor]]&gt;1,VENTAS[[#This Row],[Total]]*10%,0)</f>
        <v>2</v>
      </c>
      <c r="K1533" s="14">
        <f>IFERROR(VLOOKUP(VENTAS[[#This Row],[Código del producto Vendido]],STOCK[],16,FALSE)*VENTAS[[#This Row],[Cantidad]]+VLOOKUP(VENTAS[[#This Row],[Código del producto Vendido]],STOCK[],19,FALSE)*VENTAS[[#This Row],[Cantidad]],VENTAS[[#This Row],[Total]])</f>
        <v>7.63</v>
      </c>
      <c r="L1533" s="14">
        <f>VENTAS[[#This Row],[Total]]-VENTAS[[#This Row],[Comisión 10%]]-VENTAS[[#This Row],[Costo SIN Comision]]</f>
        <v>10.37</v>
      </c>
      <c r="M1533" s="14"/>
    </row>
    <row r="1534" ht="25" hidden="1" customHeight="1" spans="1:13">
      <c r="A1534" s="10">
        <v>45563</v>
      </c>
      <c r="B1534" s="11"/>
      <c r="C1534" s="11" t="s">
        <v>4473</v>
      </c>
      <c r="D1534" s="11" t="s">
        <v>4470</v>
      </c>
      <c r="E1534" s="11" t="s">
        <v>2144</v>
      </c>
      <c r="F1534" s="11" t="str">
        <f>IFERROR(VLOOKUP(VENTAS[[#This Row],[Código del producto Vendido]],STOCK[],5,FALSE),"-")</f>
        <v>Falda Bohemia de mezclilla de cintura alta con detalles de botón</v>
      </c>
      <c r="G1534" s="11">
        <v>1</v>
      </c>
      <c r="H1534" s="14">
        <v>30</v>
      </c>
      <c r="I1534" s="14">
        <f>VENTAS[[#This Row],[Cantidad]]*VENTAS[[#This Row],[Precio Venta]]</f>
        <v>30</v>
      </c>
      <c r="J1534" s="14">
        <f>IF(VENTAS[[#This Row],[Nombre del Gestor]]&gt;1,VENTAS[[#This Row],[Total]]*10%,0)</f>
        <v>3</v>
      </c>
      <c r="K1534" s="14">
        <f>IFERROR(VLOOKUP(VENTAS[[#This Row],[Código del producto Vendido]],STOCK[],16,FALSE)*VENTAS[[#This Row],[Cantidad]]+VLOOKUP(VENTAS[[#This Row],[Código del producto Vendido]],STOCK[],19,FALSE)*VENTAS[[#This Row],[Cantidad]],VENTAS[[#This Row],[Total]])</f>
        <v>7.05</v>
      </c>
      <c r="L1534" s="14">
        <f>VENTAS[[#This Row],[Total]]-VENTAS[[#This Row],[Comisión 10%]]-VENTAS[[#This Row],[Costo SIN Comision]]</f>
        <v>19.95</v>
      </c>
      <c r="M1534" s="14"/>
    </row>
    <row r="1535" ht="20" hidden="1" customHeight="1" spans="1:13">
      <c r="A1535" s="10">
        <v>45552</v>
      </c>
      <c r="B1535" s="11"/>
      <c r="C1535" s="11" t="s">
        <v>4474</v>
      </c>
      <c r="D1535" s="11" t="s">
        <v>4470</v>
      </c>
      <c r="E1535" s="11" t="s">
        <v>1768</v>
      </c>
      <c r="F1535" s="11" t="str">
        <f>IFERROR(VLOOKUP(VENTAS[[#This Row],[Código del producto Vendido]],STOCK[],5,FALSE),"-")</f>
        <v>Calcetines bajos</v>
      </c>
      <c r="G1535" s="11">
        <v>5</v>
      </c>
      <c r="H1535" s="14">
        <v>1</v>
      </c>
      <c r="I1535" s="14">
        <f>VENTAS[[#This Row],[Cantidad]]*VENTAS[[#This Row],[Precio Venta]]</f>
        <v>5</v>
      </c>
      <c r="J1535" s="14">
        <f>IF(VENTAS[[#This Row],[Nombre del Gestor]]&gt;1,VENTAS[[#This Row],[Total]]*10%,0)</f>
        <v>0.5</v>
      </c>
      <c r="K1535" s="14">
        <f>IFERROR(VLOOKUP(VENTAS[[#This Row],[Código del producto Vendido]],STOCK[],16,FALSE)*VENTAS[[#This Row],[Cantidad]]+VLOOKUP(VENTAS[[#This Row],[Código del producto Vendido]],STOCK[],19,FALSE)*VENTAS[[#This Row],[Cantidad]],VENTAS[[#This Row],[Total]])</f>
        <v>2.14705882352941</v>
      </c>
      <c r="L1535" s="14">
        <f>VENTAS[[#This Row],[Total]]-VENTAS[[#This Row],[Comisión 10%]]-VENTAS[[#This Row],[Costo SIN Comision]]</f>
        <v>2.35294117647059</v>
      </c>
      <c r="M1535" s="14"/>
    </row>
    <row r="1536" ht="20" hidden="1" customHeight="1" spans="1:13">
      <c r="A1536" s="10">
        <v>45552</v>
      </c>
      <c r="B1536" s="11"/>
      <c r="C1536" s="11" t="s">
        <v>4472</v>
      </c>
      <c r="D1536" s="11" t="s">
        <v>4470</v>
      </c>
      <c r="E1536" s="11" t="s">
        <v>1738</v>
      </c>
      <c r="F1536" s="11" t="str">
        <f>IFERROR(VLOOKUP(VENTAS[[#This Row],[Código del producto Vendido]],STOCK[],5,FALSE),"-")</f>
        <v>Chaleco de traje Blanco</v>
      </c>
      <c r="G1536" s="11">
        <v>0</v>
      </c>
      <c r="H1536" s="14">
        <v>25</v>
      </c>
      <c r="I1536" s="14">
        <f>VENTAS[[#This Row],[Cantidad]]*VENTAS[[#This Row],[Precio Venta]]</f>
        <v>0</v>
      </c>
      <c r="J1536" s="14">
        <f>IF(VENTAS[[#This Row],[Nombre del Gestor]]&gt;1,VENTAS[[#This Row],[Total]]*10%,0)</f>
        <v>0</v>
      </c>
      <c r="K1536" s="14">
        <f>IFERROR(VLOOKUP(VENTAS[[#This Row],[Código del producto Vendido]],STOCK[],16,FALSE)*VENTAS[[#This Row],[Cantidad]]+VLOOKUP(VENTAS[[#This Row],[Código del producto Vendido]],STOCK[],19,FALSE)*VENTAS[[#This Row],[Cantidad]],VENTAS[[#This Row],[Total]])</f>
        <v>0</v>
      </c>
      <c r="L1536" s="14">
        <f>VENTAS[[#This Row],[Total]]-VENTAS[[#This Row],[Comisión 10%]]-VENTAS[[#This Row],[Costo SIN Comision]]</f>
        <v>0</v>
      </c>
      <c r="M1536" s="14"/>
    </row>
    <row r="1537" ht="20" hidden="1" customHeight="1" spans="1:13">
      <c r="A1537" s="10">
        <v>45565</v>
      </c>
      <c r="B1537" s="11"/>
      <c r="C1537" s="11" t="s">
        <v>4475</v>
      </c>
      <c r="D1537" s="11" t="s">
        <v>4270</v>
      </c>
      <c r="E1537" s="11" t="s">
        <v>3001</v>
      </c>
      <c r="F1537" s="11" t="str">
        <f>IFERROR(VLOOKUP(VENTAS[[#This Row],[Código del producto Vendido]],STOCK[],5,FALSE),"-")</f>
        <v>Traje de baño enterizo elegante de un hombro talla grande </v>
      </c>
      <c r="G1537" s="11">
        <v>1</v>
      </c>
      <c r="H1537" s="14">
        <v>28</v>
      </c>
      <c r="I1537" s="14">
        <f>VENTAS[[#This Row],[Cantidad]]*VENTAS[[#This Row],[Precio Venta]]</f>
        <v>28</v>
      </c>
      <c r="J1537" s="14">
        <f>IF(VENTAS[[#This Row],[Nombre del Gestor]]&gt;1,VENTAS[[#This Row],[Total]]*10%,0)</f>
        <v>2.8</v>
      </c>
      <c r="K1537" s="14">
        <f>IFERROR(VLOOKUP(VENTAS[[#This Row],[Código del producto Vendido]],STOCK[],16,FALSE)*VENTAS[[#This Row],[Cantidad]]+VLOOKUP(VENTAS[[#This Row],[Código del producto Vendido]],STOCK[],19,FALSE)*VENTAS[[#This Row],[Cantidad]],VENTAS[[#This Row],[Total]])</f>
        <v>13.33</v>
      </c>
      <c r="L1537" s="14">
        <f>VENTAS[[#This Row],[Total]]-VENTAS[[#This Row],[Comisión 10%]]-VENTAS[[#This Row],[Costo SIN Comision]]</f>
        <v>11.87</v>
      </c>
      <c r="M1537" s="14"/>
    </row>
    <row r="1538" ht="20" hidden="1" customHeight="1" spans="1:13">
      <c r="A1538" s="10">
        <v>45563</v>
      </c>
      <c r="B1538" s="11"/>
      <c r="C1538" s="11" t="s">
        <v>4476</v>
      </c>
      <c r="D1538" s="11" t="s">
        <v>4270</v>
      </c>
      <c r="E1538" s="11" t="s">
        <v>2796</v>
      </c>
      <c r="F1538" s="11" t="str">
        <f>IFERROR(VLOOKUP(VENTAS[[#This Row],[Código del producto Vendido]],STOCK[],5,FALSE),"-")</f>
        <v>Sandalias estilo chunky de suela gruesa en contraste de color</v>
      </c>
      <c r="G1538" s="11">
        <v>1</v>
      </c>
      <c r="H1538" s="14">
        <v>35</v>
      </c>
      <c r="I1538" s="14">
        <f>VENTAS[[#This Row],[Cantidad]]*VENTAS[[#This Row],[Precio Venta]]</f>
        <v>35</v>
      </c>
      <c r="J1538" s="14">
        <f>IF(VENTAS[[#This Row],[Nombre del Gestor]]&gt;1,VENTAS[[#This Row],[Total]]*10%,0)</f>
        <v>3.5</v>
      </c>
      <c r="K1538" s="14">
        <f>IFERROR(VLOOKUP(VENTAS[[#This Row],[Código del producto Vendido]],STOCK[],16,FALSE)*VENTAS[[#This Row],[Cantidad]]+VLOOKUP(VENTAS[[#This Row],[Código del producto Vendido]],STOCK[],19,FALSE)*VENTAS[[#This Row],[Cantidad]],VENTAS[[#This Row],[Total]])</f>
        <v>13.4</v>
      </c>
      <c r="L1538" s="14">
        <f>VENTAS[[#This Row],[Total]]-VENTAS[[#This Row],[Comisión 10%]]-VENTAS[[#This Row],[Costo SIN Comision]]</f>
        <v>18.1</v>
      </c>
      <c r="M1538" s="14"/>
    </row>
    <row r="1539" ht="20" hidden="1" customHeight="1" spans="1:13">
      <c r="A1539" s="10">
        <v>45560</v>
      </c>
      <c r="B1539" s="11"/>
      <c r="C1539" s="11" t="s">
        <v>4477</v>
      </c>
      <c r="D1539" s="11" t="s">
        <v>4270</v>
      </c>
      <c r="E1539" s="11" t="s">
        <v>2972</v>
      </c>
      <c r="F1539" s="11" t="str">
        <f>IFERROR(VLOOKUP(VENTAS[[#This Row],[Código del producto Vendido]],STOCK[],5,FALSE),"-")</f>
        <v>Vestido de un hombro con abertura trasera color azul celeste</v>
      </c>
      <c r="G1539" s="11">
        <v>1</v>
      </c>
      <c r="H1539" s="14">
        <v>25</v>
      </c>
      <c r="I1539" s="14">
        <f>VENTAS[[#This Row],[Cantidad]]*VENTAS[[#This Row],[Precio Venta]]</f>
        <v>25</v>
      </c>
      <c r="J1539" s="14">
        <f>IF(VENTAS[[#This Row],[Nombre del Gestor]]&gt;1,VENTAS[[#This Row],[Total]]*10%,0)</f>
        <v>2.5</v>
      </c>
      <c r="K1539" s="14">
        <f>IFERROR(VLOOKUP(VENTAS[[#This Row],[Código del producto Vendido]],STOCK[],16,FALSE)*VENTAS[[#This Row],[Cantidad]]+VLOOKUP(VENTAS[[#This Row],[Código del producto Vendido]],STOCK[],19,FALSE)*VENTAS[[#This Row],[Cantidad]],VENTAS[[#This Row],[Total]])</f>
        <v>12.32</v>
      </c>
      <c r="L1539" s="14">
        <f>VENTAS[[#This Row],[Total]]-VENTAS[[#This Row],[Comisión 10%]]-VENTAS[[#This Row],[Costo SIN Comision]]</f>
        <v>10.18</v>
      </c>
      <c r="M1539" s="14"/>
    </row>
    <row r="1540" ht="20" hidden="1" customHeight="1" spans="1:13">
      <c r="A1540" s="10">
        <v>45565</v>
      </c>
      <c r="B1540" s="11"/>
      <c r="C1540" s="11" t="s">
        <v>4478</v>
      </c>
      <c r="D1540" s="11" t="s">
        <v>4427</v>
      </c>
      <c r="E1540" s="11" t="s">
        <v>2857</v>
      </c>
      <c r="F1540" s="11" t="str">
        <f>IFERROR(VLOOKUP(VENTAS[[#This Row],[Código del producto Vendido]],STOCK[],5,FALSE),"-")</f>
        <v>Bolso cuadrado tejido de rafia Tamaño grande Color Carmelita</v>
      </c>
      <c r="G1540" s="11">
        <v>1</v>
      </c>
      <c r="H1540" s="14">
        <v>25</v>
      </c>
      <c r="I1540" s="14">
        <f>VENTAS[[#This Row],[Cantidad]]*VENTAS[[#This Row],[Precio Venta]]</f>
        <v>25</v>
      </c>
      <c r="J1540" s="14">
        <f>IF(VENTAS[[#This Row],[Nombre del Gestor]]&gt;1,VENTAS[[#This Row],[Total]]*10%,0)</f>
        <v>2.5</v>
      </c>
      <c r="K1540" s="14">
        <f>IFERROR(VLOOKUP(VENTAS[[#This Row],[Código del producto Vendido]],STOCK[],16,FALSE)*VENTAS[[#This Row],[Cantidad]]+VLOOKUP(VENTAS[[#This Row],[Código del producto Vendido]],STOCK[],19,FALSE)*VENTAS[[#This Row],[Cantidad]],VENTAS[[#This Row],[Total]])</f>
        <v>14.85</v>
      </c>
      <c r="L1540" s="14">
        <f>VENTAS[[#This Row],[Total]]-VENTAS[[#This Row],[Comisión 10%]]-VENTAS[[#This Row],[Costo SIN Comision]]</f>
        <v>7.65</v>
      </c>
      <c r="M1540" s="14"/>
    </row>
    <row r="1541" ht="20" hidden="1" customHeight="1" spans="1:13">
      <c r="A1541" s="10">
        <v>45563</v>
      </c>
      <c r="B1541" s="11"/>
      <c r="C1541" s="11" t="s">
        <v>4479</v>
      </c>
      <c r="D1541" s="11" t="s">
        <v>4273</v>
      </c>
      <c r="E1541" s="11" t="s">
        <v>2806</v>
      </c>
      <c r="F1541" s="11" t="str">
        <f>IFERROR(VLOOKUP(VENTAS[[#This Row],[Código del producto Vendido]],STOCK[],5,FALSE),"-")</f>
        <v>Sandalias espadriles de cuña de correas transparentes</v>
      </c>
      <c r="G1541" s="11">
        <v>1</v>
      </c>
      <c r="H1541" s="14">
        <v>40</v>
      </c>
      <c r="I1541" s="14">
        <f>VENTAS[[#This Row],[Cantidad]]*VENTAS[[#This Row],[Precio Venta]]</f>
        <v>40</v>
      </c>
      <c r="J1541" s="14">
        <f>IF(VENTAS[[#This Row],[Nombre del Gestor]]&gt;1,VENTAS[[#This Row],[Total]]*10%,0)</f>
        <v>4</v>
      </c>
      <c r="K1541" s="14">
        <f>IFERROR(VLOOKUP(VENTAS[[#This Row],[Código del producto Vendido]],STOCK[],16,FALSE)*VENTAS[[#This Row],[Cantidad]]+VLOOKUP(VENTAS[[#This Row],[Código del producto Vendido]],STOCK[],19,FALSE)*VENTAS[[#This Row],[Cantidad]],VENTAS[[#This Row],[Total]])</f>
        <v>13.01</v>
      </c>
      <c r="L1541" s="14">
        <f>VENTAS[[#This Row],[Total]]-VENTAS[[#This Row],[Comisión 10%]]-VENTAS[[#This Row],[Costo SIN Comision]]</f>
        <v>22.99</v>
      </c>
      <c r="M1541" s="14"/>
    </row>
    <row r="1542" ht="20" hidden="1" customHeight="1" spans="1:13">
      <c r="A1542" s="10">
        <v>45562</v>
      </c>
      <c r="B1542" s="11"/>
      <c r="C1542" s="11" t="s">
        <v>4361</v>
      </c>
      <c r="D1542" s="11" t="s">
        <v>4273</v>
      </c>
      <c r="E1542" s="11" t="s">
        <v>2813</v>
      </c>
      <c r="F1542" s="11" t="str">
        <f>IFERROR(VLOOKUP(VENTAS[[#This Row],[Código del producto Vendido]],STOCK[],5,FALSE),"-")</f>
        <v>Bolso elegante de estilo sillín</v>
      </c>
      <c r="G1542" s="11">
        <v>1</v>
      </c>
      <c r="H1542" s="14">
        <v>30</v>
      </c>
      <c r="I1542" s="14">
        <f>VENTAS[[#This Row],[Cantidad]]*VENTAS[[#This Row],[Precio Venta]]</f>
        <v>30</v>
      </c>
      <c r="J1542" s="14">
        <f>IF(VENTAS[[#This Row],[Nombre del Gestor]]&gt;1,VENTAS[[#This Row],[Total]]*10%,0)</f>
        <v>3</v>
      </c>
      <c r="K1542" s="14">
        <f>IFERROR(VLOOKUP(VENTAS[[#This Row],[Código del producto Vendido]],STOCK[],16,FALSE)*VENTAS[[#This Row],[Cantidad]]+VLOOKUP(VENTAS[[#This Row],[Código del producto Vendido]],STOCK[],19,FALSE)*VENTAS[[#This Row],[Cantidad]],VENTAS[[#This Row],[Total]])</f>
        <v>10.28</v>
      </c>
      <c r="L1542" s="14">
        <f>VENTAS[[#This Row],[Total]]-VENTAS[[#This Row],[Comisión 10%]]-VENTAS[[#This Row],[Costo SIN Comision]]</f>
        <v>16.72</v>
      </c>
      <c r="M1542" s="14"/>
    </row>
    <row r="1543" ht="20" hidden="1" customHeight="1" spans="1:13">
      <c r="A1543" s="10">
        <v>45563</v>
      </c>
      <c r="B1543" s="11"/>
      <c r="C1543" s="11" t="s">
        <v>4480</v>
      </c>
      <c r="D1543" s="11" t="s">
        <v>4273</v>
      </c>
      <c r="E1543" s="11" t="s">
        <v>2698</v>
      </c>
      <c r="F1543" s="11" t="str">
        <f>IFERROR(VLOOKUP(VENTAS[[#This Row],[Código del producto Vendido]],STOCK[],5,FALSE),"-")</f>
        <v>Set de Splash y crema de Victoria Secret (Original) Love Spell</v>
      </c>
      <c r="G1543" s="11">
        <v>0</v>
      </c>
      <c r="H1543" s="14">
        <v>40</v>
      </c>
      <c r="I1543" s="14">
        <f>VENTAS[[#This Row],[Cantidad]]*VENTAS[[#This Row],[Precio Venta]]</f>
        <v>0</v>
      </c>
      <c r="J1543" s="14">
        <f>IF(VENTAS[[#This Row],[Nombre del Gestor]]&gt;1,VENTAS[[#This Row],[Total]]*10%,0)</f>
        <v>0</v>
      </c>
      <c r="K1543" s="14">
        <f>IFERROR(VLOOKUP(VENTAS[[#This Row],[Código del producto Vendido]],STOCK[],16,FALSE)*VENTAS[[#This Row],[Cantidad]]+VLOOKUP(VENTAS[[#This Row],[Código del producto Vendido]],STOCK[],19,FALSE)*VENTAS[[#This Row],[Cantidad]],VENTAS[[#This Row],[Total]])</f>
        <v>0</v>
      </c>
      <c r="L1543" s="14">
        <f>VENTAS[[#This Row],[Total]]-VENTAS[[#This Row],[Comisión 10%]]-VENTAS[[#This Row],[Costo SIN Comision]]</f>
        <v>0</v>
      </c>
      <c r="M1543" s="14"/>
    </row>
    <row r="1544" ht="20" hidden="1" customHeight="1" spans="1:13">
      <c r="A1544" s="10">
        <v>45560</v>
      </c>
      <c r="B1544" s="11"/>
      <c r="C1544" s="11" t="s">
        <v>4481</v>
      </c>
      <c r="D1544" s="11" t="s">
        <v>4273</v>
      </c>
      <c r="E1544" s="11" t="s">
        <v>2774</v>
      </c>
      <c r="F1544" s="11" t="str">
        <f>IFERROR(VLOOKUP(VENTAS[[#This Row],[Código del producto Vendido]],STOCK[],5,FALSE),"-")</f>
        <v>Sandalias de plataforma de rafia natural</v>
      </c>
      <c r="G1544" s="11">
        <v>0</v>
      </c>
      <c r="H1544" s="14">
        <v>45</v>
      </c>
      <c r="I1544" s="14">
        <f>VENTAS[[#This Row],[Cantidad]]*VENTAS[[#This Row],[Precio Venta]]</f>
        <v>0</v>
      </c>
      <c r="J1544" s="14">
        <f>IF(VENTAS[[#This Row],[Nombre del Gestor]]&gt;1,VENTAS[[#This Row],[Total]]*10%,0)</f>
        <v>0</v>
      </c>
      <c r="K1544" s="14">
        <f>IFERROR(VLOOKUP(VENTAS[[#This Row],[Código del producto Vendido]],STOCK[],16,FALSE)*VENTAS[[#This Row],[Cantidad]]+VLOOKUP(VENTAS[[#This Row],[Código del producto Vendido]],STOCK[],19,FALSE)*VENTAS[[#This Row],[Cantidad]],VENTAS[[#This Row],[Total]])</f>
        <v>0</v>
      </c>
      <c r="L1544" s="14">
        <f>VENTAS[[#This Row],[Total]]-VENTAS[[#This Row],[Comisión 10%]]-VENTAS[[#This Row],[Costo SIN Comision]]</f>
        <v>0</v>
      </c>
      <c r="M1544" s="14"/>
    </row>
    <row r="1545" ht="20" hidden="1" customHeight="1" spans="1:13">
      <c r="A1545" s="10">
        <v>45559</v>
      </c>
      <c r="B1545" s="11"/>
      <c r="C1545" s="11" t="s">
        <v>4482</v>
      </c>
      <c r="D1545" s="11" t="s">
        <v>4273</v>
      </c>
      <c r="E1545" s="11" t="s">
        <v>2815</v>
      </c>
      <c r="F1545" s="11" t="str">
        <f>IFERROR(VLOOKUP(VENTAS[[#This Row],[Código del producto Vendido]],STOCK[],5,FALSE),"-")</f>
        <v>Bolso de ratán de Moda para vacaciones tamaño mediano con diseño de listas negras</v>
      </c>
      <c r="G1545" s="11">
        <v>1</v>
      </c>
      <c r="H1545" s="14">
        <v>22</v>
      </c>
      <c r="I1545" s="14">
        <f>VENTAS[[#This Row],[Cantidad]]*VENTAS[[#This Row],[Precio Venta]]</f>
        <v>22</v>
      </c>
      <c r="J1545" s="14">
        <f>IF(VENTAS[[#This Row],[Nombre del Gestor]]&gt;1,VENTAS[[#This Row],[Total]]*10%,0)</f>
        <v>2.2</v>
      </c>
      <c r="K1545" s="14">
        <f>IFERROR(VLOOKUP(VENTAS[[#This Row],[Código del producto Vendido]],STOCK[],16,FALSE)*VENTAS[[#This Row],[Cantidad]]+VLOOKUP(VENTAS[[#This Row],[Código del producto Vendido]],STOCK[],19,FALSE)*VENTAS[[#This Row],[Cantidad]],VENTAS[[#This Row],[Total]])</f>
        <v>12.17</v>
      </c>
      <c r="L1545" s="14">
        <f>VENTAS[[#This Row],[Total]]-VENTAS[[#This Row],[Comisión 10%]]-VENTAS[[#This Row],[Costo SIN Comision]]</f>
        <v>7.63</v>
      </c>
      <c r="M1545" s="14"/>
    </row>
    <row r="1546" ht="20" hidden="1" customHeight="1" spans="1:13">
      <c r="A1546" s="10">
        <v>45559</v>
      </c>
      <c r="B1546" s="11"/>
      <c r="C1546" s="11" t="s">
        <v>4483</v>
      </c>
      <c r="D1546" s="11" t="s">
        <v>4273</v>
      </c>
      <c r="E1546" s="11" t="s">
        <v>2815</v>
      </c>
      <c r="F1546" s="11" t="str">
        <f>IFERROR(VLOOKUP(VENTAS[[#This Row],[Código del producto Vendido]],STOCK[],5,FALSE),"-")</f>
        <v>Bolso de ratán de Moda para vacaciones tamaño mediano con diseño de listas negras</v>
      </c>
      <c r="G1546" s="11">
        <v>1</v>
      </c>
      <c r="H1546" s="14">
        <v>22</v>
      </c>
      <c r="I1546" s="14">
        <f>VENTAS[[#This Row],[Cantidad]]*VENTAS[[#This Row],[Precio Venta]]</f>
        <v>22</v>
      </c>
      <c r="J1546" s="14">
        <f>IF(VENTAS[[#This Row],[Nombre del Gestor]]&gt;1,VENTAS[[#This Row],[Total]]*10%,0)</f>
        <v>2.2</v>
      </c>
      <c r="K1546" s="14">
        <f>IFERROR(VLOOKUP(VENTAS[[#This Row],[Código del producto Vendido]],STOCK[],16,FALSE)*VENTAS[[#This Row],[Cantidad]]+VLOOKUP(VENTAS[[#This Row],[Código del producto Vendido]],STOCK[],19,FALSE)*VENTAS[[#This Row],[Cantidad]],VENTAS[[#This Row],[Total]])</f>
        <v>12.17</v>
      </c>
      <c r="L1546" s="14">
        <f>VENTAS[[#This Row],[Total]]-VENTAS[[#This Row],[Comisión 10%]]-VENTAS[[#This Row],[Costo SIN Comision]]</f>
        <v>7.63</v>
      </c>
      <c r="M1546" s="14"/>
    </row>
    <row r="1547" ht="20" hidden="1" customHeight="1" spans="1:13">
      <c r="A1547" s="10">
        <v>45553</v>
      </c>
      <c r="B1547" s="11"/>
      <c r="C1547" s="11" t="s">
        <v>4484</v>
      </c>
      <c r="D1547" s="11" t="s">
        <v>4273</v>
      </c>
      <c r="E1547" s="11" t="s">
        <v>2762</v>
      </c>
      <c r="F1547" s="11" t="str">
        <f>IFERROR(VLOOKUP(VENTAS[[#This Row],[Código del producto Vendido]],STOCK[],5,FALSE),"-")</f>
        <v>Set de bikini estilo europeo blanco en tendencia</v>
      </c>
      <c r="G1547" s="11">
        <v>0</v>
      </c>
      <c r="H1547" s="14">
        <v>22</v>
      </c>
      <c r="I1547" s="14">
        <f>VENTAS[[#This Row],[Cantidad]]*VENTAS[[#This Row],[Precio Venta]]</f>
        <v>0</v>
      </c>
      <c r="J1547" s="14">
        <f>IF(VENTAS[[#This Row],[Nombre del Gestor]]&gt;1,VENTAS[[#This Row],[Total]]*10%,0)</f>
        <v>0</v>
      </c>
      <c r="K1547" s="14">
        <f>IFERROR(VLOOKUP(VENTAS[[#This Row],[Código del producto Vendido]],STOCK[],16,FALSE)*VENTAS[[#This Row],[Cantidad]]+VLOOKUP(VENTAS[[#This Row],[Código del producto Vendido]],STOCK[],19,FALSE)*VENTAS[[#This Row],[Cantidad]],VENTAS[[#This Row],[Total]])</f>
        <v>0</v>
      </c>
      <c r="L1547" s="14">
        <f>VENTAS[[#This Row],[Total]]-VENTAS[[#This Row],[Comisión 10%]]-VENTAS[[#This Row],[Costo SIN Comision]]</f>
        <v>0</v>
      </c>
      <c r="M1547" s="14"/>
    </row>
    <row r="1548" ht="20" hidden="1" customHeight="1" spans="1:13">
      <c r="A1548" s="10">
        <v>45567</v>
      </c>
      <c r="B1548" s="11"/>
      <c r="C1548" s="11" t="s">
        <v>4485</v>
      </c>
      <c r="D1548" s="11" t="s">
        <v>4486</v>
      </c>
      <c r="E1548" s="11" t="s">
        <v>2823</v>
      </c>
      <c r="F1548" s="11" t="str">
        <f>IFERROR(VLOOKUP(VENTAS[[#This Row],[Código del producto Vendido]],STOCK[],5,FALSE),"-")</f>
        <v>Bolso de playa en bloque de color tejido en algodón</v>
      </c>
      <c r="G1548" s="11">
        <v>1</v>
      </c>
      <c r="H1548" s="14">
        <v>25</v>
      </c>
      <c r="I1548" s="14">
        <f>VENTAS[[#This Row],[Cantidad]]*VENTAS[[#This Row],[Precio Venta]]</f>
        <v>25</v>
      </c>
      <c r="J1548" s="14">
        <f>IF(VENTAS[[#This Row],[Nombre del Gestor]]&gt;1,VENTAS[[#This Row],[Total]]*10%,0)</f>
        <v>2.5</v>
      </c>
      <c r="K1548" s="14">
        <f>IFERROR(VLOOKUP(VENTAS[[#This Row],[Código del producto Vendido]],STOCK[],16,FALSE)*VENTAS[[#This Row],[Cantidad]]+VLOOKUP(VENTAS[[#This Row],[Código del producto Vendido]],STOCK[],19,FALSE)*VENTAS[[#This Row],[Cantidad]],VENTAS[[#This Row],[Total]])</f>
        <v>13.35</v>
      </c>
      <c r="L1548" s="14">
        <f>VENTAS[[#This Row],[Total]]-VENTAS[[#This Row],[Comisión 10%]]-VENTAS[[#This Row],[Costo SIN Comision]]</f>
        <v>9.15</v>
      </c>
      <c r="M1548" s="14"/>
    </row>
    <row r="1549" ht="20" hidden="1" customHeight="1" spans="1:13">
      <c r="A1549" s="10"/>
      <c r="B1549" s="11"/>
      <c r="C1549" s="11"/>
      <c r="D1549" s="11" t="s">
        <v>4487</v>
      </c>
      <c r="E1549" s="11" t="s">
        <v>2857</v>
      </c>
      <c r="F1549" s="11" t="str">
        <f>IFERROR(VLOOKUP(VENTAS[[#This Row],[Código del producto Vendido]],STOCK[],5,FALSE),"-")</f>
        <v>Bolso cuadrado tejido de rafia Tamaño grande Color Carmelita</v>
      </c>
      <c r="G1549" s="11">
        <v>1</v>
      </c>
      <c r="H1549" s="14">
        <v>22</v>
      </c>
      <c r="I1549" s="14">
        <f>VENTAS[[#This Row],[Cantidad]]*VENTAS[[#This Row],[Precio Venta]]</f>
        <v>22</v>
      </c>
      <c r="J1549" s="14">
        <f>IF(VENTAS[[#This Row],[Nombre del Gestor]]&gt;1,VENTAS[[#This Row],[Total]]*10%,0)</f>
        <v>2.2</v>
      </c>
      <c r="K1549" s="14">
        <f>IFERROR(VLOOKUP(VENTAS[[#This Row],[Código del producto Vendido]],STOCK[],16,FALSE)*VENTAS[[#This Row],[Cantidad]]+VLOOKUP(VENTAS[[#This Row],[Código del producto Vendido]],STOCK[],19,FALSE)*VENTAS[[#This Row],[Cantidad]],VENTAS[[#This Row],[Total]])</f>
        <v>14.85</v>
      </c>
      <c r="L1549" s="14">
        <f>VENTAS[[#This Row],[Total]]-VENTAS[[#This Row],[Comisión 10%]]-VENTAS[[#This Row],[Costo SIN Comision]]</f>
        <v>4.95</v>
      </c>
      <c r="M1549" s="14"/>
    </row>
    <row r="1550" ht="20" hidden="1" customHeight="1" spans="1:13">
      <c r="A1550" s="10"/>
      <c r="B1550" s="11"/>
      <c r="C1550" s="11"/>
      <c r="D1550" s="11" t="s">
        <v>4487</v>
      </c>
      <c r="E1550" s="11" t="s">
        <v>2857</v>
      </c>
      <c r="F1550" s="11" t="str">
        <f>IFERROR(VLOOKUP(VENTAS[[#This Row],[Código del producto Vendido]],STOCK[],5,FALSE),"-")</f>
        <v>Bolso cuadrado tejido de rafia Tamaño grande Color Carmelita</v>
      </c>
      <c r="G1550" s="11">
        <v>1</v>
      </c>
      <c r="H1550" s="14">
        <v>10.8</v>
      </c>
      <c r="I1550" s="14">
        <f>VENTAS[[#This Row],[Cantidad]]*VENTAS[[#This Row],[Precio Venta]]</f>
        <v>10.8</v>
      </c>
      <c r="J1550" s="14">
        <f>IF(VENTAS[[#This Row],[Nombre del Gestor]]&gt;1,VENTAS[[#This Row],[Total]]*10%,0)</f>
        <v>1.08</v>
      </c>
      <c r="K1550" s="14">
        <f>IFERROR(VLOOKUP(VENTAS[[#This Row],[Código del producto Vendido]],STOCK[],16,FALSE)*VENTAS[[#This Row],[Cantidad]]+VLOOKUP(VENTAS[[#This Row],[Código del producto Vendido]],STOCK[],19,FALSE)*VENTAS[[#This Row],[Cantidad]],VENTAS[[#This Row],[Total]])</f>
        <v>14.85</v>
      </c>
      <c r="L1550" s="14">
        <f>VENTAS[[#This Row],[Total]]-VENTAS[[#This Row],[Comisión 10%]]-VENTAS[[#This Row],[Costo SIN Comision]]</f>
        <v>-5.13</v>
      </c>
      <c r="M1550" s="14"/>
    </row>
    <row r="1551" ht="20" hidden="1" customHeight="1" spans="1:13">
      <c r="A1551" s="10"/>
      <c r="B1551" s="11"/>
      <c r="C1551" s="11"/>
      <c r="D1551" s="11" t="s">
        <v>4076</v>
      </c>
      <c r="E1551" s="11" t="s">
        <v>2392</v>
      </c>
      <c r="F1551" s="11" t="str">
        <f>IFERROR(VLOOKUP(VENTAS[[#This Row],[Código del producto Vendido]],STOCK[],5,FALSE),"-")</f>
        <v>Sandalias de tiras con tacón cuadrado Marca H&amp;M</v>
      </c>
      <c r="G1551" s="11">
        <v>1</v>
      </c>
      <c r="H1551" s="14">
        <v>35</v>
      </c>
      <c r="I1551" s="14">
        <f>VENTAS[[#This Row],[Cantidad]]*VENTAS[[#This Row],[Precio Venta]]</f>
        <v>35</v>
      </c>
      <c r="J1551" s="14">
        <f>IF(VENTAS[[#This Row],[Nombre del Gestor]]&gt;1,VENTAS[[#This Row],[Total]]*10%,0)</f>
        <v>3.5</v>
      </c>
      <c r="K1551" s="14">
        <f>IFERROR(VLOOKUP(VENTAS[[#This Row],[Código del producto Vendido]],STOCK[],16,FALSE)*VENTAS[[#This Row],[Cantidad]]+VLOOKUP(VENTAS[[#This Row],[Código del producto Vendido]],STOCK[],19,FALSE)*VENTAS[[#This Row],[Cantidad]],VENTAS[[#This Row],[Total]])</f>
        <v>17.2520211515864</v>
      </c>
      <c r="L1551" s="14">
        <f>VENTAS[[#This Row],[Total]]-VENTAS[[#This Row],[Comisión 10%]]-VENTAS[[#This Row],[Costo SIN Comision]]</f>
        <v>14.2479788484136</v>
      </c>
      <c r="M1551" s="14"/>
    </row>
    <row r="1552" ht="20" hidden="1" customHeight="1" spans="1:13">
      <c r="A1552" s="10"/>
      <c r="B1552" s="11"/>
      <c r="C1552" s="11"/>
      <c r="D1552" s="11"/>
      <c r="E1552" s="11" t="s">
        <v>2559</v>
      </c>
      <c r="F1552" s="11" t="str">
        <f>IFERROR(VLOOKUP(VENTAS[[#This Row],[Código del producto Vendido]],STOCK[],5,FALSE),"-")</f>
        <v>Maxi vestido de algodón cruzado con estampado floral vibrante</v>
      </c>
      <c r="G1552" s="11">
        <v>1</v>
      </c>
      <c r="H1552" s="14">
        <v>35</v>
      </c>
      <c r="I1552" s="14">
        <f>VENTAS[[#This Row],[Cantidad]]*VENTAS[[#This Row],[Precio Venta]]</f>
        <v>35</v>
      </c>
      <c r="J1552" s="14">
        <f>IF(VENTAS[[#This Row],[Nombre del Gestor]]&gt;1,VENTAS[[#This Row],[Total]]*10%,0)</f>
        <v>0</v>
      </c>
      <c r="K1552" s="14">
        <f>IFERROR(VLOOKUP(VENTAS[[#This Row],[Código del producto Vendido]],STOCK[],16,FALSE)*VENTAS[[#This Row],[Cantidad]]+VLOOKUP(VENTAS[[#This Row],[Código del producto Vendido]],STOCK[],19,FALSE)*VENTAS[[#This Row],[Cantidad]],VENTAS[[#This Row],[Total]])</f>
        <v>18.26</v>
      </c>
      <c r="L1552" s="14">
        <f>VENTAS[[#This Row],[Total]]-VENTAS[[#This Row],[Comisión 10%]]-VENTAS[[#This Row],[Costo SIN Comision]]</f>
        <v>16.74</v>
      </c>
      <c r="M1552" s="14"/>
    </row>
    <row r="1553" ht="20" hidden="1" customHeight="1" spans="1:13">
      <c r="A1553" s="10"/>
      <c r="B1553" s="11"/>
      <c r="C1553" s="11"/>
      <c r="D1553" s="11" t="s">
        <v>4212</v>
      </c>
      <c r="E1553" s="11" t="s">
        <v>2671</v>
      </c>
      <c r="F1553" s="11" t="str">
        <f>IFERROR(VLOOKUP(VENTAS[[#This Row],[Código del producto Vendido]],STOCK[],5,FALSE),"-")</f>
        <v>Pullover Celeste algodón PRIMARK</v>
      </c>
      <c r="G1553" s="11">
        <v>1</v>
      </c>
      <c r="H1553" s="14">
        <v>13</v>
      </c>
      <c r="I1553" s="14">
        <f>VENTAS[[#This Row],[Cantidad]]*VENTAS[[#This Row],[Precio Venta]]</f>
        <v>13</v>
      </c>
      <c r="J1553" s="14">
        <f>IF(VENTAS[[#This Row],[Nombre del Gestor]]&gt;1,VENTAS[[#This Row],[Total]]*10%,0)</f>
        <v>1.3</v>
      </c>
      <c r="K1553" s="14">
        <f>IFERROR(VLOOKUP(VENTAS[[#This Row],[Código del producto Vendido]],STOCK[],16,FALSE)*VENTAS[[#This Row],[Cantidad]]+VLOOKUP(VENTAS[[#This Row],[Código del producto Vendido]],STOCK[],19,FALSE)*VENTAS[[#This Row],[Cantidad]],VENTAS[[#This Row],[Total]])</f>
        <v>7</v>
      </c>
      <c r="L1553" s="14">
        <f>VENTAS[[#This Row],[Total]]-VENTAS[[#This Row],[Comisión 10%]]-VENTAS[[#This Row],[Costo SIN Comision]]</f>
        <v>4.7</v>
      </c>
      <c r="M1553" s="14"/>
    </row>
    <row r="1554" ht="20" hidden="1" customHeight="1" spans="1:13">
      <c r="A1554" s="10"/>
      <c r="B1554" s="11"/>
      <c r="C1554" s="11"/>
      <c r="D1554" s="11"/>
      <c r="E1554" s="11" t="s">
        <v>2679</v>
      </c>
      <c r="F1554" s="11" t="str">
        <f>IFERROR(VLOOKUP(VENTAS[[#This Row],[Código del producto Vendido]],STOCK[],5,FALSE),"-")</f>
        <v>Traje de baño clásico en bloque de color de talle alto</v>
      </c>
      <c r="G1554" s="11">
        <v>0</v>
      </c>
      <c r="H1554" s="14">
        <v>28</v>
      </c>
      <c r="I1554" s="14">
        <f>VENTAS[[#This Row],[Cantidad]]*VENTAS[[#This Row],[Precio Venta]]</f>
        <v>0</v>
      </c>
      <c r="J1554" s="14">
        <f>IF(VENTAS[[#This Row],[Nombre del Gestor]]&gt;1,VENTAS[[#This Row],[Total]]*10%,0)</f>
        <v>0</v>
      </c>
      <c r="K1554" s="14">
        <f>IFERROR(VLOOKUP(VENTAS[[#This Row],[Código del producto Vendido]],STOCK[],16,FALSE)*VENTAS[[#This Row],[Cantidad]]+VLOOKUP(VENTAS[[#This Row],[Código del producto Vendido]],STOCK[],19,FALSE)*VENTAS[[#This Row],[Cantidad]],VENTAS[[#This Row],[Total]])</f>
        <v>0</v>
      </c>
      <c r="L1554" s="14">
        <f>VENTAS[[#This Row],[Total]]-VENTAS[[#This Row],[Comisión 10%]]-VENTAS[[#This Row],[Costo SIN Comision]]</f>
        <v>0</v>
      </c>
      <c r="M1554" s="14"/>
    </row>
    <row r="1555" ht="20" hidden="1" customHeight="1" spans="1:13">
      <c r="A1555" s="10"/>
      <c r="B1555" s="11"/>
      <c r="C1555" s="11"/>
      <c r="D1555" s="11" t="s">
        <v>4266</v>
      </c>
      <c r="E1555" s="11" t="s">
        <v>2753</v>
      </c>
      <c r="F1555" s="11" t="str">
        <f>IFERROR(VLOOKUP(VENTAS[[#This Row],[Código del producto Vendido]],STOCK[],5,FALSE),"-")</f>
        <v>Vestido Privé Unicolor Sin Mangas ajustado con pliegues color negro</v>
      </c>
      <c r="G1555" s="11">
        <v>0</v>
      </c>
      <c r="H1555" s="14">
        <v>20</v>
      </c>
      <c r="I1555" s="14">
        <f>VENTAS[[#This Row],[Cantidad]]*VENTAS[[#This Row],[Precio Venta]]</f>
        <v>0</v>
      </c>
      <c r="J1555" s="14">
        <f>IF(VENTAS[[#This Row],[Nombre del Gestor]]&gt;1,VENTAS[[#This Row],[Total]]*10%,0)</f>
        <v>0</v>
      </c>
      <c r="K1555" s="14">
        <f>IFERROR(VLOOKUP(VENTAS[[#This Row],[Código del producto Vendido]],STOCK[],16,FALSE)*VENTAS[[#This Row],[Cantidad]]+VLOOKUP(VENTAS[[#This Row],[Código del producto Vendido]],STOCK[],19,FALSE)*VENTAS[[#This Row],[Cantidad]],VENTAS[[#This Row],[Total]])</f>
        <v>0</v>
      </c>
      <c r="L1555" s="14">
        <f>VENTAS[[#This Row],[Total]]-VENTAS[[#This Row],[Comisión 10%]]-VENTAS[[#This Row],[Costo SIN Comision]]</f>
        <v>0</v>
      </c>
      <c r="M1555" s="14"/>
    </row>
    <row r="1556" ht="20" hidden="1" customHeight="1" spans="1:13">
      <c r="A1556" s="10"/>
      <c r="B1556" s="11"/>
      <c r="C1556" s="11"/>
      <c r="D1556" s="11" t="s">
        <v>4076</v>
      </c>
      <c r="E1556" s="11" t="s">
        <v>2793</v>
      </c>
      <c r="F1556" s="11" t="str">
        <f>IFERROR(VLOOKUP(VENTAS[[#This Row],[Código del producto Vendido]],STOCK[],5,FALSE),"-")</f>
        <v>Sandalias estilo chunky de suela gruesa en contraste de color</v>
      </c>
      <c r="G1556" s="11">
        <v>1</v>
      </c>
      <c r="H1556" s="14">
        <v>35</v>
      </c>
      <c r="I1556" s="14">
        <f>VENTAS[[#This Row],[Cantidad]]*VENTAS[[#This Row],[Precio Venta]]</f>
        <v>35</v>
      </c>
      <c r="J1556" s="14">
        <f>IF(VENTAS[[#This Row],[Nombre del Gestor]]&gt;1,VENTAS[[#This Row],[Total]]*10%,0)</f>
        <v>3.5</v>
      </c>
      <c r="K1556" s="14">
        <f>IFERROR(VLOOKUP(VENTAS[[#This Row],[Código del producto Vendido]],STOCK[],16,FALSE)*VENTAS[[#This Row],[Cantidad]]+VLOOKUP(VENTAS[[#This Row],[Código del producto Vendido]],STOCK[],19,FALSE)*VENTAS[[#This Row],[Cantidad]],VENTAS[[#This Row],[Total]])</f>
        <v>13.4</v>
      </c>
      <c r="L1556" s="14">
        <f>VENTAS[[#This Row],[Total]]-VENTAS[[#This Row],[Comisión 10%]]-VENTAS[[#This Row],[Costo SIN Comision]]</f>
        <v>18.1</v>
      </c>
      <c r="M1556" s="14"/>
    </row>
    <row r="1557" ht="20" hidden="1" customHeight="1" spans="1:13">
      <c r="A1557" s="10"/>
      <c r="B1557" s="11"/>
      <c r="C1557" s="11"/>
      <c r="D1557" s="11" t="s">
        <v>4076</v>
      </c>
      <c r="E1557" s="11" t="s">
        <v>2795</v>
      </c>
      <c r="F1557" s="11" t="str">
        <f>IFERROR(VLOOKUP(VENTAS[[#This Row],[Código del producto Vendido]],STOCK[],5,FALSE),"-")</f>
        <v>Sandalias estilo chunky de suela gruesa en contraste de color</v>
      </c>
      <c r="G1557" s="11">
        <v>1</v>
      </c>
      <c r="H1557" s="14">
        <v>35</v>
      </c>
      <c r="I1557" s="14">
        <f>VENTAS[[#This Row],[Cantidad]]*VENTAS[[#This Row],[Precio Venta]]</f>
        <v>35</v>
      </c>
      <c r="J1557" s="14">
        <f>IF(VENTAS[[#This Row],[Nombre del Gestor]]&gt;1,VENTAS[[#This Row],[Total]]*10%,0)</f>
        <v>3.5</v>
      </c>
      <c r="K1557" s="14">
        <f>IFERROR(VLOOKUP(VENTAS[[#This Row],[Código del producto Vendido]],STOCK[],16,FALSE)*VENTAS[[#This Row],[Cantidad]]+VLOOKUP(VENTAS[[#This Row],[Código del producto Vendido]],STOCK[],19,FALSE)*VENTAS[[#This Row],[Cantidad]],VENTAS[[#This Row],[Total]])</f>
        <v>11.4</v>
      </c>
      <c r="L1557" s="14">
        <f>VENTAS[[#This Row],[Total]]-VENTAS[[#This Row],[Comisión 10%]]-VENTAS[[#This Row],[Costo SIN Comision]]</f>
        <v>20.1</v>
      </c>
      <c r="M1557" s="14"/>
    </row>
    <row r="1558" ht="20" hidden="1" customHeight="1" spans="1:13">
      <c r="A1558" s="10"/>
      <c r="B1558" s="11"/>
      <c r="C1558" s="11"/>
      <c r="D1558" s="11"/>
      <c r="E1558" s="11" t="s">
        <v>2795</v>
      </c>
      <c r="F1558" s="11" t="str">
        <f>IFERROR(VLOOKUP(VENTAS[[#This Row],[Código del producto Vendido]],STOCK[],5,FALSE),"-")</f>
        <v>Sandalias estilo chunky de suela gruesa en contraste de color</v>
      </c>
      <c r="G1558" s="11">
        <v>1</v>
      </c>
      <c r="H1558" s="14">
        <v>35</v>
      </c>
      <c r="I1558" s="14">
        <f>VENTAS[[#This Row],[Cantidad]]*VENTAS[[#This Row],[Precio Venta]]</f>
        <v>35</v>
      </c>
      <c r="J1558" s="14">
        <f>IF(VENTAS[[#This Row],[Nombre del Gestor]]&gt;1,VENTAS[[#This Row],[Total]]*10%,0)</f>
        <v>0</v>
      </c>
      <c r="K1558" s="14">
        <f>IFERROR(VLOOKUP(VENTAS[[#This Row],[Código del producto Vendido]],STOCK[],16,FALSE)*VENTAS[[#This Row],[Cantidad]]+VLOOKUP(VENTAS[[#This Row],[Código del producto Vendido]],STOCK[],19,FALSE)*VENTAS[[#This Row],[Cantidad]],VENTAS[[#This Row],[Total]])</f>
        <v>11.4</v>
      </c>
      <c r="L1558" s="14">
        <f>VENTAS[[#This Row],[Total]]-VENTAS[[#This Row],[Comisión 10%]]-VENTAS[[#This Row],[Costo SIN Comision]]</f>
        <v>23.6</v>
      </c>
      <c r="M1558" s="14"/>
    </row>
    <row r="1559" ht="20" hidden="1" customHeight="1" spans="1:13">
      <c r="A1559" s="10"/>
      <c r="B1559" s="11"/>
      <c r="C1559" s="11"/>
      <c r="D1559" s="11" t="s">
        <v>4222</v>
      </c>
      <c r="E1559" s="11" t="s">
        <v>2798</v>
      </c>
      <c r="F1559" s="11" t="str">
        <f>IFERROR(VLOOKUP(VENTAS[[#This Row],[Código del producto Vendido]],STOCK[],5,FALSE),"-")</f>
        <v>Sandalias estilo chunky de suela gruesa en contraste de color</v>
      </c>
      <c r="G1559" s="11">
        <v>1</v>
      </c>
      <c r="H1559" s="14">
        <v>35</v>
      </c>
      <c r="I1559" s="14">
        <f>VENTAS[[#This Row],[Cantidad]]*VENTAS[[#This Row],[Precio Venta]]</f>
        <v>35</v>
      </c>
      <c r="J1559" s="14">
        <f>IF(VENTAS[[#This Row],[Nombre del Gestor]]&gt;1,VENTAS[[#This Row],[Total]]*10%,0)</f>
        <v>3.5</v>
      </c>
      <c r="K1559" s="14">
        <f>IFERROR(VLOOKUP(VENTAS[[#This Row],[Código del producto Vendido]],STOCK[],16,FALSE)*VENTAS[[#This Row],[Cantidad]]+VLOOKUP(VENTAS[[#This Row],[Código del producto Vendido]],STOCK[],19,FALSE)*VENTAS[[#This Row],[Cantidad]],VENTAS[[#This Row],[Total]])</f>
        <v>13.4</v>
      </c>
      <c r="L1559" s="14">
        <f>VENTAS[[#This Row],[Total]]-VENTAS[[#This Row],[Comisión 10%]]-VENTAS[[#This Row],[Costo SIN Comision]]</f>
        <v>18.1</v>
      </c>
      <c r="M1559" s="14"/>
    </row>
    <row r="1560" ht="20" hidden="1" customHeight="1" spans="1:13">
      <c r="A1560" s="10"/>
      <c r="B1560" s="11"/>
      <c r="C1560" s="11"/>
      <c r="D1560" s="11"/>
      <c r="E1560" s="11" t="s">
        <v>2798</v>
      </c>
      <c r="F1560" s="11" t="str">
        <f>IFERROR(VLOOKUP(VENTAS[[#This Row],[Código del producto Vendido]],STOCK[],5,FALSE),"-")</f>
        <v>Sandalias estilo chunky de suela gruesa en contraste de color</v>
      </c>
      <c r="G1560" s="11">
        <v>1</v>
      </c>
      <c r="H1560" s="14">
        <v>35</v>
      </c>
      <c r="I1560" s="14">
        <f>VENTAS[[#This Row],[Cantidad]]*VENTAS[[#This Row],[Precio Venta]]</f>
        <v>35</v>
      </c>
      <c r="J1560" s="14">
        <f>IF(VENTAS[[#This Row],[Nombre del Gestor]]&gt;1,VENTAS[[#This Row],[Total]]*10%,0)</f>
        <v>0</v>
      </c>
      <c r="K1560" s="14">
        <f>IFERROR(VLOOKUP(VENTAS[[#This Row],[Código del producto Vendido]],STOCK[],16,FALSE)*VENTAS[[#This Row],[Cantidad]]+VLOOKUP(VENTAS[[#This Row],[Código del producto Vendido]],STOCK[],19,FALSE)*VENTAS[[#This Row],[Cantidad]],VENTAS[[#This Row],[Total]])</f>
        <v>13.4</v>
      </c>
      <c r="L1560" s="14">
        <f>VENTAS[[#This Row],[Total]]-VENTAS[[#This Row],[Comisión 10%]]-VENTAS[[#This Row],[Costo SIN Comision]]</f>
        <v>21.6</v>
      </c>
      <c r="M1560" s="14"/>
    </row>
    <row r="1561" ht="20" hidden="1" customHeight="1" spans="1:13">
      <c r="A1561" s="10"/>
      <c r="B1561" s="11"/>
      <c r="C1561" s="11" t="s">
        <v>4488</v>
      </c>
      <c r="D1561" s="11"/>
      <c r="E1561" s="11" t="s">
        <v>2813</v>
      </c>
      <c r="F1561" s="11" t="str">
        <f>IFERROR(VLOOKUP(VENTAS[[#This Row],[Código del producto Vendido]],STOCK[],5,FALSE),"-")</f>
        <v>Bolso elegante de estilo sillín</v>
      </c>
      <c r="G1561" s="11">
        <v>1</v>
      </c>
      <c r="H1561" s="14">
        <v>22</v>
      </c>
      <c r="I1561" s="14">
        <f>VENTAS[[#This Row],[Cantidad]]*VENTAS[[#This Row],[Precio Venta]]</f>
        <v>22</v>
      </c>
      <c r="J1561" s="14">
        <f>IF(VENTAS[[#This Row],[Nombre del Gestor]]&gt;1,VENTAS[[#This Row],[Total]]*10%,0)</f>
        <v>0</v>
      </c>
      <c r="K1561" s="14">
        <f>IFERROR(VLOOKUP(VENTAS[[#This Row],[Código del producto Vendido]],STOCK[],16,FALSE)*VENTAS[[#This Row],[Cantidad]]+VLOOKUP(VENTAS[[#This Row],[Código del producto Vendido]],STOCK[],19,FALSE)*VENTAS[[#This Row],[Cantidad]],VENTAS[[#This Row],[Total]])</f>
        <v>10.28</v>
      </c>
      <c r="L1561" s="14">
        <f>VENTAS[[#This Row],[Total]]-VENTAS[[#This Row],[Comisión 10%]]-VENTAS[[#This Row],[Costo SIN Comision]]</f>
        <v>11.72</v>
      </c>
      <c r="M1561" s="14"/>
    </row>
    <row r="1562" ht="20" hidden="1" customHeight="1" spans="1:13">
      <c r="A1562" s="10"/>
      <c r="B1562" s="11"/>
      <c r="C1562" s="11"/>
      <c r="D1562" s="11"/>
      <c r="E1562" s="11" t="s">
        <v>2820</v>
      </c>
      <c r="F1562" s="11" t="str">
        <f>IFERROR(VLOOKUP(VENTAS[[#This Row],[Código del producto Vendido]],STOCK[],5,FALSE),"-")</f>
        <v>Bolso de diario ligero y casual de gran capacidad elegante de cocodrilo</v>
      </c>
      <c r="G1562" s="11">
        <v>1</v>
      </c>
      <c r="H1562" s="14">
        <v>25</v>
      </c>
      <c r="I1562" s="14">
        <f>VENTAS[[#This Row],[Cantidad]]*VENTAS[[#This Row],[Precio Venta]]</f>
        <v>25</v>
      </c>
      <c r="J1562" s="14">
        <f>IF(VENTAS[[#This Row],[Nombre del Gestor]]&gt;1,VENTAS[[#This Row],[Total]]*10%,0)</f>
        <v>0</v>
      </c>
      <c r="K1562" s="14">
        <f>IFERROR(VLOOKUP(VENTAS[[#This Row],[Código del producto Vendido]],STOCK[],16,FALSE)*VENTAS[[#This Row],[Cantidad]]+VLOOKUP(VENTAS[[#This Row],[Código del producto Vendido]],STOCK[],19,FALSE)*VENTAS[[#This Row],[Cantidad]],VENTAS[[#This Row],[Total]])</f>
        <v>10.14</v>
      </c>
      <c r="L1562" s="14">
        <f>VENTAS[[#This Row],[Total]]-VENTAS[[#This Row],[Comisión 10%]]-VENTAS[[#This Row],[Costo SIN Comision]]</f>
        <v>14.86</v>
      </c>
      <c r="M1562" s="14"/>
    </row>
    <row r="1563" ht="20" hidden="1" customHeight="1" spans="1:13">
      <c r="A1563" s="10">
        <v>45562</v>
      </c>
      <c r="B1563" s="11"/>
      <c r="C1563" s="11"/>
      <c r="D1563" s="11" t="s">
        <v>4266</v>
      </c>
      <c r="E1563" s="11" t="s">
        <v>2820</v>
      </c>
      <c r="F1563" s="11" t="str">
        <f>IFERROR(VLOOKUP(VENTAS[[#This Row],[Código del producto Vendido]],STOCK[],5,FALSE),"-")</f>
        <v>Bolso de diario ligero y casual de gran capacidad elegante de cocodrilo</v>
      </c>
      <c r="G1563" s="11">
        <v>1</v>
      </c>
      <c r="H1563" s="14">
        <v>25</v>
      </c>
      <c r="I1563" s="14">
        <f>VENTAS[[#This Row],[Cantidad]]*VENTAS[[#This Row],[Precio Venta]]</f>
        <v>25</v>
      </c>
      <c r="J1563" s="14">
        <f>IF(VENTAS[[#This Row],[Nombre del Gestor]]&gt;1,VENTAS[[#This Row],[Total]]*10%,0)</f>
        <v>2.5</v>
      </c>
      <c r="K1563" s="14">
        <f>IFERROR(VLOOKUP(VENTAS[[#This Row],[Código del producto Vendido]],STOCK[],16,FALSE)*VENTAS[[#This Row],[Cantidad]]+VLOOKUP(VENTAS[[#This Row],[Código del producto Vendido]],STOCK[],19,FALSE)*VENTAS[[#This Row],[Cantidad]],VENTAS[[#This Row],[Total]])</f>
        <v>10.14</v>
      </c>
      <c r="L1563" s="14">
        <f>VENTAS[[#This Row],[Total]]-VENTAS[[#This Row],[Comisión 10%]]-VENTAS[[#This Row],[Costo SIN Comision]]</f>
        <v>12.36</v>
      </c>
      <c r="M1563" s="14"/>
    </row>
    <row r="1564" ht="20" hidden="1" customHeight="1" spans="1:13">
      <c r="A1564" s="10">
        <v>45562</v>
      </c>
      <c r="B1564" s="11"/>
      <c r="C1564" s="11"/>
      <c r="D1564" s="11" t="s">
        <v>4365</v>
      </c>
      <c r="E1564" s="11" t="s">
        <v>2823</v>
      </c>
      <c r="F1564" s="11" t="str">
        <f>IFERROR(VLOOKUP(VENTAS[[#This Row],[Código del producto Vendido]],STOCK[],5,FALSE),"-")</f>
        <v>Bolso de playa en bloque de color tejido en algodón</v>
      </c>
      <c r="G1564" s="11">
        <v>1</v>
      </c>
      <c r="H1564" s="14">
        <v>25</v>
      </c>
      <c r="I1564" s="14">
        <f>VENTAS[[#This Row],[Cantidad]]*VENTAS[[#This Row],[Precio Venta]]</f>
        <v>25</v>
      </c>
      <c r="J1564" s="14">
        <f>IF(VENTAS[[#This Row],[Nombre del Gestor]]&gt;1,VENTAS[[#This Row],[Total]]*10%,0)</f>
        <v>2.5</v>
      </c>
      <c r="K1564" s="14">
        <f>IFERROR(VLOOKUP(VENTAS[[#This Row],[Código del producto Vendido]],STOCK[],16,FALSE)*VENTAS[[#This Row],[Cantidad]]+VLOOKUP(VENTAS[[#This Row],[Código del producto Vendido]],STOCK[],19,FALSE)*VENTAS[[#This Row],[Cantidad]],VENTAS[[#This Row],[Total]])</f>
        <v>13.35</v>
      </c>
      <c r="L1564" s="14">
        <f>VENTAS[[#This Row],[Total]]-VENTAS[[#This Row],[Comisión 10%]]-VENTAS[[#This Row],[Costo SIN Comision]]</f>
        <v>9.15</v>
      </c>
      <c r="M1564" s="14"/>
    </row>
    <row r="1565" ht="20" hidden="1" customHeight="1" spans="1:13">
      <c r="A1565" s="10">
        <v>45562</v>
      </c>
      <c r="B1565" s="11"/>
      <c r="C1565" s="11"/>
      <c r="D1565" s="11" t="s">
        <v>4266</v>
      </c>
      <c r="E1565" s="11" t="s">
        <v>2823</v>
      </c>
      <c r="F1565" s="11" t="str">
        <f>IFERROR(VLOOKUP(VENTAS[[#This Row],[Código del producto Vendido]],STOCK[],5,FALSE),"-")</f>
        <v>Bolso de playa en bloque de color tejido en algodón</v>
      </c>
      <c r="G1565" s="11">
        <v>1</v>
      </c>
      <c r="H1565" s="14">
        <v>25</v>
      </c>
      <c r="I1565" s="14">
        <f>VENTAS[[#This Row],[Cantidad]]*VENTAS[[#This Row],[Precio Venta]]</f>
        <v>25</v>
      </c>
      <c r="J1565" s="14">
        <f>IF(VENTAS[[#This Row],[Nombre del Gestor]]&gt;1,VENTAS[[#This Row],[Total]]*10%,0)</f>
        <v>2.5</v>
      </c>
      <c r="K1565" s="14">
        <f>IFERROR(VLOOKUP(VENTAS[[#This Row],[Código del producto Vendido]],STOCK[],16,FALSE)*VENTAS[[#This Row],[Cantidad]]+VLOOKUP(VENTAS[[#This Row],[Código del producto Vendido]],STOCK[],19,FALSE)*VENTAS[[#This Row],[Cantidad]],VENTAS[[#This Row],[Total]])</f>
        <v>13.35</v>
      </c>
      <c r="L1565" s="14">
        <f>VENTAS[[#This Row],[Total]]-VENTAS[[#This Row],[Comisión 10%]]-VENTAS[[#This Row],[Costo SIN Comision]]</f>
        <v>9.15</v>
      </c>
      <c r="M1565" s="14"/>
    </row>
    <row r="1566" ht="20" hidden="1" customHeight="1" spans="1:13">
      <c r="A1566" s="10"/>
      <c r="B1566" s="11"/>
      <c r="C1566" s="11"/>
      <c r="D1566" s="11"/>
      <c r="E1566" s="11" t="s">
        <v>2823</v>
      </c>
      <c r="F1566" s="11" t="str">
        <f>IFERROR(VLOOKUP(VENTAS[[#This Row],[Código del producto Vendido]],STOCK[],5,FALSE),"-")</f>
        <v>Bolso de playa en bloque de color tejido en algodón</v>
      </c>
      <c r="G1566" s="11">
        <v>1</v>
      </c>
      <c r="H1566" s="14">
        <v>25</v>
      </c>
      <c r="I1566" s="14">
        <f>VENTAS[[#This Row],[Cantidad]]*VENTAS[[#This Row],[Precio Venta]]</f>
        <v>25</v>
      </c>
      <c r="J1566" s="14">
        <f>IF(VENTAS[[#This Row],[Nombre del Gestor]]&gt;1,VENTAS[[#This Row],[Total]]*10%,0)</f>
        <v>0</v>
      </c>
      <c r="K1566" s="14">
        <f>IFERROR(VLOOKUP(VENTAS[[#This Row],[Código del producto Vendido]],STOCK[],16,FALSE)*VENTAS[[#This Row],[Cantidad]]+VLOOKUP(VENTAS[[#This Row],[Código del producto Vendido]],STOCK[],19,FALSE)*VENTAS[[#This Row],[Cantidad]],VENTAS[[#This Row],[Total]])</f>
        <v>13.35</v>
      </c>
      <c r="L1566" s="14">
        <f>VENTAS[[#This Row],[Total]]-VENTAS[[#This Row],[Comisión 10%]]-VENTAS[[#This Row],[Costo SIN Comision]]</f>
        <v>11.65</v>
      </c>
      <c r="M1566" s="14"/>
    </row>
    <row r="1567" ht="20" hidden="1" customHeight="1" spans="1:13">
      <c r="A1567" s="10"/>
      <c r="B1567" s="11"/>
      <c r="C1567" s="11"/>
      <c r="D1567" s="11" t="s">
        <v>4463</v>
      </c>
      <c r="E1567" s="11" t="s">
        <v>2827</v>
      </c>
      <c r="F1567" s="11" t="str">
        <f>IFERROR(VLOOKUP(VENTAS[[#This Row],[Código del producto Vendido]],STOCK[],5,FALSE),"-")</f>
        <v>Bolso tejido redondo de gran capacidad Carmelita</v>
      </c>
      <c r="G1567" s="11">
        <v>1</v>
      </c>
      <c r="H1567" s="14">
        <v>25</v>
      </c>
      <c r="I1567" s="14">
        <f>VENTAS[[#This Row],[Cantidad]]*VENTAS[[#This Row],[Precio Venta]]</f>
        <v>25</v>
      </c>
      <c r="J1567" s="14">
        <f>IF(VENTAS[[#This Row],[Nombre del Gestor]]&gt;1,VENTAS[[#This Row],[Total]]*10%,0)</f>
        <v>2.5</v>
      </c>
      <c r="K1567" s="14">
        <f>IFERROR(VLOOKUP(VENTAS[[#This Row],[Código del producto Vendido]],STOCK[],16,FALSE)*VENTAS[[#This Row],[Cantidad]]+VLOOKUP(VENTAS[[#This Row],[Código del producto Vendido]],STOCK[],19,FALSE)*VENTAS[[#This Row],[Cantidad]],VENTAS[[#This Row],[Total]])</f>
        <v>13.31</v>
      </c>
      <c r="L1567" s="14">
        <f>VENTAS[[#This Row],[Total]]-VENTAS[[#This Row],[Comisión 10%]]-VENTAS[[#This Row],[Costo SIN Comision]]</f>
        <v>9.19</v>
      </c>
      <c r="M1567" s="14"/>
    </row>
    <row r="1568" ht="20" hidden="1" customHeight="1" spans="1:13">
      <c r="A1568" s="10"/>
      <c r="B1568" s="11"/>
      <c r="C1568" s="11"/>
      <c r="D1568" s="11"/>
      <c r="E1568" s="11" t="s">
        <v>2836</v>
      </c>
      <c r="F1568" s="11" t="str">
        <f>IFERROR(VLOOKUP(VENTAS[[#This Row],[Código del producto Vendido]],STOCK[],5,FALSE),"-")</f>
        <v>Vestido elegante de crochet de de cuello profundo y espalda cruzada</v>
      </c>
      <c r="G1568" s="11">
        <v>1</v>
      </c>
      <c r="H1568" s="14">
        <v>30</v>
      </c>
      <c r="I1568" s="14">
        <f>VENTAS[[#This Row],[Cantidad]]*VENTAS[[#This Row],[Precio Venta]]</f>
        <v>30</v>
      </c>
      <c r="J1568" s="14">
        <f>IF(VENTAS[[#This Row],[Nombre del Gestor]]&gt;1,VENTAS[[#This Row],[Total]]*10%,0)</f>
        <v>0</v>
      </c>
      <c r="K1568" s="14">
        <f>IFERROR(VLOOKUP(VENTAS[[#This Row],[Código del producto Vendido]],STOCK[],16,FALSE)*VENTAS[[#This Row],[Cantidad]]+VLOOKUP(VENTAS[[#This Row],[Código del producto Vendido]],STOCK[],19,FALSE)*VENTAS[[#This Row],[Cantidad]],VENTAS[[#This Row],[Total]])</f>
        <v>13.5</v>
      </c>
      <c r="L1568" s="14">
        <f>VENTAS[[#This Row],[Total]]-VENTAS[[#This Row],[Comisión 10%]]-VENTAS[[#This Row],[Costo SIN Comision]]</f>
        <v>16.5</v>
      </c>
      <c r="M1568" s="14"/>
    </row>
    <row r="1569" ht="20" hidden="1" customHeight="1" spans="1:13">
      <c r="A1569" s="10"/>
      <c r="B1569" s="11"/>
      <c r="C1569" s="11"/>
      <c r="D1569" s="11"/>
      <c r="E1569" s="11" t="s">
        <v>2837</v>
      </c>
      <c r="F1569" s="11" t="str">
        <f>IFERROR(VLOOKUP(VENTAS[[#This Row],[Código del producto Vendido]],STOCK[],5,FALSE),"-")</f>
        <v>Vestido elegante de crochet de de cuello profundo y espalda cruzada</v>
      </c>
      <c r="G1569" s="11">
        <v>1</v>
      </c>
      <c r="H1569" s="14">
        <v>30</v>
      </c>
      <c r="I1569" s="14">
        <f>VENTAS[[#This Row],[Cantidad]]*VENTAS[[#This Row],[Precio Venta]]</f>
        <v>30</v>
      </c>
      <c r="J1569" s="14">
        <f>IF(VENTAS[[#This Row],[Nombre del Gestor]]&gt;1,VENTAS[[#This Row],[Total]]*10%,0)</f>
        <v>0</v>
      </c>
      <c r="K1569" s="14">
        <f>IFERROR(VLOOKUP(VENTAS[[#This Row],[Código del producto Vendido]],STOCK[],16,FALSE)*VENTAS[[#This Row],[Cantidad]]+VLOOKUP(VENTAS[[#This Row],[Código del producto Vendido]],STOCK[],19,FALSE)*VENTAS[[#This Row],[Cantidad]],VENTAS[[#This Row],[Total]])</f>
        <v>13.5</v>
      </c>
      <c r="L1569" s="14">
        <f>VENTAS[[#This Row],[Total]]-VENTAS[[#This Row],[Comisión 10%]]-VENTAS[[#This Row],[Costo SIN Comision]]</f>
        <v>16.5</v>
      </c>
      <c r="M1569" s="14"/>
    </row>
    <row r="1570" ht="20" hidden="1" customHeight="1" spans="1:13">
      <c r="A1570" s="10"/>
      <c r="B1570" s="11"/>
      <c r="C1570" s="11"/>
      <c r="D1570" s="11"/>
      <c r="E1570" s="11" t="s">
        <v>2838</v>
      </c>
      <c r="F1570" s="11" t="str">
        <f>IFERROR(VLOOKUP(VENTAS[[#This Row],[Código del producto Vendido]],STOCK[],5,FALSE),"-")</f>
        <v>Vestido elegante de crochet de de cuello profundo y espalda cruzada</v>
      </c>
      <c r="G1570" s="11">
        <v>1</v>
      </c>
      <c r="H1570" s="14">
        <v>30</v>
      </c>
      <c r="I1570" s="14">
        <f>VENTAS[[#This Row],[Cantidad]]*VENTAS[[#This Row],[Precio Venta]]</f>
        <v>30</v>
      </c>
      <c r="J1570" s="14">
        <f>IF(VENTAS[[#This Row],[Nombre del Gestor]]&gt;1,VENTAS[[#This Row],[Total]]*10%,0)</f>
        <v>0</v>
      </c>
      <c r="K1570" s="14">
        <f>IFERROR(VLOOKUP(VENTAS[[#This Row],[Código del producto Vendido]],STOCK[],16,FALSE)*VENTAS[[#This Row],[Cantidad]]+VLOOKUP(VENTAS[[#This Row],[Código del producto Vendido]],STOCK[],19,FALSE)*VENTAS[[#This Row],[Cantidad]],VENTAS[[#This Row],[Total]])</f>
        <v>13.5</v>
      </c>
      <c r="L1570" s="14">
        <f>VENTAS[[#This Row],[Total]]-VENTAS[[#This Row],[Comisión 10%]]-VENTAS[[#This Row],[Costo SIN Comision]]</f>
        <v>16.5</v>
      </c>
      <c r="M1570" s="14"/>
    </row>
    <row r="1571" ht="20" hidden="1" customHeight="1" spans="1:13">
      <c r="A1571" s="10">
        <v>45575</v>
      </c>
      <c r="B1571" s="11"/>
      <c r="C1571" s="11"/>
      <c r="D1571" s="11" t="s">
        <v>4270</v>
      </c>
      <c r="E1571" s="11" t="s">
        <v>2838</v>
      </c>
      <c r="F1571" s="11" t="str">
        <f>IFERROR(VLOOKUP(VENTAS[[#This Row],[Código del producto Vendido]],STOCK[],5,FALSE),"-")</f>
        <v>Vestido elegante de crochet de de cuello profundo y espalda cruzada</v>
      </c>
      <c r="G1571" s="11">
        <v>1</v>
      </c>
      <c r="H1571" s="14">
        <v>30</v>
      </c>
      <c r="I1571" s="14">
        <f>VENTAS[[#This Row],[Cantidad]]*VENTAS[[#This Row],[Precio Venta]]</f>
        <v>30</v>
      </c>
      <c r="J1571" s="14">
        <f>IF(VENTAS[[#This Row],[Nombre del Gestor]]&gt;1,VENTAS[[#This Row],[Total]]*10%,0)</f>
        <v>3</v>
      </c>
      <c r="K1571" s="14">
        <f>IFERROR(VLOOKUP(VENTAS[[#This Row],[Código del producto Vendido]],STOCK[],16,FALSE)*VENTAS[[#This Row],[Cantidad]]+VLOOKUP(VENTAS[[#This Row],[Código del producto Vendido]],STOCK[],19,FALSE)*VENTAS[[#This Row],[Cantidad]],VENTAS[[#This Row],[Total]])</f>
        <v>13.5</v>
      </c>
      <c r="L1571" s="14">
        <f>VENTAS[[#This Row],[Total]]-VENTAS[[#This Row],[Comisión 10%]]-VENTAS[[#This Row],[Costo SIN Comision]]</f>
        <v>13.5</v>
      </c>
      <c r="M1571" s="14"/>
    </row>
    <row r="1572" ht="20" hidden="1" customHeight="1" spans="1:13">
      <c r="A1572" s="10"/>
      <c r="B1572" s="11"/>
      <c r="C1572" s="11"/>
      <c r="D1572" s="11" t="s">
        <v>4076</v>
      </c>
      <c r="E1572" s="11" t="s">
        <v>2844</v>
      </c>
      <c r="F1572" s="11" t="str">
        <f>IFERROR(VLOOKUP(VENTAS[[#This Row],[Código del producto Vendido]],STOCK[],5,FALSE),"-")</f>
        <v>Pantalones largros rayados de moda de gran comodidad</v>
      </c>
      <c r="G1572" s="11">
        <v>1</v>
      </c>
      <c r="H1572" s="14">
        <v>22</v>
      </c>
      <c r="I1572" s="14">
        <f>VENTAS[[#This Row],[Cantidad]]*VENTAS[[#This Row],[Precio Venta]]</f>
        <v>22</v>
      </c>
      <c r="J1572" s="14">
        <f>IF(VENTAS[[#This Row],[Nombre del Gestor]]&gt;1,VENTAS[[#This Row],[Total]]*10%,0)</f>
        <v>2.2</v>
      </c>
      <c r="K1572" s="14">
        <f>IFERROR(VLOOKUP(VENTAS[[#This Row],[Código del producto Vendido]],STOCK[],16,FALSE)*VENTAS[[#This Row],[Cantidad]]+VLOOKUP(VENTAS[[#This Row],[Código del producto Vendido]],STOCK[],19,FALSE)*VENTAS[[#This Row],[Cantidad]],VENTAS[[#This Row],[Total]])</f>
        <v>10.52</v>
      </c>
      <c r="L1572" s="14">
        <f>VENTAS[[#This Row],[Total]]-VENTAS[[#This Row],[Comisión 10%]]-VENTAS[[#This Row],[Costo SIN Comision]]</f>
        <v>9.28</v>
      </c>
      <c r="M1572" s="14"/>
    </row>
    <row r="1573" ht="20" hidden="1" customHeight="1" spans="1:13">
      <c r="A1573" s="10"/>
      <c r="B1573" s="11"/>
      <c r="C1573" s="11"/>
      <c r="D1573" s="11"/>
      <c r="E1573" s="11" t="s">
        <v>2849</v>
      </c>
      <c r="F1573" s="11" t="str">
        <f>IFERROR(VLOOKUP(VENTAS[[#This Row],[Código del producto Vendido]],STOCK[],5,FALSE),"-")</f>
        <v>Pantalones largros rayados de moda de gran comodidad</v>
      </c>
      <c r="G1573" s="11">
        <v>1</v>
      </c>
      <c r="H1573" s="14">
        <v>22</v>
      </c>
      <c r="I1573" s="14">
        <f>VENTAS[[#This Row],[Cantidad]]*VENTAS[[#This Row],[Precio Venta]]</f>
        <v>22</v>
      </c>
      <c r="J1573" s="14">
        <f>IF(VENTAS[[#This Row],[Nombre del Gestor]]&gt;1,VENTAS[[#This Row],[Total]]*10%,0)</f>
        <v>0</v>
      </c>
      <c r="K1573" s="14">
        <f>IFERROR(VLOOKUP(VENTAS[[#This Row],[Código del producto Vendido]],STOCK[],16,FALSE)*VENTAS[[#This Row],[Cantidad]]+VLOOKUP(VENTAS[[#This Row],[Código del producto Vendido]],STOCK[],19,FALSE)*VENTAS[[#This Row],[Cantidad]],VENTAS[[#This Row],[Total]])</f>
        <v>10.52</v>
      </c>
      <c r="L1573" s="14">
        <f>VENTAS[[#This Row],[Total]]-VENTAS[[#This Row],[Comisión 10%]]-VENTAS[[#This Row],[Costo SIN Comision]]</f>
        <v>11.48</v>
      </c>
      <c r="M1573" s="14"/>
    </row>
    <row r="1574" ht="20" hidden="1" customHeight="1" spans="1:13">
      <c r="A1574" s="10">
        <v>45566</v>
      </c>
      <c r="B1574" s="11"/>
      <c r="C1574" s="11"/>
      <c r="D1574" s="11" t="s">
        <v>4365</v>
      </c>
      <c r="E1574" s="11" t="s">
        <v>2849</v>
      </c>
      <c r="F1574" s="11" t="str">
        <f>IFERROR(VLOOKUP(VENTAS[[#This Row],[Código del producto Vendido]],STOCK[],5,FALSE),"-")</f>
        <v>Pantalones largros rayados de moda de gran comodidad</v>
      </c>
      <c r="G1574" s="11">
        <v>1</v>
      </c>
      <c r="H1574" s="14">
        <v>22</v>
      </c>
      <c r="I1574" s="14">
        <f>VENTAS[[#This Row],[Cantidad]]*VENTAS[[#This Row],[Precio Venta]]</f>
        <v>22</v>
      </c>
      <c r="J1574" s="14">
        <f>IF(VENTAS[[#This Row],[Nombre del Gestor]]&gt;1,VENTAS[[#This Row],[Total]]*10%,0)</f>
        <v>2.2</v>
      </c>
      <c r="K1574" s="14">
        <f>IFERROR(VLOOKUP(VENTAS[[#This Row],[Código del producto Vendido]],STOCK[],16,FALSE)*VENTAS[[#This Row],[Cantidad]]+VLOOKUP(VENTAS[[#This Row],[Código del producto Vendido]],STOCK[],19,FALSE)*VENTAS[[#This Row],[Cantidad]],VENTAS[[#This Row],[Total]])</f>
        <v>10.52</v>
      </c>
      <c r="L1574" s="14">
        <f>VENTAS[[#This Row],[Total]]-VENTAS[[#This Row],[Comisión 10%]]-VENTAS[[#This Row],[Costo SIN Comision]]</f>
        <v>9.28</v>
      </c>
      <c r="M1574" s="14"/>
    </row>
    <row r="1575" ht="20" hidden="1" customHeight="1" spans="1:13">
      <c r="A1575" s="10"/>
      <c r="B1575" s="11"/>
      <c r="C1575" s="11"/>
      <c r="D1575" s="11"/>
      <c r="E1575" s="11" t="s">
        <v>2857</v>
      </c>
      <c r="F1575" s="11" t="str">
        <f>IFERROR(VLOOKUP(VENTAS[[#This Row],[Código del producto Vendido]],STOCK[],5,FALSE),"-")</f>
        <v>Bolso cuadrado tejido de rafia Tamaño grande Color Carmelita</v>
      </c>
      <c r="G1575" s="11">
        <v>1</v>
      </c>
      <c r="H1575" s="14">
        <v>25</v>
      </c>
      <c r="I1575" s="14">
        <f>VENTAS[[#This Row],[Cantidad]]*VENTAS[[#This Row],[Precio Venta]]</f>
        <v>25</v>
      </c>
      <c r="J1575" s="14">
        <f>IF(VENTAS[[#This Row],[Nombre del Gestor]]&gt;1,VENTAS[[#This Row],[Total]]*10%,0)</f>
        <v>0</v>
      </c>
      <c r="K1575" s="14">
        <f>IFERROR(VLOOKUP(VENTAS[[#This Row],[Código del producto Vendido]],STOCK[],16,FALSE)*VENTAS[[#This Row],[Cantidad]]+VLOOKUP(VENTAS[[#This Row],[Código del producto Vendido]],STOCK[],19,FALSE)*VENTAS[[#This Row],[Cantidad]],VENTAS[[#This Row],[Total]])</f>
        <v>14.85</v>
      </c>
      <c r="L1575" s="14">
        <f>VENTAS[[#This Row],[Total]]-VENTAS[[#This Row],[Comisión 10%]]-VENTAS[[#This Row],[Costo SIN Comision]]</f>
        <v>10.15</v>
      </c>
      <c r="M1575" s="14"/>
    </row>
    <row r="1576" ht="20" hidden="1" customHeight="1" spans="1:13">
      <c r="A1576" s="10"/>
      <c r="B1576" s="11"/>
      <c r="C1576" s="11"/>
      <c r="D1576" s="11"/>
      <c r="E1576" s="11" t="s">
        <v>2867</v>
      </c>
      <c r="F1576" s="11" t="str">
        <f>IFERROR(VLOOKUP(VENTAS[[#This Row],[Código del producto Vendido]],STOCK[],5,FALSE),"-")</f>
        <v>Blusa corta de mangas abombadas de lazos delanteros color rojo</v>
      </c>
      <c r="G1576" s="11">
        <v>1</v>
      </c>
      <c r="H1576" s="14">
        <v>18</v>
      </c>
      <c r="I1576" s="14">
        <f>VENTAS[[#This Row],[Cantidad]]*VENTAS[[#This Row],[Precio Venta]]</f>
        <v>18</v>
      </c>
      <c r="J1576" s="14">
        <f>IF(VENTAS[[#This Row],[Nombre del Gestor]]&gt;1,VENTAS[[#This Row],[Total]]*10%,0)</f>
        <v>0</v>
      </c>
      <c r="K1576" s="14">
        <f>IFERROR(VLOOKUP(VENTAS[[#This Row],[Código del producto Vendido]],STOCK[],16,FALSE)*VENTAS[[#This Row],[Cantidad]]+VLOOKUP(VENTAS[[#This Row],[Código del producto Vendido]],STOCK[],19,FALSE)*VENTAS[[#This Row],[Cantidad]],VENTAS[[#This Row],[Total]])</f>
        <v>10.18</v>
      </c>
      <c r="L1576" s="14">
        <f>VENTAS[[#This Row],[Total]]-VENTAS[[#This Row],[Comisión 10%]]-VENTAS[[#This Row],[Costo SIN Comision]]</f>
        <v>7.82</v>
      </c>
      <c r="M1576" s="14"/>
    </row>
    <row r="1577" ht="20" hidden="1" customHeight="1" spans="1:13">
      <c r="A1577" s="10">
        <v>45575</v>
      </c>
      <c r="B1577" s="11"/>
      <c r="C1577" s="11" t="s">
        <v>4489</v>
      </c>
      <c r="D1577" s="11" t="s">
        <v>4365</v>
      </c>
      <c r="E1577" s="11" t="s">
        <v>2882</v>
      </c>
      <c r="F1577" s="11" t="str">
        <f>IFERROR(VLOOKUP(VENTAS[[#This Row],[Código del producto Vendido]],STOCK[],5,FALSE),"-")</f>
        <v>Mono Sailor con botón delantero y cinturón naranja quemada</v>
      </c>
      <c r="G1577" s="11">
        <v>1</v>
      </c>
      <c r="H1577" s="14">
        <v>30</v>
      </c>
      <c r="I1577" s="14">
        <f>VENTAS[[#This Row],[Cantidad]]*VENTAS[[#This Row],[Precio Venta]]</f>
        <v>30</v>
      </c>
      <c r="J1577" s="14">
        <f>IF(VENTAS[[#This Row],[Nombre del Gestor]]&gt;1,VENTAS[[#This Row],[Total]]*10%,0)</f>
        <v>3</v>
      </c>
      <c r="K1577" s="14">
        <f>IFERROR(VLOOKUP(VENTAS[[#This Row],[Código del producto Vendido]],STOCK[],16,FALSE)*VENTAS[[#This Row],[Cantidad]]+VLOOKUP(VENTAS[[#This Row],[Código del producto Vendido]],STOCK[],19,FALSE)*VENTAS[[#This Row],[Cantidad]],VENTAS[[#This Row],[Total]])</f>
        <v>11.57</v>
      </c>
      <c r="L1577" s="14">
        <f>VENTAS[[#This Row],[Total]]-VENTAS[[#This Row],[Comisión 10%]]-VENTAS[[#This Row],[Costo SIN Comision]]</f>
        <v>15.43</v>
      </c>
      <c r="M1577" s="14"/>
    </row>
    <row r="1578" ht="20" hidden="1" customHeight="1" spans="1:13">
      <c r="A1578" s="10">
        <v>45574</v>
      </c>
      <c r="B1578" s="11"/>
      <c r="C1578" s="11"/>
      <c r="D1578" s="11" t="s">
        <v>4365</v>
      </c>
      <c r="E1578" s="11" t="s">
        <v>2829</v>
      </c>
      <c r="F1578" s="11" t="str">
        <f>IFERROR(VLOOKUP(VENTAS[[#This Row],[Código del producto Vendido]],STOCK[],5,FALSE),"-")</f>
        <v>Bolso tejido redondo de gran capacidad Ojo Turco</v>
      </c>
      <c r="G1578" s="11">
        <v>1</v>
      </c>
      <c r="H1578" s="14">
        <v>25</v>
      </c>
      <c r="I1578" s="14">
        <f>VENTAS[[#This Row],[Cantidad]]*VENTAS[[#This Row],[Precio Venta]]</f>
        <v>25</v>
      </c>
      <c r="J1578" s="14">
        <f>IF(VENTAS[[#This Row],[Nombre del Gestor]]&gt;1,VENTAS[[#This Row],[Total]]*10%,0)</f>
        <v>2.5</v>
      </c>
      <c r="K1578" s="14">
        <f>IFERROR(VLOOKUP(VENTAS[[#This Row],[Código del producto Vendido]],STOCK[],16,FALSE)*VENTAS[[#This Row],[Cantidad]]+VLOOKUP(VENTAS[[#This Row],[Código del producto Vendido]],STOCK[],19,FALSE)*VENTAS[[#This Row],[Cantidad]],VENTAS[[#This Row],[Total]])</f>
        <v>13.03</v>
      </c>
      <c r="L1578" s="14">
        <f>VENTAS[[#This Row],[Total]]-VENTAS[[#This Row],[Comisión 10%]]-VENTAS[[#This Row],[Costo SIN Comision]]</f>
        <v>9.47</v>
      </c>
      <c r="M1578" s="14"/>
    </row>
    <row r="1579" ht="20" hidden="1" customHeight="1" spans="1:13">
      <c r="A1579" s="10"/>
      <c r="B1579" s="11"/>
      <c r="C1579" s="11"/>
      <c r="D1579" s="11"/>
      <c r="E1579" s="11"/>
      <c r="F1579" s="11" t="str">
        <f>IFERROR(VLOOKUP(VENTAS[[#This Row],[Código del producto Vendido]],STOCK[],5,FALSE),"-")</f>
        <v>-</v>
      </c>
      <c r="G1579" s="11"/>
      <c r="H1579" s="14"/>
      <c r="I1579" s="14">
        <f>VENTAS[[#This Row],[Cantidad]]*VENTAS[[#This Row],[Precio Venta]]</f>
        <v>0</v>
      </c>
      <c r="J1579" s="14">
        <f>IF(VENTAS[[#This Row],[Nombre del Gestor]]&gt;1,VENTAS[[#This Row],[Total]]*10%,0)</f>
        <v>0</v>
      </c>
      <c r="K1579" s="14">
        <f>IFERROR(VLOOKUP(VENTAS[[#This Row],[Código del producto Vendido]],STOCK[],16,FALSE)*VENTAS[[#This Row],[Cantidad]]+VLOOKUP(VENTAS[[#This Row],[Código del producto Vendido]],STOCK[],19,FALSE)*VENTAS[[#This Row],[Cantidad]],VENTAS[[#This Row],[Total]])</f>
        <v>0</v>
      </c>
      <c r="L1579" s="14">
        <f>VENTAS[[#This Row],[Total]]-VENTAS[[#This Row],[Comisión 10%]]-VENTAS[[#This Row],[Costo SIN Comision]]</f>
        <v>0</v>
      </c>
      <c r="M1579" s="14"/>
    </row>
    <row r="1580" ht="20" hidden="1" customHeight="1" spans="1:13">
      <c r="A1580" s="10">
        <v>45566</v>
      </c>
      <c r="B1580" s="11"/>
      <c r="C1580" s="11"/>
      <c r="D1580" s="11" t="s">
        <v>4273</v>
      </c>
      <c r="E1580" s="11" t="s">
        <v>2935</v>
      </c>
      <c r="F1580" s="11" t="str">
        <f>IFERROR(VLOOKUP(VENTAS[[#This Row],[Código del producto Vendido]],STOCK[],5,FALSE),"-")</f>
        <v>Sandalias cómodas para mujer con adorno de clip dorado</v>
      </c>
      <c r="G1580" s="11">
        <v>1</v>
      </c>
      <c r="H1580" s="14">
        <v>18</v>
      </c>
      <c r="I1580" s="14">
        <f>VENTAS[[#This Row],[Cantidad]]*VENTAS[[#This Row],[Precio Venta]]</f>
        <v>18</v>
      </c>
      <c r="J1580" s="14">
        <f>IF(VENTAS[[#This Row],[Nombre del Gestor]]&gt;1,VENTAS[[#This Row],[Total]]*10%,0)</f>
        <v>1.8</v>
      </c>
      <c r="K1580" s="14">
        <f>IFERROR(VLOOKUP(VENTAS[[#This Row],[Código del producto Vendido]],STOCK[],16,FALSE)*VENTAS[[#This Row],[Cantidad]]+VLOOKUP(VENTAS[[#This Row],[Código del producto Vendido]],STOCK[],19,FALSE)*VENTAS[[#This Row],[Cantidad]],VENTAS[[#This Row],[Total]])</f>
        <v>9.46</v>
      </c>
      <c r="L1580" s="14">
        <f>VENTAS[[#This Row],[Total]]-VENTAS[[#This Row],[Comisión 10%]]-VENTAS[[#This Row],[Costo SIN Comision]]</f>
        <v>6.74</v>
      </c>
      <c r="M1580" s="14"/>
    </row>
    <row r="1581" ht="20" hidden="1" customHeight="1" spans="1:13">
      <c r="A1581" s="10">
        <v>45536</v>
      </c>
      <c r="B1581" s="11"/>
      <c r="C1581" s="11"/>
      <c r="D1581" s="11"/>
      <c r="E1581" s="11" t="s">
        <v>2957</v>
      </c>
      <c r="F1581" s="11" t="str">
        <f>IFERROR(VLOOKUP(VENTAS[[#This Row],[Código del producto Vendido]],STOCK[],5,FALSE),"-")</f>
        <v>Vestido elegante largo ajustado con hombro atado</v>
      </c>
      <c r="G1581" s="11">
        <v>1</v>
      </c>
      <c r="H1581" s="14">
        <v>25</v>
      </c>
      <c r="I1581" s="14">
        <f>VENTAS[[#This Row],[Cantidad]]*VENTAS[[#This Row],[Precio Venta]]</f>
        <v>25</v>
      </c>
      <c r="J1581" s="14">
        <f>IF(VENTAS[[#This Row],[Nombre del Gestor]]&gt;1,VENTAS[[#This Row],[Total]]*10%,0)</f>
        <v>0</v>
      </c>
      <c r="K1581" s="14">
        <f>IFERROR(VLOOKUP(VENTAS[[#This Row],[Código del producto Vendido]],STOCK[],16,FALSE)*VENTAS[[#This Row],[Cantidad]]+VLOOKUP(VENTAS[[#This Row],[Código del producto Vendido]],STOCK[],19,FALSE)*VENTAS[[#This Row],[Cantidad]],VENTAS[[#This Row],[Total]])</f>
        <v>15.13</v>
      </c>
      <c r="L1581" s="14">
        <f>VENTAS[[#This Row],[Total]]-VENTAS[[#This Row],[Comisión 10%]]-VENTAS[[#This Row],[Costo SIN Comision]]</f>
        <v>9.87</v>
      </c>
      <c r="M1581" s="14"/>
    </row>
    <row r="1582" ht="20" hidden="1" customHeight="1" spans="1:13">
      <c r="A1582" s="10">
        <v>45567</v>
      </c>
      <c r="B1582" s="11"/>
      <c r="C1582" s="11"/>
      <c r="D1582" s="11" t="s">
        <v>4365</v>
      </c>
      <c r="E1582" s="11" t="s">
        <v>2989</v>
      </c>
      <c r="F1582" s="11" t="str">
        <f>IFERROR(VLOOKUP(VENTAS[[#This Row],[Código del producto Vendido]],STOCK[],5,FALSE),"-")</f>
        <v>Traje de baño casual con ajustes laterales</v>
      </c>
      <c r="G1582" s="11">
        <v>1</v>
      </c>
      <c r="H1582" s="14">
        <v>20</v>
      </c>
      <c r="I1582" s="14">
        <f>VENTAS[[#This Row],[Cantidad]]*VENTAS[[#This Row],[Precio Venta]]</f>
        <v>20</v>
      </c>
      <c r="J1582" s="14">
        <f>IF(VENTAS[[#This Row],[Nombre del Gestor]]&gt;1,VENTAS[[#This Row],[Total]]*10%,0)</f>
        <v>2</v>
      </c>
      <c r="K1582" s="14">
        <f>IFERROR(VLOOKUP(VENTAS[[#This Row],[Código del producto Vendido]],STOCK[],16,FALSE)*VENTAS[[#This Row],[Cantidad]]+VLOOKUP(VENTAS[[#This Row],[Código del producto Vendido]],STOCK[],19,FALSE)*VENTAS[[#This Row],[Cantidad]],VENTAS[[#This Row],[Total]])</f>
        <v>10.62</v>
      </c>
      <c r="L1582" s="14">
        <f>VENTAS[[#This Row],[Total]]-VENTAS[[#This Row],[Comisión 10%]]-VENTAS[[#This Row],[Costo SIN Comision]]</f>
        <v>7.38</v>
      </c>
      <c r="M1582" s="14"/>
    </row>
    <row r="1583" ht="20" hidden="1" customHeight="1" spans="1:13">
      <c r="A1583" s="10">
        <v>45575</v>
      </c>
      <c r="B1583" s="11"/>
      <c r="C1583" s="11"/>
      <c r="D1583" s="11" t="s">
        <v>4272</v>
      </c>
      <c r="E1583" s="11" t="s">
        <v>2993</v>
      </c>
      <c r="F1583" s="45" t="str">
        <f>IFERROR(VLOOKUP(VENTAS[[#This Row],[Código del producto Vendido]],STOCK[],5,FALSE),"-")</f>
        <v>Camiseta de moda con estampado de cereza</v>
      </c>
      <c r="G1583" s="11"/>
      <c r="H1583" s="14">
        <v>15</v>
      </c>
      <c r="I1583" s="14">
        <f>VENTAS[[#This Row],[Cantidad]]*VENTAS[[#This Row],[Precio Venta]]</f>
        <v>0</v>
      </c>
      <c r="J1583" s="14">
        <f>IF(VENTAS[[#This Row],[Nombre del Gestor]]&gt;1,VENTAS[[#This Row],[Total]]*10%,0)</f>
        <v>0</v>
      </c>
      <c r="K1583" s="14">
        <f>IFERROR(VLOOKUP(VENTAS[[#This Row],[Código del producto Vendido]],STOCK[],16,FALSE)*VENTAS[[#This Row],[Cantidad]]+VLOOKUP(VENTAS[[#This Row],[Código del producto Vendido]],STOCK[],19,FALSE)*VENTAS[[#This Row],[Cantidad]],VENTAS[[#This Row],[Total]])</f>
        <v>0</v>
      </c>
      <c r="L1583" s="14">
        <f>VENTAS[[#This Row],[Total]]-VENTAS[[#This Row],[Comisión 10%]]-VENTAS[[#This Row],[Costo SIN Comision]]</f>
        <v>0</v>
      </c>
      <c r="M1583" s="14"/>
    </row>
    <row r="1584" ht="20" hidden="1" customHeight="1" spans="1:13">
      <c r="A1584" s="10">
        <v>45566</v>
      </c>
      <c r="B1584" s="11"/>
      <c r="C1584" s="11"/>
      <c r="D1584" s="11" t="s">
        <v>4376</v>
      </c>
      <c r="E1584" s="11" t="s">
        <v>2997</v>
      </c>
      <c r="F1584" s="11" t="str">
        <f>IFERROR(VLOOKUP(VENTAS[[#This Row],[Código del producto Vendido]],STOCK[],5,FALSE),"-")</f>
        <v>Camiseta de moda con estampado de cereza</v>
      </c>
      <c r="G1584" s="11"/>
      <c r="H1584" s="14">
        <v>15</v>
      </c>
      <c r="I1584" s="14">
        <f>VENTAS[[#This Row],[Cantidad]]*VENTAS[[#This Row],[Precio Venta]]</f>
        <v>0</v>
      </c>
      <c r="J1584" s="14">
        <f>IF(VENTAS[[#This Row],[Nombre del Gestor]]&gt;1,VENTAS[[#This Row],[Total]]*10%,0)</f>
        <v>0</v>
      </c>
      <c r="K1584" s="14">
        <f>IFERROR(VLOOKUP(VENTAS[[#This Row],[Código del producto Vendido]],STOCK[],16,FALSE)*VENTAS[[#This Row],[Cantidad]]+VLOOKUP(VENTAS[[#This Row],[Código del producto Vendido]],STOCK[],19,FALSE)*VENTAS[[#This Row],[Cantidad]],VENTAS[[#This Row],[Total]])</f>
        <v>0</v>
      </c>
      <c r="L1584" s="14">
        <f>VENTAS[[#This Row],[Total]]-VENTAS[[#This Row],[Comisión 10%]]-VENTAS[[#This Row],[Costo SIN Comision]]</f>
        <v>0</v>
      </c>
      <c r="M1584" s="14"/>
    </row>
    <row r="1585" ht="20" hidden="1" customHeight="1" spans="1:13">
      <c r="A1585" s="10">
        <v>45566</v>
      </c>
      <c r="B1585" s="11"/>
      <c r="C1585" s="11"/>
      <c r="D1585" s="11" t="s">
        <v>4427</v>
      </c>
      <c r="E1585" s="11" t="s">
        <v>2976</v>
      </c>
      <c r="F1585" s="11" t="str">
        <f>IFERROR(VLOOKUP(VENTAS[[#This Row],[Código del producto Vendido]],STOCK[],5,FALSE),"-")</f>
        <v>Bolsa casual con diseño de gato y mariposa de tamaño mediano</v>
      </c>
      <c r="G1585" s="11">
        <v>1</v>
      </c>
      <c r="H1585" s="14">
        <v>12</v>
      </c>
      <c r="I1585" s="14">
        <f>VENTAS[[#This Row],[Cantidad]]*VENTAS[[#This Row],[Precio Venta]]</f>
        <v>12</v>
      </c>
      <c r="J1585" s="14">
        <f>IF(VENTAS[[#This Row],[Nombre del Gestor]]&gt;1,VENTAS[[#This Row],[Total]]*10%,0)</f>
        <v>1.2</v>
      </c>
      <c r="K1585" s="14">
        <f>IFERROR(VLOOKUP(VENTAS[[#This Row],[Código del producto Vendido]],STOCK[],16,FALSE)*VENTAS[[#This Row],[Cantidad]]+VLOOKUP(VENTAS[[#This Row],[Código del producto Vendido]],STOCK[],19,FALSE)*VENTAS[[#This Row],[Cantidad]],VENTAS[[#This Row],[Total]])</f>
        <v>4.64</v>
      </c>
      <c r="L1585" s="14">
        <f>VENTAS[[#This Row],[Total]]-VENTAS[[#This Row],[Comisión 10%]]-VENTAS[[#This Row],[Costo SIN Comision]]</f>
        <v>6.16</v>
      </c>
      <c r="M1585" s="14"/>
    </row>
    <row r="1586" ht="20" hidden="1" customHeight="1" spans="1:13">
      <c r="A1586" s="10">
        <v>45536</v>
      </c>
      <c r="B1586" s="11"/>
      <c r="C1586" s="11"/>
      <c r="D1586" s="11"/>
      <c r="E1586" s="11" t="s">
        <v>2975</v>
      </c>
      <c r="F1586" s="11" t="str">
        <f>IFERROR(VLOOKUP(VENTAS[[#This Row],[Código del producto Vendido]],STOCK[],5,FALSE),"-")</f>
        <v>Vestido de un hombro con abertura trasera color azul celeste</v>
      </c>
      <c r="G1586" s="11">
        <v>1</v>
      </c>
      <c r="H1586" s="14">
        <v>25</v>
      </c>
      <c r="I1586" s="14">
        <f>VENTAS[[#This Row],[Cantidad]]*VENTAS[[#This Row],[Precio Venta]]</f>
        <v>25</v>
      </c>
      <c r="J1586" s="14">
        <f>IF(VENTAS[[#This Row],[Nombre del Gestor]]&gt;1,VENTAS[[#This Row],[Total]]*10%,0)</f>
        <v>0</v>
      </c>
      <c r="K1586" s="14">
        <f>IFERROR(VLOOKUP(VENTAS[[#This Row],[Código del producto Vendido]],STOCK[],16,FALSE)*VENTAS[[#This Row],[Cantidad]]+VLOOKUP(VENTAS[[#This Row],[Código del producto Vendido]],STOCK[],19,FALSE)*VENTAS[[#This Row],[Cantidad]],VENTAS[[#This Row],[Total]])</f>
        <v>12.32</v>
      </c>
      <c r="L1586" s="14">
        <f>VENTAS[[#This Row],[Total]]-VENTAS[[#This Row],[Comisión 10%]]-VENTAS[[#This Row],[Costo SIN Comision]]</f>
        <v>12.68</v>
      </c>
      <c r="M1586" s="14"/>
    </row>
    <row r="1587" ht="20" hidden="1" customHeight="1" spans="1:13">
      <c r="A1587" s="10"/>
      <c r="B1587" s="11"/>
      <c r="C1587" s="11"/>
      <c r="D1587" s="11"/>
      <c r="E1587" s="11" t="s">
        <v>2971</v>
      </c>
      <c r="F1587" s="11" t="str">
        <f>IFERROR(VLOOKUP(VENTAS[[#This Row],[Código del producto Vendido]],STOCK[],5,FALSE),"-")</f>
        <v>Vestido camisola negro con abertura</v>
      </c>
      <c r="G1587" s="11">
        <v>1</v>
      </c>
      <c r="H1587" s="14">
        <v>20</v>
      </c>
      <c r="I1587" s="14">
        <f>VENTAS[[#This Row],[Cantidad]]*VENTAS[[#This Row],[Precio Venta]]</f>
        <v>20</v>
      </c>
      <c r="J1587" s="14">
        <f>IF(VENTAS[[#This Row],[Nombre del Gestor]]&gt;1,VENTAS[[#This Row],[Total]]*10%,0)</f>
        <v>0</v>
      </c>
      <c r="K1587" s="14">
        <f>IFERROR(VLOOKUP(VENTAS[[#This Row],[Código del producto Vendido]],STOCK[],16,FALSE)*VENTAS[[#This Row],[Cantidad]]+VLOOKUP(VENTAS[[#This Row],[Código del producto Vendido]],STOCK[],19,FALSE)*VENTAS[[#This Row],[Cantidad]],VENTAS[[#This Row],[Total]])</f>
        <v>7.63</v>
      </c>
      <c r="L1587" s="14">
        <f>VENTAS[[#This Row],[Total]]-VENTAS[[#This Row],[Comisión 10%]]-VENTAS[[#This Row],[Costo SIN Comision]]</f>
        <v>12.37</v>
      </c>
      <c r="M1587" s="14"/>
    </row>
    <row r="1588" ht="20" hidden="1" customHeight="1" spans="1:13">
      <c r="A1588" s="10"/>
      <c r="B1588" s="11"/>
      <c r="C1588" s="11"/>
      <c r="D1588" s="11"/>
      <c r="E1588" s="11" t="s">
        <v>2971</v>
      </c>
      <c r="F1588" s="11" t="str">
        <f>IFERROR(VLOOKUP(VENTAS[[#This Row],[Código del producto Vendido]],STOCK[],5,FALSE),"-")</f>
        <v>Vestido camisola negro con abertura</v>
      </c>
      <c r="G1588" s="11">
        <v>1</v>
      </c>
      <c r="H1588" s="14">
        <v>20</v>
      </c>
      <c r="I1588" s="14">
        <f>VENTAS[[#This Row],[Cantidad]]*VENTAS[[#This Row],[Precio Venta]]</f>
        <v>20</v>
      </c>
      <c r="J1588" s="14">
        <f>IF(VENTAS[[#This Row],[Nombre del Gestor]]&gt;1,VENTAS[[#This Row],[Total]]*10%,0)</f>
        <v>0</v>
      </c>
      <c r="K1588" s="14">
        <f>IFERROR(VLOOKUP(VENTAS[[#This Row],[Código del producto Vendido]],STOCK[],16,FALSE)*VENTAS[[#This Row],[Cantidad]]+VLOOKUP(VENTAS[[#This Row],[Código del producto Vendido]],STOCK[],19,FALSE)*VENTAS[[#This Row],[Cantidad]],VENTAS[[#This Row],[Total]])</f>
        <v>7.63</v>
      </c>
      <c r="L1588" s="14">
        <f>VENTAS[[#This Row],[Total]]-VENTAS[[#This Row],[Comisión 10%]]-VENTAS[[#This Row],[Costo SIN Comision]]</f>
        <v>12.37</v>
      </c>
      <c r="M1588" s="14"/>
    </row>
    <row r="1589" ht="20" hidden="1" customHeight="1" spans="1:13">
      <c r="A1589" s="10"/>
      <c r="B1589" s="11"/>
      <c r="C1589" s="11"/>
      <c r="D1589" s="11"/>
      <c r="E1589" s="11" t="s">
        <v>2968</v>
      </c>
      <c r="F1589" s="11" t="str">
        <f>IFERROR(VLOOKUP(VENTAS[[#This Row],[Código del producto Vendido]],STOCK[],5,FALSE),"-")</f>
        <v>Vestido camisola negro con abertura</v>
      </c>
      <c r="G1589" s="11">
        <v>1</v>
      </c>
      <c r="H1589" s="14">
        <v>20</v>
      </c>
      <c r="I1589" s="14">
        <f>VENTAS[[#This Row],[Cantidad]]*VENTAS[[#This Row],[Precio Venta]]</f>
        <v>20</v>
      </c>
      <c r="J1589" s="14">
        <f>IF(VENTAS[[#This Row],[Nombre del Gestor]]&gt;1,VENTAS[[#This Row],[Total]]*10%,0)</f>
        <v>0</v>
      </c>
      <c r="K1589" s="14">
        <f>IFERROR(VLOOKUP(VENTAS[[#This Row],[Código del producto Vendido]],STOCK[],16,FALSE)*VENTAS[[#This Row],[Cantidad]]+VLOOKUP(VENTAS[[#This Row],[Código del producto Vendido]],STOCK[],19,FALSE)*VENTAS[[#This Row],[Cantidad]],VENTAS[[#This Row],[Total]])</f>
        <v>7.63</v>
      </c>
      <c r="L1589" s="14">
        <f>VENTAS[[#This Row],[Total]]-VENTAS[[#This Row],[Comisión 10%]]-VENTAS[[#This Row],[Costo SIN Comision]]</f>
        <v>12.37</v>
      </c>
      <c r="M1589" s="14"/>
    </row>
    <row r="1590" ht="20" hidden="1" customHeight="1" spans="1:13">
      <c r="A1590" s="10"/>
      <c r="B1590" s="11"/>
      <c r="C1590" s="11"/>
      <c r="D1590" s="11"/>
      <c r="E1590" s="11" t="s">
        <v>2937</v>
      </c>
      <c r="F1590" s="11" t="str">
        <f>IFERROR(VLOOKUP(VENTAS[[#This Row],[Código del producto Vendido]],STOCK[],5,FALSE),"-")</f>
        <v>Sandalias cómodas para mujer con adorno de clip dorado</v>
      </c>
      <c r="G1590" s="11">
        <v>1</v>
      </c>
      <c r="H1590" s="14">
        <v>18</v>
      </c>
      <c r="I1590" s="14">
        <f>VENTAS[[#This Row],[Cantidad]]*VENTAS[[#This Row],[Precio Venta]]</f>
        <v>18</v>
      </c>
      <c r="J1590" s="14">
        <f>IF(VENTAS[[#This Row],[Nombre del Gestor]]&gt;1,VENTAS[[#This Row],[Total]]*10%,0)</f>
        <v>0</v>
      </c>
      <c r="K1590" s="14">
        <f>IFERROR(VLOOKUP(VENTAS[[#This Row],[Código del producto Vendido]],STOCK[],16,FALSE)*VENTAS[[#This Row],[Cantidad]]+VLOOKUP(VENTAS[[#This Row],[Código del producto Vendido]],STOCK[],19,FALSE)*VENTAS[[#This Row],[Cantidad]],VENTAS[[#This Row],[Total]])</f>
        <v>9.46</v>
      </c>
      <c r="L1590" s="14">
        <f>VENTAS[[#This Row],[Total]]-VENTAS[[#This Row],[Comisión 10%]]-VENTAS[[#This Row],[Costo SIN Comision]]</f>
        <v>8.54</v>
      </c>
      <c r="M1590" s="14"/>
    </row>
    <row r="1591" ht="20" hidden="1" customHeight="1" spans="1:13">
      <c r="A1591" s="10">
        <v>45567</v>
      </c>
      <c r="B1591" s="11"/>
      <c r="C1591" s="11"/>
      <c r="D1591" s="11" t="s">
        <v>4365</v>
      </c>
      <c r="E1591" s="11" t="s">
        <v>2961</v>
      </c>
      <c r="F1591" s="11" t="str">
        <f>IFERROR(VLOOKUP(VENTAS[[#This Row],[Código del producto Vendido]],STOCK[],5,FALSE),"-")</f>
        <v>Vestido largo Sexy y elegante de espalda corrida en degradado de color</v>
      </c>
      <c r="G1591" s="11">
        <v>1</v>
      </c>
      <c r="H1591" s="14">
        <v>25</v>
      </c>
      <c r="I1591" s="14">
        <f>VENTAS[[#This Row],[Cantidad]]*VENTAS[[#This Row],[Precio Venta]]</f>
        <v>25</v>
      </c>
      <c r="J1591" s="14">
        <f>IF(VENTAS[[#This Row],[Nombre del Gestor]]&gt;1,VENTAS[[#This Row],[Total]]*10%,0)</f>
        <v>2.5</v>
      </c>
      <c r="K1591" s="14">
        <f>IFERROR(VLOOKUP(VENTAS[[#This Row],[Código del producto Vendido]],STOCK[],16,FALSE)*VENTAS[[#This Row],[Cantidad]]+VLOOKUP(VENTAS[[#This Row],[Código del producto Vendido]],STOCK[],19,FALSE)*VENTAS[[#This Row],[Cantidad]],VENTAS[[#This Row],[Total]])</f>
        <v>13.63</v>
      </c>
      <c r="L1591" s="14">
        <f>VENTAS[[#This Row],[Total]]-VENTAS[[#This Row],[Comisión 10%]]-VENTAS[[#This Row],[Costo SIN Comision]]</f>
        <v>8.87</v>
      </c>
      <c r="M1591" s="14"/>
    </row>
    <row r="1592" ht="20" hidden="1" customHeight="1" spans="1:13">
      <c r="A1592" s="10">
        <v>45575</v>
      </c>
      <c r="B1592" s="11"/>
      <c r="C1592" s="11"/>
      <c r="D1592" s="11" t="s">
        <v>4076</v>
      </c>
      <c r="E1592" s="11" t="s">
        <v>602</v>
      </c>
      <c r="F1592" s="11" t="str">
        <f>IFERROR(VLOOKUP(VENTAS[[#This Row],[Código del producto Vendido]],STOCK[],5,FALSE),"-")</f>
        <v>Vestido floral de mangas farol</v>
      </c>
      <c r="G1592" s="11">
        <v>1</v>
      </c>
      <c r="H1592" s="14">
        <v>18</v>
      </c>
      <c r="I1592" s="14">
        <f>VENTAS[[#This Row],[Cantidad]]*VENTAS[[#This Row],[Precio Venta]]</f>
        <v>18</v>
      </c>
      <c r="J1592" s="14">
        <f>IF(VENTAS[[#This Row],[Nombre del Gestor]]&gt;1,VENTAS[[#This Row],[Total]]*10%,0)</f>
        <v>1.8</v>
      </c>
      <c r="K1592" s="14">
        <f>IFERROR(VLOOKUP(VENTAS[[#This Row],[Código del producto Vendido]],STOCK[],16,FALSE)*VENTAS[[#This Row],[Cantidad]]+VLOOKUP(VENTAS[[#This Row],[Código del producto Vendido]],STOCK[],19,FALSE)*VENTAS[[#This Row],[Cantidad]],VENTAS[[#This Row],[Total]])</f>
        <v>10.7222222222222</v>
      </c>
      <c r="L1592" s="14">
        <f>VENTAS[[#This Row],[Total]]-VENTAS[[#This Row],[Comisión 10%]]-VENTAS[[#This Row],[Costo SIN Comision]]</f>
        <v>5.47777777777778</v>
      </c>
      <c r="M1592" s="14"/>
    </row>
    <row r="1593" ht="20" hidden="1" customHeight="1" spans="1:13">
      <c r="A1593" s="10">
        <v>45575</v>
      </c>
      <c r="B1593" s="11"/>
      <c r="C1593" s="11"/>
      <c r="D1593" s="11" t="s">
        <v>4076</v>
      </c>
      <c r="E1593" s="11" t="s">
        <v>2896</v>
      </c>
      <c r="F1593" s="11" t="str">
        <f>IFERROR(VLOOKUP(VENTAS[[#This Row],[Código del producto Vendido]],STOCK[],5,FALSE),"-")</f>
        <v>Sujetador de gran confort antideslizante sin tirantes color negro</v>
      </c>
      <c r="G1593" s="11">
        <v>1</v>
      </c>
      <c r="H1593" s="14">
        <v>15</v>
      </c>
      <c r="I1593" s="14">
        <f>VENTAS[[#This Row],[Cantidad]]*VENTAS[[#This Row],[Precio Venta]]</f>
        <v>15</v>
      </c>
      <c r="J1593" s="14">
        <f>IF(VENTAS[[#This Row],[Nombre del Gestor]]&gt;1,VENTAS[[#This Row],[Total]]*10%,0)</f>
        <v>1.5</v>
      </c>
      <c r="K1593" s="14">
        <f>IFERROR(VLOOKUP(VENTAS[[#This Row],[Código del producto Vendido]],STOCK[],16,FALSE)*VENTAS[[#This Row],[Cantidad]]+VLOOKUP(VENTAS[[#This Row],[Código del producto Vendido]],STOCK[],19,FALSE)*VENTAS[[#This Row],[Cantidad]],VENTAS[[#This Row],[Total]])</f>
        <v>6.38</v>
      </c>
      <c r="L1593" s="14">
        <f>VENTAS[[#This Row],[Total]]-VENTAS[[#This Row],[Comisión 10%]]-VENTAS[[#This Row],[Costo SIN Comision]]</f>
        <v>7.12</v>
      </c>
      <c r="M1593" s="14"/>
    </row>
    <row r="1594" ht="20" hidden="1" customHeight="1" spans="1:13">
      <c r="A1594" s="10">
        <v>45574</v>
      </c>
      <c r="B1594" s="11"/>
      <c r="C1594" s="11"/>
      <c r="D1594" s="11" t="s">
        <v>4216</v>
      </c>
      <c r="E1594" s="11" t="s">
        <v>2901</v>
      </c>
      <c r="F1594" s="11" t="str">
        <f>IFERROR(VLOOKUP(VENTAS[[#This Row],[Código del producto Vendido]],STOCK[],5,FALSE),"-")</f>
        <v>Sujetador de gran confort antideslizante sin tirantes color negro</v>
      </c>
      <c r="G1594" s="11">
        <v>1</v>
      </c>
      <c r="H1594" s="14">
        <v>15</v>
      </c>
      <c r="I1594" s="14">
        <f>VENTAS[[#This Row],[Cantidad]]*VENTAS[[#This Row],[Precio Venta]]</f>
        <v>15</v>
      </c>
      <c r="J1594" s="14">
        <f>IF(VENTAS[[#This Row],[Nombre del Gestor]]&gt;1,VENTAS[[#This Row],[Total]]*10%,0)</f>
        <v>1.5</v>
      </c>
      <c r="K1594" s="14">
        <f>IFERROR(VLOOKUP(VENTAS[[#This Row],[Código del producto Vendido]],STOCK[],16,FALSE)*VENTAS[[#This Row],[Cantidad]]+VLOOKUP(VENTAS[[#This Row],[Código del producto Vendido]],STOCK[],19,FALSE)*VENTAS[[#This Row],[Cantidad]],VENTAS[[#This Row],[Total]])</f>
        <v>6.38</v>
      </c>
      <c r="L1594" s="14">
        <f>VENTAS[[#This Row],[Total]]-VENTAS[[#This Row],[Comisión 10%]]-VENTAS[[#This Row],[Costo SIN Comision]]</f>
        <v>7.12</v>
      </c>
      <c r="M1594" s="14"/>
    </row>
    <row r="1595" ht="20" hidden="1" customHeight="1" spans="1:13">
      <c r="A1595" s="10">
        <v>45574</v>
      </c>
      <c r="B1595" s="11"/>
      <c r="C1595" s="11"/>
      <c r="D1595" s="11" t="s">
        <v>4216</v>
      </c>
      <c r="E1595" s="11" t="s">
        <v>2906</v>
      </c>
      <c r="F1595" s="11" t="str">
        <f>IFERROR(VLOOKUP(VENTAS[[#This Row],[Código del producto Vendido]],STOCK[],5,FALSE),"-")</f>
        <v>Sujetador de gran confort antideslizante sin tirantes color crema</v>
      </c>
      <c r="G1595" s="11">
        <v>1</v>
      </c>
      <c r="H1595" s="14">
        <v>15</v>
      </c>
      <c r="I1595" s="14">
        <f>VENTAS[[#This Row],[Cantidad]]*VENTAS[[#This Row],[Precio Venta]]</f>
        <v>15</v>
      </c>
      <c r="J1595" s="14">
        <f>IF(VENTAS[[#This Row],[Nombre del Gestor]]&gt;1,VENTAS[[#This Row],[Total]]*10%,0)</f>
        <v>1.5</v>
      </c>
      <c r="K1595" s="14">
        <f>IFERROR(VLOOKUP(VENTAS[[#This Row],[Código del producto Vendido]],STOCK[],16,FALSE)*VENTAS[[#This Row],[Cantidad]]+VLOOKUP(VENTAS[[#This Row],[Código del producto Vendido]],STOCK[],19,FALSE)*VENTAS[[#This Row],[Cantidad]],VENTAS[[#This Row],[Total]])</f>
        <v>8.15</v>
      </c>
      <c r="L1595" s="14">
        <f>VENTAS[[#This Row],[Total]]-VENTAS[[#This Row],[Comisión 10%]]-VENTAS[[#This Row],[Costo SIN Comision]]</f>
        <v>5.35</v>
      </c>
      <c r="M1595" s="14"/>
    </row>
    <row r="1596" ht="20" hidden="1" customHeight="1" spans="1:13">
      <c r="A1596" s="10">
        <v>45575</v>
      </c>
      <c r="B1596" s="11"/>
      <c r="C1596" s="11"/>
      <c r="D1596" s="11" t="s">
        <v>4270</v>
      </c>
      <c r="E1596" s="11" t="s">
        <v>2829</v>
      </c>
      <c r="F1596" s="11" t="str">
        <f>IFERROR(VLOOKUP(VENTAS[[#This Row],[Código del producto Vendido]],STOCK[],5,FALSE),"-")</f>
        <v>Bolso tejido redondo de gran capacidad Ojo Turco</v>
      </c>
      <c r="G1596" s="11">
        <v>1</v>
      </c>
      <c r="H1596" s="14">
        <v>25</v>
      </c>
      <c r="I1596" s="14">
        <f>VENTAS[[#This Row],[Cantidad]]*VENTAS[[#This Row],[Precio Venta]]</f>
        <v>25</v>
      </c>
      <c r="J1596" s="14">
        <f>IF(VENTAS[[#This Row],[Nombre del Gestor]]&gt;1,VENTAS[[#This Row],[Total]]*10%,0)</f>
        <v>2.5</v>
      </c>
      <c r="K1596" s="14">
        <f>IFERROR(VLOOKUP(VENTAS[[#This Row],[Código del producto Vendido]],STOCK[],16,FALSE)*VENTAS[[#This Row],[Cantidad]]+VLOOKUP(VENTAS[[#This Row],[Código del producto Vendido]],STOCK[],19,FALSE)*VENTAS[[#This Row],[Cantidad]],VENTAS[[#This Row],[Total]])</f>
        <v>13.03</v>
      </c>
      <c r="L1596" s="14">
        <f>VENTAS[[#This Row],[Total]]-VENTAS[[#This Row],[Comisión 10%]]-VENTAS[[#This Row],[Costo SIN Comision]]</f>
        <v>9.47</v>
      </c>
      <c r="M1596" s="14"/>
    </row>
    <row r="1597" ht="20" hidden="1" customHeight="1" spans="1:13">
      <c r="A1597" s="10">
        <v>45574</v>
      </c>
      <c r="B1597" s="11"/>
      <c r="C1597" s="11"/>
      <c r="D1597" s="11" t="s">
        <v>4272</v>
      </c>
      <c r="E1597" s="11" t="s">
        <v>2940</v>
      </c>
      <c r="F1597" s="45" t="str">
        <f>IFERROR(VLOOKUP(VENTAS[[#This Row],[Código del producto Vendido]],STOCK[],5,FALSE),"-")</f>
        <v>Vestido maxi sólido con espalda ajustable</v>
      </c>
      <c r="G1597" s="11"/>
      <c r="H1597" s="14">
        <v>25</v>
      </c>
      <c r="I1597" s="14">
        <f>VENTAS[[#This Row],[Cantidad]]*VENTAS[[#This Row],[Precio Venta]]</f>
        <v>0</v>
      </c>
      <c r="J1597" s="14">
        <f>IF(VENTAS[[#This Row],[Nombre del Gestor]]&gt;1,VENTAS[[#This Row],[Total]]*10%,0)</f>
        <v>0</v>
      </c>
      <c r="K1597" s="14">
        <f>IFERROR(VLOOKUP(VENTAS[[#This Row],[Código del producto Vendido]],STOCK[],16,FALSE)*VENTAS[[#This Row],[Cantidad]]+VLOOKUP(VENTAS[[#This Row],[Código del producto Vendido]],STOCK[],19,FALSE)*VENTAS[[#This Row],[Cantidad]],VENTAS[[#This Row],[Total]])</f>
        <v>0</v>
      </c>
      <c r="L1597" s="14">
        <f>VENTAS[[#This Row],[Total]]-VENTAS[[#This Row],[Comisión 10%]]-VENTAS[[#This Row],[Costo SIN Comision]]</f>
        <v>0</v>
      </c>
      <c r="M1597" s="14"/>
    </row>
    <row r="1598" ht="20" hidden="1" customHeight="1" spans="1:13">
      <c r="A1598" s="10">
        <v>45572</v>
      </c>
      <c r="B1598" s="11"/>
      <c r="C1598" s="11" t="s">
        <v>4382</v>
      </c>
      <c r="D1598" s="11" t="s">
        <v>4266</v>
      </c>
      <c r="E1598" s="11" t="s">
        <v>2848</v>
      </c>
      <c r="F1598" s="11" t="str">
        <f>IFERROR(VLOOKUP(VENTAS[[#This Row],[Código del producto Vendido]],STOCK[],5,FALSE),"-")</f>
        <v>Pantalones largros rayados de moda de gran comodidad</v>
      </c>
      <c r="G1598" s="11">
        <v>1</v>
      </c>
      <c r="H1598" s="14">
        <v>22</v>
      </c>
      <c r="I1598" s="14">
        <f>VENTAS[[#This Row],[Cantidad]]*VENTAS[[#This Row],[Precio Venta]]</f>
        <v>22</v>
      </c>
      <c r="J1598" s="14">
        <f>IF(VENTAS[[#This Row],[Nombre del Gestor]]&gt;1,VENTAS[[#This Row],[Total]]*10%,0)</f>
        <v>2.2</v>
      </c>
      <c r="K1598" s="14">
        <f>IFERROR(VLOOKUP(VENTAS[[#This Row],[Código del producto Vendido]],STOCK[],16,FALSE)*VENTAS[[#This Row],[Cantidad]]+VLOOKUP(VENTAS[[#This Row],[Código del producto Vendido]],STOCK[],19,FALSE)*VENTAS[[#This Row],[Cantidad]],VENTAS[[#This Row],[Total]])</f>
        <v>10.52</v>
      </c>
      <c r="L1598" s="14">
        <f>VENTAS[[#This Row],[Total]]-VENTAS[[#This Row],[Comisión 10%]]-VENTAS[[#This Row],[Costo SIN Comision]]</f>
        <v>9.28</v>
      </c>
      <c r="M1598" s="14"/>
    </row>
    <row r="1599" ht="20" hidden="1" customHeight="1" spans="1:13">
      <c r="A1599" s="10">
        <v>45572</v>
      </c>
      <c r="B1599" s="11"/>
      <c r="C1599" s="11" t="s">
        <v>4382</v>
      </c>
      <c r="D1599" s="11" t="s">
        <v>4266</v>
      </c>
      <c r="E1599" s="11" t="s">
        <v>2432</v>
      </c>
      <c r="F1599" s="11" t="str">
        <f>IFERROR(VLOOKUP(VENTAS[[#This Row],[Código del producto Vendido]],STOCK[],5,FALSE),"-")</f>
        <v>Pantalón ancho con cordón ajustable</v>
      </c>
      <c r="G1599" s="11">
        <v>1</v>
      </c>
      <c r="H1599" s="14">
        <v>23</v>
      </c>
      <c r="I1599" s="14">
        <f>VENTAS[[#This Row],[Cantidad]]*VENTAS[[#This Row],[Precio Venta]]</f>
        <v>23</v>
      </c>
      <c r="J1599" s="14">
        <f>IF(VENTAS[[#This Row],[Nombre del Gestor]]&gt;1,VENTAS[[#This Row],[Total]]*10%,0)</f>
        <v>2.3</v>
      </c>
      <c r="K1599" s="14">
        <f>IFERROR(VLOOKUP(VENTAS[[#This Row],[Código del producto Vendido]],STOCK[],16,FALSE)*VENTAS[[#This Row],[Cantidad]]+VLOOKUP(VENTAS[[#This Row],[Código del producto Vendido]],STOCK[],19,FALSE)*VENTAS[[#This Row],[Cantidad]],VENTAS[[#This Row],[Total]])</f>
        <v>11.4353349001175</v>
      </c>
      <c r="L1599" s="14">
        <f>VENTAS[[#This Row],[Total]]-VENTAS[[#This Row],[Comisión 10%]]-VENTAS[[#This Row],[Costo SIN Comision]]</f>
        <v>9.26466509988249</v>
      </c>
      <c r="M1599" s="14"/>
    </row>
    <row r="1600" ht="20" hidden="1" customHeight="1" spans="1:13">
      <c r="A1600" s="10"/>
      <c r="B1600" s="11"/>
      <c r="C1600" s="11"/>
      <c r="D1600" s="11"/>
      <c r="E1600" s="11" t="s">
        <v>2995</v>
      </c>
      <c r="F1600" s="11" t="str">
        <f>IFERROR(VLOOKUP(VENTAS[[#This Row],[Código del producto Vendido]],STOCK[],5,FALSE),"-")</f>
        <v>Camiseta de moda con estampado de cereza</v>
      </c>
      <c r="G1600" s="11">
        <v>1</v>
      </c>
      <c r="H1600" s="14">
        <v>15</v>
      </c>
      <c r="I1600" s="14">
        <f>VENTAS[[#This Row],[Cantidad]]*VENTAS[[#This Row],[Precio Venta]]</f>
        <v>15</v>
      </c>
      <c r="J1600" s="14">
        <f>IF(VENTAS[[#This Row],[Nombre del Gestor]]&gt;1,VENTAS[[#This Row],[Total]]*10%,0)</f>
        <v>0</v>
      </c>
      <c r="K1600" s="14">
        <f>IFERROR(VLOOKUP(VENTAS[[#This Row],[Código del producto Vendido]],STOCK[],16,FALSE)*VENTAS[[#This Row],[Cantidad]]+VLOOKUP(VENTAS[[#This Row],[Código del producto Vendido]],STOCK[],19,FALSE)*VENTAS[[#This Row],[Cantidad]],VENTAS[[#This Row],[Total]])</f>
        <v>5.92</v>
      </c>
      <c r="L1600" s="14">
        <f>VENTAS[[#This Row],[Total]]-VENTAS[[#This Row],[Comisión 10%]]-VENTAS[[#This Row],[Costo SIN Comision]]</f>
        <v>9.08</v>
      </c>
      <c r="M1600" s="14"/>
    </row>
    <row r="1601" ht="20" hidden="1" customHeight="1" spans="1:13">
      <c r="A1601" s="10">
        <v>45546</v>
      </c>
      <c r="B1601" s="11"/>
      <c r="C1601" s="11" t="s">
        <v>4490</v>
      </c>
      <c r="D1601" s="11" t="s">
        <v>4420</v>
      </c>
      <c r="E1601" s="11" t="s">
        <v>555</v>
      </c>
      <c r="F1601" s="11" t="str">
        <f>IFERROR(VLOOKUP(VENTAS[[#This Row],[Código del producto Vendido]],STOCK[],5,FALSE),"-")</f>
        <v>Sandalias plateadas con pedrería</v>
      </c>
      <c r="G1601" s="11">
        <v>1</v>
      </c>
      <c r="H1601" s="14">
        <v>25</v>
      </c>
      <c r="I1601" s="14">
        <f>VENTAS[[#This Row],[Cantidad]]*VENTAS[[#This Row],[Precio Venta]]</f>
        <v>25</v>
      </c>
      <c r="J1601" s="14">
        <f>IF(VENTAS[[#This Row],[Nombre del Gestor]]&gt;1,VENTAS[[#This Row],[Total]]*10%,0)</f>
        <v>2.5</v>
      </c>
      <c r="K1601" s="14">
        <f>IFERROR(VLOOKUP(VENTAS[[#This Row],[Código del producto Vendido]],STOCK[],16,FALSE)*VENTAS[[#This Row],[Cantidad]]+VLOOKUP(VENTAS[[#This Row],[Código del producto Vendido]],STOCK[],19,FALSE)*VENTAS[[#This Row],[Cantidad]],VENTAS[[#This Row],[Total]])</f>
        <v>26.035</v>
      </c>
      <c r="L1601" s="14">
        <f>VENTAS[[#This Row],[Total]]-VENTAS[[#This Row],[Comisión 10%]]-VENTAS[[#This Row],[Costo SIN Comision]]</f>
        <v>-3.535</v>
      </c>
      <c r="M1601" s="14"/>
    </row>
    <row r="1602" ht="20" hidden="1" customHeight="1" spans="1:13">
      <c r="A1602" s="10"/>
      <c r="B1602" s="11"/>
      <c r="C1602" s="11"/>
      <c r="D1602" s="11" t="s">
        <v>4470</v>
      </c>
      <c r="E1602" s="11" t="s">
        <v>358</v>
      </c>
      <c r="F1602" s="11" t="str">
        <f>IFERROR(VLOOKUP(VENTAS[[#This Row],[Código del producto Vendido]],STOCK[],5,FALSE),"-")</f>
        <v>Vestido elegante de espalda corrida</v>
      </c>
      <c r="G1602" s="11">
        <v>0</v>
      </c>
      <c r="H1602" s="14">
        <v>20</v>
      </c>
      <c r="I1602" s="14">
        <f>VENTAS[[#This Row],[Cantidad]]*VENTAS[[#This Row],[Precio Venta]]</f>
        <v>0</v>
      </c>
      <c r="J1602" s="14">
        <f>IF(VENTAS[[#This Row],[Nombre del Gestor]]&gt;1,VENTAS[[#This Row],[Total]]*10%,0)</f>
        <v>0</v>
      </c>
      <c r="K1602" s="14">
        <f>IFERROR(VLOOKUP(VENTAS[[#This Row],[Código del producto Vendido]],STOCK[],16,FALSE)*VENTAS[[#This Row],[Cantidad]]+VLOOKUP(VENTAS[[#This Row],[Código del producto Vendido]],STOCK[],19,FALSE)*VENTAS[[#This Row],[Cantidad]],VENTAS[[#This Row],[Total]])</f>
        <v>0</v>
      </c>
      <c r="L1602" s="14">
        <f>VENTAS[[#This Row],[Total]]-VENTAS[[#This Row],[Comisión 10%]]-VENTAS[[#This Row],[Costo SIN Comision]]</f>
        <v>0</v>
      </c>
      <c r="M1602" s="14"/>
    </row>
    <row r="1603" ht="20" hidden="1" customHeight="1" spans="1:13">
      <c r="A1603" s="10">
        <v>45575</v>
      </c>
      <c r="B1603" s="11"/>
      <c r="C1603" s="11"/>
      <c r="D1603" s="11" t="s">
        <v>4076</v>
      </c>
      <c r="E1603" s="11" t="s">
        <v>1161</v>
      </c>
      <c r="F1603" s="11" t="str">
        <f>IFERROR(VLOOKUP(VENTAS[[#This Row],[Código del producto Vendido]],STOCK[],5,FALSE),"-")</f>
        <v>Pezoneras de silicona</v>
      </c>
      <c r="G1603" s="11">
        <v>1</v>
      </c>
      <c r="H1603" s="14">
        <v>5</v>
      </c>
      <c r="I1603" s="14">
        <f>VENTAS[[#This Row],[Cantidad]]*VENTAS[[#This Row],[Precio Venta]]</f>
        <v>5</v>
      </c>
      <c r="J1603" s="14">
        <f>IF(VENTAS[[#This Row],[Nombre del Gestor]]&gt;1,VENTAS[[#This Row],[Total]]*10%,0)</f>
        <v>0.5</v>
      </c>
      <c r="K1603" s="14">
        <f>IFERROR(VLOOKUP(VENTAS[[#This Row],[Código del producto Vendido]],STOCK[],16,FALSE)*VENTAS[[#This Row],[Cantidad]]+VLOOKUP(VENTAS[[#This Row],[Código del producto Vendido]],STOCK[],19,FALSE)*VENTAS[[#This Row],[Cantidad]],VENTAS[[#This Row],[Total]])</f>
        <v>2.03</v>
      </c>
      <c r="L1603" s="14">
        <f>VENTAS[[#This Row],[Total]]-VENTAS[[#This Row],[Comisión 10%]]-VENTAS[[#This Row],[Costo SIN Comision]]</f>
        <v>2.47</v>
      </c>
      <c r="M1603" s="14"/>
    </row>
    <row r="1604" ht="20" hidden="1" customHeight="1" spans="1:13">
      <c r="A1604" s="10"/>
      <c r="B1604" s="11"/>
      <c r="C1604" s="11"/>
      <c r="D1604" s="11"/>
      <c r="E1604" s="11" t="s">
        <v>2285</v>
      </c>
      <c r="F1604" s="11" t="str">
        <f>IFERROR(VLOOKUP(VENTAS[[#This Row],[Código del producto Vendido]],STOCK[],5,FALSE),"-")</f>
        <v>Bolso de lienzo estampado de corazón</v>
      </c>
      <c r="G1604" s="11">
        <v>1</v>
      </c>
      <c r="H1604" s="14">
        <v>12</v>
      </c>
      <c r="I1604" s="14">
        <f>VENTAS[[#This Row],[Cantidad]]*VENTAS[[#This Row],[Precio Venta]]</f>
        <v>12</v>
      </c>
      <c r="J1604" s="14">
        <f>IF(VENTAS[[#This Row],[Nombre del Gestor]]&gt;1,VENTAS[[#This Row],[Total]]*10%,0)</f>
        <v>0</v>
      </c>
      <c r="K1604" s="14">
        <f>IFERROR(VLOOKUP(VENTAS[[#This Row],[Código del producto Vendido]],STOCK[],16,FALSE)*VENTAS[[#This Row],[Cantidad]]+VLOOKUP(VENTAS[[#This Row],[Código del producto Vendido]],STOCK[],19,FALSE)*VENTAS[[#This Row],[Cantidad]],VENTAS[[#This Row],[Total]])</f>
        <v>4.23</v>
      </c>
      <c r="L1604" s="14">
        <f>VENTAS[[#This Row],[Total]]-VENTAS[[#This Row],[Comisión 10%]]-VENTAS[[#This Row],[Costo SIN Comision]]</f>
        <v>7.77</v>
      </c>
      <c r="M1604" s="14"/>
    </row>
    <row r="1605" ht="20" hidden="1" customHeight="1" spans="1:13">
      <c r="A1605" s="10"/>
      <c r="B1605" s="11"/>
      <c r="C1605" s="11"/>
      <c r="D1605" s="11" t="s">
        <v>4266</v>
      </c>
      <c r="E1605" s="11" t="s">
        <v>2564</v>
      </c>
      <c r="F1605" s="11" t="str">
        <f>IFERROR(VLOOKUP(VENTAS[[#This Row],[Código del producto Vendido]],STOCK[],5,FALSE),"-")</f>
        <v>Top corto de lazo delantero </v>
      </c>
      <c r="G1605" s="11">
        <v>1</v>
      </c>
      <c r="H1605" s="14">
        <v>17</v>
      </c>
      <c r="I1605" s="14">
        <f>VENTAS[[#This Row],[Cantidad]]*VENTAS[[#This Row],[Precio Venta]]</f>
        <v>17</v>
      </c>
      <c r="J1605" s="14">
        <f>IF(VENTAS[[#This Row],[Nombre del Gestor]]&gt;1,VENTAS[[#This Row],[Total]]*10%,0)</f>
        <v>1.7</v>
      </c>
      <c r="K1605" s="14">
        <f>IFERROR(VLOOKUP(VENTAS[[#This Row],[Código del producto Vendido]],STOCK[],16,FALSE)*VENTAS[[#This Row],[Cantidad]]+VLOOKUP(VENTAS[[#This Row],[Código del producto Vendido]],STOCK[],19,FALSE)*VENTAS[[#This Row],[Cantidad]],VENTAS[[#This Row],[Total]])</f>
        <v>11.45</v>
      </c>
      <c r="L1605" s="14">
        <f>VENTAS[[#This Row],[Total]]-VENTAS[[#This Row],[Comisión 10%]]-VENTAS[[#This Row],[Costo SIN Comision]]</f>
        <v>3.85</v>
      </c>
      <c r="M1605" s="14"/>
    </row>
    <row r="1606" ht="20" hidden="1" customHeight="1" spans="1:13">
      <c r="A1606" s="10"/>
      <c r="B1606" s="11"/>
      <c r="C1606" s="11"/>
      <c r="D1606" s="11"/>
      <c r="E1606" s="11" t="s">
        <v>2967</v>
      </c>
      <c r="F1606" s="11" t="str">
        <f>IFERROR(VLOOKUP(VENTAS[[#This Row],[Código del producto Vendido]],STOCK[],5,FALSE),"-")</f>
        <v>Vestido camisola negro con abertura</v>
      </c>
      <c r="G1606" s="11">
        <v>1</v>
      </c>
      <c r="H1606" s="14">
        <v>20</v>
      </c>
      <c r="I1606" s="14">
        <f>VENTAS[[#This Row],[Cantidad]]*VENTAS[[#This Row],[Precio Venta]]</f>
        <v>20</v>
      </c>
      <c r="J1606" s="14">
        <f>IF(VENTAS[[#This Row],[Nombre del Gestor]]&gt;1,VENTAS[[#This Row],[Total]]*10%,0)</f>
        <v>0</v>
      </c>
      <c r="K1606" s="14">
        <f>IFERROR(VLOOKUP(VENTAS[[#This Row],[Código del producto Vendido]],STOCK[],16,FALSE)*VENTAS[[#This Row],[Cantidad]]+VLOOKUP(VENTAS[[#This Row],[Código del producto Vendido]],STOCK[],19,FALSE)*VENTAS[[#This Row],[Cantidad]],VENTAS[[#This Row],[Total]])</f>
        <v>7.63</v>
      </c>
      <c r="L1606" s="14">
        <f>VENTAS[[#This Row],[Total]]-VENTAS[[#This Row],[Comisión 10%]]-VENTAS[[#This Row],[Costo SIN Comision]]</f>
        <v>12.37</v>
      </c>
      <c r="M1606" s="14"/>
    </row>
    <row r="1607" ht="20" hidden="1" customHeight="1" spans="1:13">
      <c r="A1607" s="10"/>
      <c r="B1607" s="11"/>
      <c r="C1607" s="11"/>
      <c r="D1607" s="11" t="s">
        <v>4463</v>
      </c>
      <c r="E1607" s="11" t="s">
        <v>2969</v>
      </c>
      <c r="F1607" s="11" t="str">
        <f>IFERROR(VLOOKUP(VENTAS[[#This Row],[Código del producto Vendido]],STOCK[],5,FALSE),"-")</f>
        <v>Conjunto de dos prendas elegante-casual color blanco</v>
      </c>
      <c r="G1607" s="11">
        <v>1</v>
      </c>
      <c r="H1607" s="14">
        <v>40</v>
      </c>
      <c r="I1607" s="14">
        <f>VENTAS[[#This Row],[Cantidad]]*VENTAS[[#This Row],[Precio Venta]]</f>
        <v>40</v>
      </c>
      <c r="J1607" s="14">
        <f>IF(VENTAS[[#This Row],[Nombre del Gestor]]&gt;1,VENTAS[[#This Row],[Total]]*10%,0)</f>
        <v>4</v>
      </c>
      <c r="K1607" s="14">
        <f>IFERROR(VLOOKUP(VENTAS[[#This Row],[Código del producto Vendido]],STOCK[],16,FALSE)*VENTAS[[#This Row],[Cantidad]]+VLOOKUP(VENTAS[[#This Row],[Código del producto Vendido]],STOCK[],19,FALSE)*VENTAS[[#This Row],[Cantidad]],VENTAS[[#This Row],[Total]])</f>
        <v>14.57</v>
      </c>
      <c r="L1607" s="14">
        <f>VENTAS[[#This Row],[Total]]-VENTAS[[#This Row],[Comisión 10%]]-VENTAS[[#This Row],[Costo SIN Comision]]</f>
        <v>21.43</v>
      </c>
      <c r="M1607" s="14"/>
    </row>
    <row r="1608" ht="20" hidden="1" customHeight="1" spans="1:13">
      <c r="A1608" s="10"/>
      <c r="B1608" s="11"/>
      <c r="C1608" s="11"/>
      <c r="D1608" s="11"/>
      <c r="E1608" s="11" t="s">
        <v>2996</v>
      </c>
      <c r="F1608" s="11" t="str">
        <f>IFERROR(VLOOKUP(VENTAS[[#This Row],[Código del producto Vendido]],STOCK[],5,FALSE),"-")</f>
        <v>Camiseta de moda con estampado de cereza</v>
      </c>
      <c r="G1608" s="11">
        <v>1</v>
      </c>
      <c r="H1608" s="14">
        <v>15</v>
      </c>
      <c r="I1608" s="14">
        <f>VENTAS[[#This Row],[Cantidad]]*VENTAS[[#This Row],[Precio Venta]]</f>
        <v>15</v>
      </c>
      <c r="J1608" s="14">
        <f>IF(VENTAS[[#This Row],[Nombre del Gestor]]&gt;1,VENTAS[[#This Row],[Total]]*10%,0)</f>
        <v>0</v>
      </c>
      <c r="K1608" s="14">
        <f>IFERROR(VLOOKUP(VENTAS[[#This Row],[Código del producto Vendido]],STOCK[],16,FALSE)*VENTAS[[#This Row],[Cantidad]]+VLOOKUP(VENTAS[[#This Row],[Código del producto Vendido]],STOCK[],19,FALSE)*VENTAS[[#This Row],[Cantidad]],VENTAS[[#This Row],[Total]])</f>
        <v>5.92</v>
      </c>
      <c r="L1608" s="14">
        <f>VENTAS[[#This Row],[Total]]-VENTAS[[#This Row],[Comisión 10%]]-VENTAS[[#This Row],[Costo SIN Comision]]</f>
        <v>9.08</v>
      </c>
      <c r="M1608" s="14"/>
    </row>
    <row r="1609" ht="20" hidden="1" customHeight="1" spans="1:13">
      <c r="A1609" s="10"/>
      <c r="B1609" s="11"/>
      <c r="C1609" s="11"/>
      <c r="D1609" s="11"/>
      <c r="E1609" s="11" t="s">
        <v>2996</v>
      </c>
      <c r="F1609" s="11" t="str">
        <f>IFERROR(VLOOKUP(VENTAS[[#This Row],[Código del producto Vendido]],STOCK[],5,FALSE),"-")</f>
        <v>Camiseta de moda con estampado de cereza</v>
      </c>
      <c r="G1609" s="11">
        <v>1</v>
      </c>
      <c r="H1609" s="14">
        <v>15</v>
      </c>
      <c r="I1609" s="14">
        <f>VENTAS[[#This Row],[Cantidad]]*VENTAS[[#This Row],[Precio Venta]]</f>
        <v>15</v>
      </c>
      <c r="J1609" s="14">
        <f>IF(VENTAS[[#This Row],[Nombre del Gestor]]&gt;1,VENTAS[[#This Row],[Total]]*10%,0)</f>
        <v>0</v>
      </c>
      <c r="K1609" s="14">
        <f>IFERROR(VLOOKUP(VENTAS[[#This Row],[Código del producto Vendido]],STOCK[],16,FALSE)*VENTAS[[#This Row],[Cantidad]]+VLOOKUP(VENTAS[[#This Row],[Código del producto Vendido]],STOCK[],19,FALSE)*VENTAS[[#This Row],[Cantidad]],VENTAS[[#This Row],[Total]])</f>
        <v>5.92</v>
      </c>
      <c r="L1609" s="14">
        <f>VENTAS[[#This Row],[Total]]-VENTAS[[#This Row],[Comisión 10%]]-VENTAS[[#This Row],[Costo SIN Comision]]</f>
        <v>9.08</v>
      </c>
      <c r="M1609" s="14"/>
    </row>
    <row r="1610" ht="20" hidden="1" customHeight="1" spans="1:13">
      <c r="A1610" s="10"/>
      <c r="B1610" s="11"/>
      <c r="C1610" s="11"/>
      <c r="D1610" s="11" t="s">
        <v>4212</v>
      </c>
      <c r="E1610" s="11" t="s">
        <v>2550</v>
      </c>
      <c r="F1610" s="11" t="str">
        <f>IFERROR(VLOOKUP(VENTAS[[#This Row],[Código del producto Vendido]],STOCK[],5,FALSE),"-")</f>
        <v>Pullover largo unicolor tela traslúcida terracota</v>
      </c>
      <c r="G1610" s="11">
        <v>1</v>
      </c>
      <c r="H1610" s="14">
        <v>10</v>
      </c>
      <c r="I1610" s="14">
        <f>VENTAS[[#This Row],[Cantidad]]*VENTAS[[#This Row],[Precio Venta]]</f>
        <v>10</v>
      </c>
      <c r="J1610" s="14">
        <f>IF(VENTAS[[#This Row],[Nombre del Gestor]]&gt;1,VENTAS[[#This Row],[Total]]*10%,0)</f>
        <v>1</v>
      </c>
      <c r="K1610" s="14">
        <f>IFERROR(VLOOKUP(VENTAS[[#This Row],[Código del producto Vendido]],STOCK[],16,FALSE)*VENTAS[[#This Row],[Cantidad]]+VLOOKUP(VENTAS[[#This Row],[Código del producto Vendido]],STOCK[],19,FALSE)*VENTAS[[#This Row],[Cantidad]],VENTAS[[#This Row],[Total]])</f>
        <v>4.32</v>
      </c>
      <c r="L1610" s="14">
        <f>VENTAS[[#This Row],[Total]]-VENTAS[[#This Row],[Comisión 10%]]-VENTAS[[#This Row],[Costo SIN Comision]]</f>
        <v>4.68</v>
      </c>
      <c r="M1610" s="14"/>
    </row>
    <row r="1611" ht="20" hidden="1" customHeight="1" spans="1:13">
      <c r="A1611" s="10"/>
      <c r="B1611" s="11"/>
      <c r="C1611" s="11"/>
      <c r="D1611" s="11" t="s">
        <v>4212</v>
      </c>
      <c r="E1611" s="11" t="s">
        <v>2553</v>
      </c>
      <c r="F1611" s="11" t="str">
        <f>IFERROR(VLOOKUP(VENTAS[[#This Row],[Código del producto Vendido]],STOCK[],5,FALSE),"-")</f>
        <v>Pullover largo unicolor tela traslúcida beige</v>
      </c>
      <c r="G1611" s="11">
        <v>0</v>
      </c>
      <c r="H1611" s="14">
        <v>10</v>
      </c>
      <c r="I1611" s="14">
        <f>VENTAS[[#This Row],[Cantidad]]*VENTAS[[#This Row],[Precio Venta]]</f>
        <v>0</v>
      </c>
      <c r="J1611" s="14">
        <f>IF(VENTAS[[#This Row],[Nombre del Gestor]]&gt;1,VENTAS[[#This Row],[Total]]*10%,0)</f>
        <v>0</v>
      </c>
      <c r="K1611" s="14">
        <f>IFERROR(VLOOKUP(VENTAS[[#This Row],[Código del producto Vendido]],STOCK[],16,FALSE)*VENTAS[[#This Row],[Cantidad]]+VLOOKUP(VENTAS[[#This Row],[Código del producto Vendido]],STOCK[],19,FALSE)*VENTAS[[#This Row],[Cantidad]],VENTAS[[#This Row],[Total]])</f>
        <v>0</v>
      </c>
      <c r="L1611" s="14">
        <f>VENTAS[[#This Row],[Total]]-VENTAS[[#This Row],[Comisión 10%]]-VENTAS[[#This Row],[Costo SIN Comision]]</f>
        <v>0</v>
      </c>
      <c r="M1611" s="14"/>
    </row>
    <row r="1612" ht="20" hidden="1" customHeight="1" spans="1:13">
      <c r="A1612" s="10"/>
      <c r="B1612" s="11"/>
      <c r="C1612" s="11"/>
      <c r="D1612" s="11"/>
      <c r="E1612" s="11" t="s">
        <v>817</v>
      </c>
      <c r="F1612" s="11" t="str">
        <f>IFERROR(VLOOKUP(VENTAS[[#This Row],[Código del producto Vendido]],STOCK[],5,FALSE),"-")</f>
        <v>Blusa verde menta vuelos</v>
      </c>
      <c r="G1612" s="11">
        <v>0</v>
      </c>
      <c r="H1612" s="14">
        <v>10</v>
      </c>
      <c r="I1612" s="14">
        <f>VENTAS[[#This Row],[Cantidad]]*VENTAS[[#This Row],[Precio Venta]]</f>
        <v>0</v>
      </c>
      <c r="J1612" s="14">
        <f>IF(VENTAS[[#This Row],[Nombre del Gestor]]&gt;1,VENTAS[[#This Row],[Total]]*10%,0)</f>
        <v>0</v>
      </c>
      <c r="K1612" s="14">
        <f>IFERROR(VLOOKUP(VENTAS[[#This Row],[Código del producto Vendido]],STOCK[],16,FALSE)*VENTAS[[#This Row],[Cantidad]]+VLOOKUP(VENTAS[[#This Row],[Código del producto Vendido]],STOCK[],19,FALSE)*VENTAS[[#This Row],[Cantidad]],VENTAS[[#This Row],[Total]])</f>
        <v>0</v>
      </c>
      <c r="L1612" s="14">
        <f>VENTAS[[#This Row],[Total]]-VENTAS[[#This Row],[Comisión 10%]]-VENTAS[[#This Row],[Costo SIN Comision]]</f>
        <v>0</v>
      </c>
      <c r="M1612" s="14"/>
    </row>
    <row r="1613" ht="20" hidden="1" customHeight="1" spans="1:13">
      <c r="A1613" s="10">
        <v>45588</v>
      </c>
      <c r="B1613" s="11"/>
      <c r="C1613" s="11" t="s">
        <v>4491</v>
      </c>
      <c r="D1613" s="11"/>
      <c r="E1613" s="11" t="s">
        <v>3141</v>
      </c>
      <c r="F1613" s="11" t="str">
        <f>IFERROR(VLOOKUP(VENTAS[[#This Row],[Código del producto Vendido]],STOCK[],5,FALSE),"-")</f>
        <v>Suéter oversize de cuello redondo crema con listas finas negras Marca H&amp;M</v>
      </c>
      <c r="G1613" s="11">
        <v>1</v>
      </c>
      <c r="H1613" s="14">
        <v>12</v>
      </c>
      <c r="I1613" s="14">
        <f>VENTAS[[#This Row],[Cantidad]]*VENTAS[[#This Row],[Precio Venta]]</f>
        <v>12</v>
      </c>
      <c r="J1613" s="14">
        <f>IF(VENTAS[[#This Row],[Nombre del Gestor]]&gt;1,VENTAS[[#This Row],[Total]]*10%,0)</f>
        <v>0</v>
      </c>
      <c r="K1613" s="14">
        <f>IFERROR(VLOOKUP(VENTAS[[#This Row],[Código del producto Vendido]],STOCK[],16,FALSE)*VENTAS[[#This Row],[Cantidad]]+VLOOKUP(VENTAS[[#This Row],[Código del producto Vendido]],STOCK[],19,FALSE)*VENTAS[[#This Row],[Cantidad]],VENTAS[[#This Row],[Total]])</f>
        <v>12</v>
      </c>
      <c r="L1613" s="14">
        <f>VENTAS[[#This Row],[Total]]-VENTAS[[#This Row],[Comisión 10%]]-VENTAS[[#This Row],[Costo SIN Comision]]</f>
        <v>0</v>
      </c>
      <c r="M1613" s="14"/>
    </row>
    <row r="1614" ht="20" hidden="1" customHeight="1" spans="1:13">
      <c r="A1614" s="10">
        <v>45588</v>
      </c>
      <c r="B1614" s="11"/>
      <c r="C1614" s="11" t="s">
        <v>4492</v>
      </c>
      <c r="D1614" s="11"/>
      <c r="E1614" s="11" t="s">
        <v>3098</v>
      </c>
      <c r="F1614" s="11" t="str">
        <f>IFERROR(VLOOKUP(VENTAS[[#This Row],[Código del producto Vendido]],STOCK[],5,FALSE),"-")</f>
        <v>Blusa negra con hombreras </v>
      </c>
      <c r="G1614" s="11">
        <v>1</v>
      </c>
      <c r="H1614" s="14">
        <v>8</v>
      </c>
      <c r="I1614" s="14">
        <f>VENTAS[[#This Row],[Cantidad]]*VENTAS[[#This Row],[Precio Venta]]</f>
        <v>8</v>
      </c>
      <c r="J1614" s="14">
        <f>IF(VENTAS[[#This Row],[Nombre del Gestor]]&gt;1,VENTAS[[#This Row],[Total]]*10%,0)</f>
        <v>0</v>
      </c>
      <c r="K1614" s="14">
        <f>IFERROR(VLOOKUP(VENTAS[[#This Row],[Código del producto Vendido]],STOCK[],16,FALSE)*VENTAS[[#This Row],[Cantidad]]+VLOOKUP(VENTAS[[#This Row],[Código del producto Vendido]],STOCK[],19,FALSE)*VENTAS[[#This Row],[Cantidad]],VENTAS[[#This Row],[Total]])</f>
        <v>8</v>
      </c>
      <c r="L1614" s="14">
        <f>VENTAS[[#This Row],[Total]]-VENTAS[[#This Row],[Comisión 10%]]-VENTAS[[#This Row],[Costo SIN Comision]]</f>
        <v>0</v>
      </c>
      <c r="M1614" s="14"/>
    </row>
    <row r="1615" ht="20" hidden="1" customHeight="1" spans="1:13">
      <c r="A1615" s="10">
        <v>45588</v>
      </c>
      <c r="B1615" s="11"/>
      <c r="C1615" s="11" t="s">
        <v>4493</v>
      </c>
      <c r="D1615" s="11"/>
      <c r="E1615" s="11" t="s">
        <v>3160</v>
      </c>
      <c r="F1615" s="11" t="str">
        <f>IFERROR(VLOOKUP(VENTAS[[#This Row],[Código del producto Vendido]],STOCK[],5,FALSE),"-")</f>
        <v>Tanga brasileña color verde de algodón Marca H&amp;M</v>
      </c>
      <c r="G1615" s="11">
        <v>4</v>
      </c>
      <c r="H1615" s="14">
        <v>0.86</v>
      </c>
      <c r="I1615" s="14">
        <f>VENTAS[[#This Row],[Cantidad]]*VENTAS[[#This Row],[Precio Venta]]</f>
        <v>3.44</v>
      </c>
      <c r="J1615" s="14">
        <f>IF(VENTAS[[#This Row],[Nombre del Gestor]]&gt;1,VENTAS[[#This Row],[Total]]*10%,0)</f>
        <v>0</v>
      </c>
      <c r="K1615" s="14">
        <f>IFERROR(VLOOKUP(VENTAS[[#This Row],[Código del producto Vendido]],STOCK[],16,FALSE)*VENTAS[[#This Row],[Cantidad]]+VLOOKUP(VENTAS[[#This Row],[Código del producto Vendido]],STOCK[],19,FALSE)*VENTAS[[#This Row],[Cantidad]],VENTAS[[#This Row],[Total]])</f>
        <v>3.44</v>
      </c>
      <c r="L1615" s="14">
        <f>VENTAS[[#This Row],[Total]]-VENTAS[[#This Row],[Comisión 10%]]-VENTAS[[#This Row],[Costo SIN Comision]]</f>
        <v>0</v>
      </c>
      <c r="M1615" s="14"/>
    </row>
    <row r="1616" ht="20" hidden="1" customHeight="1" spans="1:13">
      <c r="A1616" s="10">
        <v>45588</v>
      </c>
      <c r="B1616" s="11"/>
      <c r="C1616" s="11" t="s">
        <v>4494</v>
      </c>
      <c r="D1616" s="11"/>
      <c r="E1616" s="11" t="s">
        <v>3166</v>
      </c>
      <c r="F1616" s="11" t="str">
        <f>IFERROR(VLOOKUP(VENTAS[[#This Row],[Código del producto Vendido]],STOCK[],5,FALSE),"-")</f>
        <v>Falda negra ajustada a media pierna Marca H&amp;M</v>
      </c>
      <c r="G1616" s="11">
        <v>1</v>
      </c>
      <c r="H1616" s="14">
        <v>6</v>
      </c>
      <c r="I1616" s="14">
        <f>VENTAS[[#This Row],[Cantidad]]*VENTAS[[#This Row],[Precio Venta]]</f>
        <v>6</v>
      </c>
      <c r="J1616" s="14">
        <f>IF(VENTAS[[#This Row],[Nombre del Gestor]]&gt;1,VENTAS[[#This Row],[Total]]*10%,0)</f>
        <v>0</v>
      </c>
      <c r="K1616" s="14">
        <f>IFERROR(VLOOKUP(VENTAS[[#This Row],[Código del producto Vendido]],STOCK[],16,FALSE)*VENTAS[[#This Row],[Cantidad]]+VLOOKUP(VENTAS[[#This Row],[Código del producto Vendido]],STOCK[],19,FALSE)*VENTAS[[#This Row],[Cantidad]],VENTAS[[#This Row],[Total]])</f>
        <v>6</v>
      </c>
      <c r="L1616" s="14">
        <f>VENTAS[[#This Row],[Total]]-VENTAS[[#This Row],[Comisión 10%]]-VENTAS[[#This Row],[Costo SIN Comision]]</f>
        <v>0</v>
      </c>
      <c r="M1616" s="14"/>
    </row>
    <row r="1617" ht="20" hidden="1" customHeight="1" spans="1:13">
      <c r="A1617" s="10">
        <v>45588</v>
      </c>
      <c r="B1617" s="11"/>
      <c r="C1617" s="11" t="s">
        <v>4495</v>
      </c>
      <c r="D1617" s="11"/>
      <c r="E1617" s="11" t="s">
        <v>3170</v>
      </c>
      <c r="F1617" s="11" t="str">
        <f>IFERROR(VLOOKUP(VENTAS[[#This Row],[Código del producto Vendido]],STOCK[],5,FALSE),"-")</f>
        <v>Leggings mallas negros no transparentables Marca H&amp;M</v>
      </c>
      <c r="G1617" s="11">
        <v>1</v>
      </c>
      <c r="H1617" s="14">
        <v>5</v>
      </c>
      <c r="I1617" s="14">
        <f>VENTAS[[#This Row],[Cantidad]]*VENTAS[[#This Row],[Precio Venta]]</f>
        <v>5</v>
      </c>
      <c r="J1617" s="14">
        <f>IF(VENTAS[[#This Row],[Nombre del Gestor]]&gt;1,VENTAS[[#This Row],[Total]]*10%,0)</f>
        <v>0</v>
      </c>
      <c r="K1617" s="14">
        <f>IFERROR(VLOOKUP(VENTAS[[#This Row],[Código del producto Vendido]],STOCK[],16,FALSE)*VENTAS[[#This Row],[Cantidad]]+VLOOKUP(VENTAS[[#This Row],[Código del producto Vendido]],STOCK[],19,FALSE)*VENTAS[[#This Row],[Cantidad]],VENTAS[[#This Row],[Total]])</f>
        <v>5</v>
      </c>
      <c r="L1617" s="14">
        <f>VENTAS[[#This Row],[Total]]-VENTAS[[#This Row],[Comisión 10%]]-VENTAS[[#This Row],[Costo SIN Comision]]</f>
        <v>0</v>
      </c>
      <c r="M1617" s="14"/>
    </row>
    <row r="1618" ht="20" hidden="1" customHeight="1" spans="1:13">
      <c r="A1618" s="10">
        <v>45588</v>
      </c>
      <c r="B1618" s="11"/>
      <c r="C1618" s="11" t="s">
        <v>4496</v>
      </c>
      <c r="D1618" s="11"/>
      <c r="E1618" s="11" t="s">
        <v>3178</v>
      </c>
      <c r="F1618" s="11" t="str">
        <f>IFERROR(VLOOKUP(VENTAS[[#This Row],[Código del producto Vendido]],STOCK[],5,FALSE),"-")</f>
        <v>Pullover deportivo verde </v>
      </c>
      <c r="G1618" s="11">
        <v>1</v>
      </c>
      <c r="H1618" s="14">
        <v>10</v>
      </c>
      <c r="I1618" s="14">
        <f>VENTAS[[#This Row],[Cantidad]]*VENTAS[[#This Row],[Precio Venta]]</f>
        <v>10</v>
      </c>
      <c r="J1618" s="14">
        <f>IF(VENTAS[[#This Row],[Nombre del Gestor]]&gt;1,VENTAS[[#This Row],[Total]]*10%,0)</f>
        <v>0</v>
      </c>
      <c r="K1618" s="14">
        <f>IFERROR(VLOOKUP(VENTAS[[#This Row],[Código del producto Vendido]],STOCK[],16,FALSE)*VENTAS[[#This Row],[Cantidad]]+VLOOKUP(VENTAS[[#This Row],[Código del producto Vendido]],STOCK[],19,FALSE)*VENTAS[[#This Row],[Cantidad]],VENTAS[[#This Row],[Total]])</f>
        <v>10</v>
      </c>
      <c r="L1618" s="14">
        <f>VENTAS[[#This Row],[Total]]-VENTAS[[#This Row],[Comisión 10%]]-VENTAS[[#This Row],[Costo SIN Comision]]</f>
        <v>0</v>
      </c>
      <c r="M1618" s="14"/>
    </row>
    <row r="1619" ht="20" hidden="1" customHeight="1" spans="1:13">
      <c r="A1619" s="10">
        <v>45588</v>
      </c>
      <c r="B1619" s="11"/>
      <c r="C1619" s="11" t="s">
        <v>4497</v>
      </c>
      <c r="D1619" s="11"/>
      <c r="E1619" s="11" t="s">
        <v>3225</v>
      </c>
      <c r="F1619" s="11" t="str">
        <f>IFERROR(VLOOKUP(VENTAS[[#This Row],[Código del producto Vendido]],STOCK[],5,FALSE),"-")</f>
        <v>Enguatada gris jaspeado oscuro Marca H&amp;M</v>
      </c>
      <c r="G1619" s="11">
        <v>1</v>
      </c>
      <c r="H1619" s="14">
        <v>12</v>
      </c>
      <c r="I1619" s="14">
        <f>VENTAS[[#This Row],[Cantidad]]*VENTAS[[#This Row],[Precio Venta]]</f>
        <v>12</v>
      </c>
      <c r="J1619" s="14">
        <f>IF(VENTAS[[#This Row],[Nombre del Gestor]]&gt;1,VENTAS[[#This Row],[Total]]*10%,0)</f>
        <v>0</v>
      </c>
      <c r="K1619" s="14">
        <f>IFERROR(VLOOKUP(VENTAS[[#This Row],[Código del producto Vendido]],STOCK[],16,FALSE)*VENTAS[[#This Row],[Cantidad]]+VLOOKUP(VENTAS[[#This Row],[Código del producto Vendido]],STOCK[],19,FALSE)*VENTAS[[#This Row],[Cantidad]],VENTAS[[#This Row],[Total]])</f>
        <v>12</v>
      </c>
      <c r="L1619" s="14">
        <f>VENTAS[[#This Row],[Total]]-VENTAS[[#This Row],[Comisión 10%]]-VENTAS[[#This Row],[Costo SIN Comision]]</f>
        <v>0</v>
      </c>
      <c r="M1619" s="14"/>
    </row>
    <row r="1620" ht="20" hidden="1" customHeight="1" spans="1:13">
      <c r="A1620" s="10">
        <v>45588</v>
      </c>
      <c r="B1620" s="11"/>
      <c r="C1620" s="11" t="s">
        <v>4498</v>
      </c>
      <c r="D1620" s="11"/>
      <c r="E1620" s="11" t="s">
        <v>3230</v>
      </c>
      <c r="F1620" s="11" t="str">
        <f>IFERROR(VLOOKUP(VENTAS[[#This Row],[Código del producto Vendido]],STOCK[],5,FALSE),"-")</f>
        <v>Niños abrigos   </v>
      </c>
      <c r="G1620" s="11">
        <v>2</v>
      </c>
      <c r="H1620" s="14">
        <v>8</v>
      </c>
      <c r="I1620" s="14">
        <f>VENTAS[[#This Row],[Cantidad]]*VENTAS[[#This Row],[Precio Venta]]</f>
        <v>16</v>
      </c>
      <c r="J1620" s="14">
        <f>IF(VENTAS[[#This Row],[Nombre del Gestor]]&gt;1,VENTAS[[#This Row],[Total]]*10%,0)</f>
        <v>0</v>
      </c>
      <c r="K1620" s="14">
        <f>IFERROR(VLOOKUP(VENTAS[[#This Row],[Código del producto Vendido]],STOCK[],16,FALSE)*VENTAS[[#This Row],[Cantidad]]+VLOOKUP(VENTAS[[#This Row],[Código del producto Vendido]],STOCK[],19,FALSE)*VENTAS[[#This Row],[Cantidad]],VENTAS[[#This Row],[Total]])</f>
        <v>16</v>
      </c>
      <c r="L1620" s="14">
        <f>VENTAS[[#This Row],[Total]]-VENTAS[[#This Row],[Comisión 10%]]-VENTAS[[#This Row],[Costo SIN Comision]]</f>
        <v>0</v>
      </c>
      <c r="M1620" s="14"/>
    </row>
    <row r="1621" ht="20" hidden="1" customHeight="1" spans="1:13">
      <c r="A1621" s="10">
        <v>45588</v>
      </c>
      <c r="B1621" s="11"/>
      <c r="C1621" s="11" t="s">
        <v>4499</v>
      </c>
      <c r="D1621" s="11"/>
      <c r="E1621" s="11" t="s">
        <v>3233</v>
      </c>
      <c r="F1621" s="11" t="str">
        <f>IFERROR(VLOOKUP(VENTAS[[#This Row],[Código del producto Vendido]],STOCK[],5,FALSE),"-")</f>
        <v>Jogger negro de estilo cargo Marca H&amp;M</v>
      </c>
      <c r="G1621" s="11">
        <v>1</v>
      </c>
      <c r="H1621" s="14">
        <v>12</v>
      </c>
      <c r="I1621" s="14">
        <f>VENTAS[[#This Row],[Cantidad]]*VENTAS[[#This Row],[Precio Venta]]</f>
        <v>12</v>
      </c>
      <c r="J1621" s="14">
        <f>IF(VENTAS[[#This Row],[Nombre del Gestor]]&gt;1,VENTAS[[#This Row],[Total]]*10%,0)</f>
        <v>0</v>
      </c>
      <c r="K1621" s="14">
        <f>IFERROR(VLOOKUP(VENTAS[[#This Row],[Código del producto Vendido]],STOCK[],16,FALSE)*VENTAS[[#This Row],[Cantidad]]+VLOOKUP(VENTAS[[#This Row],[Código del producto Vendido]],STOCK[],19,FALSE)*VENTAS[[#This Row],[Cantidad]],VENTAS[[#This Row],[Total]])</f>
        <v>12</v>
      </c>
      <c r="L1621" s="14">
        <f>VENTAS[[#This Row],[Total]]-VENTAS[[#This Row],[Comisión 10%]]-VENTAS[[#This Row],[Costo SIN Comision]]</f>
        <v>0</v>
      </c>
      <c r="M1621" s="14"/>
    </row>
    <row r="1622" ht="20" hidden="1" customHeight="1" spans="1:13">
      <c r="A1622" s="10">
        <v>45588</v>
      </c>
      <c r="B1622" s="11"/>
      <c r="C1622" s="11"/>
      <c r="D1622" s="11" t="s">
        <v>4266</v>
      </c>
      <c r="E1622" s="11" t="s">
        <v>3244</v>
      </c>
      <c r="F1622" s="11" t="str">
        <f>IFERROR(VLOOKUP(VENTAS[[#This Row],[Código del producto Vendido]],STOCK[],5,FALSE),"-")</f>
        <v>Jogger gris jaspeado con bolsillos discretos Marca H&amp;M</v>
      </c>
      <c r="G1622" s="11">
        <v>1</v>
      </c>
      <c r="H1622" s="14">
        <v>12</v>
      </c>
      <c r="I1622" s="14">
        <f>VENTAS[[#This Row],[Cantidad]]*VENTAS[[#This Row],[Precio Venta]]</f>
        <v>12</v>
      </c>
      <c r="J1622" s="14">
        <f>IF(VENTAS[[#This Row],[Nombre del Gestor]]&gt;1,VENTAS[[#This Row],[Total]]*10%,0)</f>
        <v>1.2</v>
      </c>
      <c r="K1622" s="14">
        <f>IFERROR(VLOOKUP(VENTAS[[#This Row],[Código del producto Vendido]],STOCK[],16,FALSE)*VENTAS[[#This Row],[Cantidad]]+VLOOKUP(VENTAS[[#This Row],[Código del producto Vendido]],STOCK[],19,FALSE)*VENTAS[[#This Row],[Cantidad]],VENTAS[[#This Row],[Total]])</f>
        <v>12</v>
      </c>
      <c r="L1622" s="14">
        <f>VENTAS[[#This Row],[Total]]-VENTAS[[#This Row],[Comisión 10%]]-VENTAS[[#This Row],[Costo SIN Comision]]</f>
        <v>-1.2</v>
      </c>
      <c r="M1622" s="14"/>
    </row>
    <row r="1623" ht="20" hidden="1" customHeight="1" spans="1:13">
      <c r="A1623" s="10">
        <v>45588</v>
      </c>
      <c r="B1623" s="11"/>
      <c r="C1623" s="11" t="s">
        <v>4500</v>
      </c>
      <c r="D1623" s="11"/>
      <c r="E1623" s="11" t="s">
        <v>3246</v>
      </c>
      <c r="F1623" s="11" t="str">
        <f>IFERROR(VLOOKUP(VENTAS[[#This Row],[Código del producto Vendido]],STOCK[],5,FALSE),"-")</f>
        <v>Ajustadores Bralette de encaje Blanco Marca H&amp;M</v>
      </c>
      <c r="G1623" s="11">
        <v>1</v>
      </c>
      <c r="H1623" s="14">
        <v>3</v>
      </c>
      <c r="I1623" s="14">
        <f>VENTAS[[#This Row],[Cantidad]]*VENTAS[[#This Row],[Precio Venta]]</f>
        <v>3</v>
      </c>
      <c r="J1623" s="14">
        <f>IF(VENTAS[[#This Row],[Nombre del Gestor]]&gt;1,VENTAS[[#This Row],[Total]]*10%,0)</f>
        <v>0</v>
      </c>
      <c r="K1623" s="14">
        <f>IFERROR(VLOOKUP(VENTAS[[#This Row],[Código del producto Vendido]],STOCK[],16,FALSE)*VENTAS[[#This Row],[Cantidad]]+VLOOKUP(VENTAS[[#This Row],[Código del producto Vendido]],STOCK[],19,FALSE)*VENTAS[[#This Row],[Cantidad]],VENTAS[[#This Row],[Total]])</f>
        <v>3</v>
      </c>
      <c r="L1623" s="14">
        <f>VENTAS[[#This Row],[Total]]-VENTAS[[#This Row],[Comisión 10%]]-VENTAS[[#This Row],[Costo SIN Comision]]</f>
        <v>0</v>
      </c>
      <c r="M1623" s="14"/>
    </row>
    <row r="1624" ht="20" hidden="1" customHeight="1" spans="1:13">
      <c r="A1624" s="10">
        <v>45588</v>
      </c>
      <c r="B1624" s="11"/>
      <c r="C1624" s="11" t="s">
        <v>4501</v>
      </c>
      <c r="D1624" s="11"/>
      <c r="E1624" s="11" t="s">
        <v>3249</v>
      </c>
      <c r="F1624" s="11" t="str">
        <f>IFERROR(VLOOKUP(VENTAS[[#This Row],[Código del producto Vendido]],STOCK[],5,FALSE),"-")</f>
        <v>Ajustadores Bralette de encaje Negro Marca H&amp;M</v>
      </c>
      <c r="G1624" s="11">
        <v>1</v>
      </c>
      <c r="H1624" s="14">
        <v>3</v>
      </c>
      <c r="I1624" s="14">
        <f>VENTAS[[#This Row],[Cantidad]]*VENTAS[[#This Row],[Precio Venta]]</f>
        <v>3</v>
      </c>
      <c r="J1624" s="14">
        <f>IF(VENTAS[[#This Row],[Nombre del Gestor]]&gt;1,VENTAS[[#This Row],[Total]]*10%,0)</f>
        <v>0</v>
      </c>
      <c r="K1624" s="14">
        <f>IFERROR(VLOOKUP(VENTAS[[#This Row],[Código del producto Vendido]],STOCK[],16,FALSE)*VENTAS[[#This Row],[Cantidad]]+VLOOKUP(VENTAS[[#This Row],[Código del producto Vendido]],STOCK[],19,FALSE)*VENTAS[[#This Row],[Cantidad]],VENTAS[[#This Row],[Total]])</f>
        <v>3</v>
      </c>
      <c r="L1624" s="14">
        <f>VENTAS[[#This Row],[Total]]-VENTAS[[#This Row],[Comisión 10%]]-VENTAS[[#This Row],[Costo SIN Comision]]</f>
        <v>0</v>
      </c>
      <c r="M1624" s="14"/>
    </row>
    <row r="1625" ht="20" hidden="1" customHeight="1" spans="1:13">
      <c r="A1625" s="10">
        <v>45588</v>
      </c>
      <c r="B1625" s="11"/>
      <c r="C1625" s="11" t="s">
        <v>4502</v>
      </c>
      <c r="D1625" s="11"/>
      <c r="E1625" s="11" t="s">
        <v>3256</v>
      </c>
      <c r="F1625" s="11" t="str">
        <f>IFERROR(VLOOKUP(VENTAS[[#This Row],[Código del producto Vendido]],STOCK[],5,FALSE),"-")</f>
        <v>Calcetines bajos de algodón color beich</v>
      </c>
      <c r="G1625" s="11">
        <v>2</v>
      </c>
      <c r="H1625" s="14">
        <v>0.86</v>
      </c>
      <c r="I1625" s="14">
        <f>VENTAS[[#This Row],[Cantidad]]*VENTAS[[#This Row],[Precio Venta]]</f>
        <v>1.72</v>
      </c>
      <c r="J1625" s="14">
        <f>IF(VENTAS[[#This Row],[Nombre del Gestor]]&gt;1,VENTAS[[#This Row],[Total]]*10%,0)</f>
        <v>0</v>
      </c>
      <c r="K1625" s="14">
        <f>IFERROR(VLOOKUP(VENTAS[[#This Row],[Código del producto Vendido]],STOCK[],16,FALSE)*VENTAS[[#This Row],[Cantidad]]+VLOOKUP(VENTAS[[#This Row],[Código del producto Vendido]],STOCK[],19,FALSE)*VENTAS[[#This Row],[Cantidad]],VENTAS[[#This Row],[Total]])</f>
        <v>1.72</v>
      </c>
      <c r="L1625" s="14">
        <f>VENTAS[[#This Row],[Total]]-VENTAS[[#This Row],[Comisión 10%]]-VENTAS[[#This Row],[Costo SIN Comision]]</f>
        <v>0</v>
      </c>
      <c r="M1625" s="14"/>
    </row>
    <row r="1626" ht="20" hidden="1" customHeight="1" spans="1:13">
      <c r="A1626" s="10">
        <v>45588</v>
      </c>
      <c r="B1626" s="11"/>
      <c r="C1626" s="11" t="s">
        <v>4503</v>
      </c>
      <c r="D1626" s="11"/>
      <c r="E1626" s="11" t="s">
        <v>3259</v>
      </c>
      <c r="F1626" s="11" t="str">
        <f>IFERROR(VLOOKUP(VENTAS[[#This Row],[Código del producto Vendido]],STOCK[],5,FALSE),"-")</f>
        <v>Calcetines bajos de algodón color blanco</v>
      </c>
      <c r="G1626" s="11">
        <v>1</v>
      </c>
      <c r="H1626" s="14">
        <v>0.86</v>
      </c>
      <c r="I1626" s="14">
        <f>VENTAS[[#This Row],[Cantidad]]*VENTAS[[#This Row],[Precio Venta]]</f>
        <v>0.86</v>
      </c>
      <c r="J1626" s="14">
        <f>IF(VENTAS[[#This Row],[Nombre del Gestor]]&gt;1,VENTAS[[#This Row],[Total]]*10%,0)</f>
        <v>0</v>
      </c>
      <c r="K1626" s="14">
        <f>IFERROR(VLOOKUP(VENTAS[[#This Row],[Código del producto Vendido]],STOCK[],16,FALSE)*VENTAS[[#This Row],[Cantidad]]+VLOOKUP(VENTAS[[#This Row],[Código del producto Vendido]],STOCK[],19,FALSE)*VENTAS[[#This Row],[Cantidad]],VENTAS[[#This Row],[Total]])</f>
        <v>0.86</v>
      </c>
      <c r="L1626" s="14">
        <f>VENTAS[[#This Row],[Total]]-VENTAS[[#This Row],[Comisión 10%]]-VENTAS[[#This Row],[Costo SIN Comision]]</f>
        <v>0</v>
      </c>
      <c r="M1626" s="14"/>
    </row>
    <row r="1627" ht="20" hidden="1" customHeight="1" spans="1:13">
      <c r="A1627" s="10">
        <v>45588</v>
      </c>
      <c r="B1627" s="11"/>
      <c r="C1627" s="11" t="s">
        <v>4504</v>
      </c>
      <c r="D1627" s="11"/>
      <c r="E1627" s="11"/>
      <c r="F1627" s="11" t="str">
        <f>IFERROR(VLOOKUP(VENTAS[[#This Row],[Código del producto Vendido]],STOCK[],5,FALSE),"-")</f>
        <v>-</v>
      </c>
      <c r="G1627" s="11"/>
      <c r="H1627" s="14">
        <v>0</v>
      </c>
      <c r="I1627" s="14">
        <f>VENTAS[[#This Row],[Cantidad]]*VENTAS[[#This Row],[Precio Venta]]</f>
        <v>0</v>
      </c>
      <c r="J1627" s="14">
        <f>IF(VENTAS[[#This Row],[Nombre del Gestor]]&gt;1,VENTAS[[#This Row],[Total]]*10%,0)</f>
        <v>0</v>
      </c>
      <c r="K1627" s="14">
        <f>IFERROR(VLOOKUP(VENTAS[[#This Row],[Código del producto Vendido]],STOCK[],16,FALSE)*VENTAS[[#This Row],[Cantidad]]+VLOOKUP(VENTAS[[#This Row],[Código del producto Vendido]],STOCK[],19,FALSE)*VENTAS[[#This Row],[Cantidad]],VENTAS[[#This Row],[Total]])</f>
        <v>0</v>
      </c>
      <c r="L1627" s="14">
        <f>VENTAS[[#This Row],[Total]]-VENTAS[[#This Row],[Comisión 10%]]-VENTAS[[#This Row],[Costo SIN Comision]]</f>
        <v>0</v>
      </c>
      <c r="M1627" s="14"/>
    </row>
    <row r="1628" ht="20" hidden="1" customHeight="1" spans="1:13">
      <c r="A1628" s="10">
        <v>45588</v>
      </c>
      <c r="B1628" s="11"/>
      <c r="C1628" s="11"/>
      <c r="D1628" s="11"/>
      <c r="E1628" s="11" t="s">
        <v>2831</v>
      </c>
      <c r="F1628" s="11" t="str">
        <f>IFERROR(VLOOKUP(VENTAS[[#This Row],[Código del producto Vendido]],STOCK[],5,FALSE),"-")</f>
        <v>Traje de baño en bloque de color </v>
      </c>
      <c r="G1628" s="11">
        <v>1</v>
      </c>
      <c r="H1628" s="14">
        <v>25</v>
      </c>
      <c r="I1628" s="14">
        <f>VENTAS[[#This Row],[Cantidad]]*VENTAS[[#This Row],[Precio Venta]]</f>
        <v>25</v>
      </c>
      <c r="J1628" s="14">
        <f>IF(VENTAS[[#This Row],[Nombre del Gestor]]&gt;1,VENTAS[[#This Row],[Total]]*10%,0)</f>
        <v>0</v>
      </c>
      <c r="K1628" s="14">
        <f>IFERROR(VLOOKUP(VENTAS[[#This Row],[Código del producto Vendido]],STOCK[],16,FALSE)*VENTAS[[#This Row],[Cantidad]]+VLOOKUP(VENTAS[[#This Row],[Código del producto Vendido]],STOCK[],19,FALSE)*VENTAS[[#This Row],[Cantidad]],VENTAS[[#This Row],[Total]])</f>
        <v>11.94</v>
      </c>
      <c r="L1628" s="14">
        <f>VENTAS[[#This Row],[Total]]-VENTAS[[#This Row],[Comisión 10%]]-VENTAS[[#This Row],[Costo SIN Comision]]</f>
        <v>13.06</v>
      </c>
      <c r="M1628" s="14"/>
    </row>
    <row r="1629" ht="20" hidden="1" customHeight="1" spans="1:13">
      <c r="A1629" s="10"/>
      <c r="B1629" s="11"/>
      <c r="C1629" s="11"/>
      <c r="D1629" s="11" t="s">
        <v>4403</v>
      </c>
      <c r="E1629" s="11" t="s">
        <v>2825</v>
      </c>
      <c r="F1629" s="11" t="str">
        <f>IFERROR(VLOOKUP(VENTAS[[#This Row],[Código del producto Vendido]],STOCK[],5,FALSE),"-")</f>
        <v>Bolso tejido redondo de gran capacidad Beis</v>
      </c>
      <c r="G1629" s="11">
        <v>1</v>
      </c>
      <c r="H1629" s="14">
        <v>25</v>
      </c>
      <c r="I1629" s="14">
        <f>VENTAS[[#This Row],[Cantidad]]*VENTAS[[#This Row],[Precio Venta]]</f>
        <v>25</v>
      </c>
      <c r="J1629" s="14">
        <f>IF(VENTAS[[#This Row],[Nombre del Gestor]]&gt;1,VENTAS[[#This Row],[Total]]*10%,0)</f>
        <v>2.5</v>
      </c>
      <c r="K1629" s="14">
        <f>IFERROR(VLOOKUP(VENTAS[[#This Row],[Código del producto Vendido]],STOCK[],16,FALSE)*VENTAS[[#This Row],[Cantidad]]+VLOOKUP(VENTAS[[#This Row],[Código del producto Vendido]],STOCK[],19,FALSE)*VENTAS[[#This Row],[Cantidad]],VENTAS[[#This Row],[Total]])</f>
        <v>12.74</v>
      </c>
      <c r="L1629" s="14">
        <f>VENTAS[[#This Row],[Total]]-VENTAS[[#This Row],[Comisión 10%]]-VENTAS[[#This Row],[Costo SIN Comision]]</f>
        <v>9.76</v>
      </c>
      <c r="M1629" s="14"/>
    </row>
    <row r="1630" ht="20" hidden="1" customHeight="1" spans="1:13">
      <c r="A1630" s="10"/>
      <c r="B1630" s="11"/>
      <c r="C1630" s="11"/>
      <c r="D1630" s="11" t="s">
        <v>4403</v>
      </c>
      <c r="E1630" s="11" t="s">
        <v>2813</v>
      </c>
      <c r="F1630" s="11" t="str">
        <f>IFERROR(VLOOKUP(VENTAS[[#This Row],[Código del producto Vendido]],STOCK[],5,FALSE),"-")</f>
        <v>Bolso elegante de estilo sillín</v>
      </c>
      <c r="G1630" s="11">
        <v>1</v>
      </c>
      <c r="H1630" s="14">
        <v>22</v>
      </c>
      <c r="I1630" s="14">
        <f>VENTAS[[#This Row],[Cantidad]]*VENTAS[[#This Row],[Precio Venta]]</f>
        <v>22</v>
      </c>
      <c r="J1630" s="14">
        <f>IF(VENTAS[[#This Row],[Nombre del Gestor]]&gt;1,VENTAS[[#This Row],[Total]]*10%,0)</f>
        <v>2.2</v>
      </c>
      <c r="K1630" s="14">
        <f>IFERROR(VLOOKUP(VENTAS[[#This Row],[Código del producto Vendido]],STOCK[],16,FALSE)*VENTAS[[#This Row],[Cantidad]]+VLOOKUP(VENTAS[[#This Row],[Código del producto Vendido]],STOCK[],19,FALSE)*VENTAS[[#This Row],[Cantidad]],VENTAS[[#This Row],[Total]])</f>
        <v>10.28</v>
      </c>
      <c r="L1630" s="14">
        <f>VENTAS[[#This Row],[Total]]-VENTAS[[#This Row],[Comisión 10%]]-VENTAS[[#This Row],[Costo SIN Comision]]</f>
        <v>9.52</v>
      </c>
      <c r="M1630" s="14"/>
    </row>
    <row r="1631" ht="20" hidden="1" customHeight="1" spans="1:13">
      <c r="A1631" s="10"/>
      <c r="B1631" s="11"/>
      <c r="C1631" s="11"/>
      <c r="D1631" s="11" t="s">
        <v>4272</v>
      </c>
      <c r="E1631" s="11" t="s">
        <v>2776</v>
      </c>
      <c r="F1631" s="11" t="str">
        <f>IFERROR(VLOOKUP(VENTAS[[#This Row],[Código del producto Vendido]],STOCK[],5,FALSE),"-")</f>
        <v>Sandalias espadriles de saco nude atada al tobillo</v>
      </c>
      <c r="G1631" s="11">
        <v>0</v>
      </c>
      <c r="H1631" s="14">
        <v>35</v>
      </c>
      <c r="I1631" s="14">
        <f>VENTAS[[#This Row],[Cantidad]]*VENTAS[[#This Row],[Precio Venta]]</f>
        <v>0</v>
      </c>
      <c r="J1631" s="14">
        <f>IF(VENTAS[[#This Row],[Nombre del Gestor]]&gt;1,VENTAS[[#This Row],[Total]]*10%,0)</f>
        <v>0</v>
      </c>
      <c r="K1631" s="14">
        <f>IFERROR(VLOOKUP(VENTAS[[#This Row],[Código del producto Vendido]],STOCK[],16,FALSE)*VENTAS[[#This Row],[Cantidad]]+VLOOKUP(VENTAS[[#This Row],[Código del producto Vendido]],STOCK[],19,FALSE)*VENTAS[[#This Row],[Cantidad]],VENTAS[[#This Row],[Total]])</f>
        <v>0</v>
      </c>
      <c r="L1631" s="14">
        <f>VENTAS[[#This Row],[Total]]-VENTAS[[#This Row],[Comisión 10%]]-VENTAS[[#This Row],[Costo SIN Comision]]</f>
        <v>0</v>
      </c>
      <c r="M1631" s="14"/>
    </row>
    <row r="1632" ht="20" hidden="1" customHeight="1" spans="1:13">
      <c r="A1632" s="10"/>
      <c r="B1632" s="11"/>
      <c r="C1632" s="11" t="s">
        <v>4298</v>
      </c>
      <c r="D1632" s="11"/>
      <c r="E1632" s="11"/>
      <c r="F1632" s="11" t="str">
        <f>IFERROR(VLOOKUP(VENTAS[[#This Row],[Código del producto Vendido]],STOCK[],5,FALSE),"-")</f>
        <v>-</v>
      </c>
      <c r="G1632" s="11"/>
      <c r="H1632" s="14">
        <v>15</v>
      </c>
      <c r="I1632" s="14">
        <f>VENTAS[[#This Row],[Cantidad]]*VENTAS[[#This Row],[Precio Venta]]</f>
        <v>0</v>
      </c>
      <c r="J1632" s="14">
        <f>IF(VENTAS[[#This Row],[Nombre del Gestor]]&gt;1,VENTAS[[#This Row],[Total]]*10%,0)</f>
        <v>0</v>
      </c>
      <c r="K1632" s="14">
        <f>IFERROR(VLOOKUP(VENTAS[[#This Row],[Código del producto Vendido]],STOCK[],16,FALSE)*VENTAS[[#This Row],[Cantidad]]+VLOOKUP(VENTAS[[#This Row],[Código del producto Vendido]],STOCK[],19,FALSE)*VENTAS[[#This Row],[Cantidad]],VENTAS[[#This Row],[Total]])</f>
        <v>0</v>
      </c>
      <c r="L1632" s="14">
        <f>VENTAS[[#This Row],[Total]]-VENTAS[[#This Row],[Comisión 10%]]-VENTAS[[#This Row],[Costo SIN Comision]]</f>
        <v>0</v>
      </c>
      <c r="M1632" s="14"/>
    </row>
    <row r="1633" ht="20" hidden="1" customHeight="1" spans="1:13">
      <c r="A1633" s="10"/>
      <c r="B1633" s="11"/>
      <c r="C1633" s="11"/>
      <c r="D1633" s="11"/>
      <c r="E1633" s="11" t="s">
        <v>2825</v>
      </c>
      <c r="F1633" s="11" t="str">
        <f>IFERROR(VLOOKUP(VENTAS[[#This Row],[Código del producto Vendido]],STOCK[],5,FALSE),"-")</f>
        <v>Bolso tejido redondo de gran capacidad Beis</v>
      </c>
      <c r="G1633" s="11">
        <v>1</v>
      </c>
      <c r="H1633" s="14">
        <v>25</v>
      </c>
      <c r="I1633" s="14">
        <f>VENTAS[[#This Row],[Cantidad]]*VENTAS[[#This Row],[Precio Venta]]</f>
        <v>25</v>
      </c>
      <c r="J1633" s="14">
        <f>IF(VENTAS[[#This Row],[Nombre del Gestor]]&gt;1,VENTAS[[#This Row],[Total]]*10%,0)</f>
        <v>0</v>
      </c>
      <c r="K1633" s="14">
        <f>IFERROR(VLOOKUP(VENTAS[[#This Row],[Código del producto Vendido]],STOCK[],16,FALSE)*VENTAS[[#This Row],[Cantidad]]+VLOOKUP(VENTAS[[#This Row],[Código del producto Vendido]],STOCK[],19,FALSE)*VENTAS[[#This Row],[Cantidad]],VENTAS[[#This Row],[Total]])</f>
        <v>12.74</v>
      </c>
      <c r="L1633" s="14">
        <f>VENTAS[[#This Row],[Total]]-VENTAS[[#This Row],[Comisión 10%]]-VENTAS[[#This Row],[Costo SIN Comision]]</f>
        <v>12.26</v>
      </c>
      <c r="M1633" s="14"/>
    </row>
    <row r="1634" ht="20" hidden="1" customHeight="1" spans="1:13">
      <c r="A1634" s="10"/>
      <c r="B1634" s="11"/>
      <c r="C1634" s="11"/>
      <c r="D1634" s="11" t="s">
        <v>4424</v>
      </c>
      <c r="E1634" s="11" t="s">
        <v>1285</v>
      </c>
      <c r="F1634" s="11" t="str">
        <f>IFERROR(VLOOKUP(VENTAS[[#This Row],[Código del producto Vendido]],STOCK[],5,FALSE),"-")</f>
        <v>Pantalón de corte recto</v>
      </c>
      <c r="G1634" s="11">
        <v>1</v>
      </c>
      <c r="H1634" s="14">
        <v>28</v>
      </c>
      <c r="I1634" s="14">
        <f>VENTAS[[#This Row],[Cantidad]]*VENTAS[[#This Row],[Precio Venta]]</f>
        <v>28</v>
      </c>
      <c r="J1634" s="14">
        <f>IF(VENTAS[[#This Row],[Nombre del Gestor]]&gt;1,VENTAS[[#This Row],[Total]]*10%,0)</f>
        <v>2.8</v>
      </c>
      <c r="K1634" s="14">
        <f>IFERROR(VLOOKUP(VENTAS[[#This Row],[Código del producto Vendido]],STOCK[],16,FALSE)*VENTAS[[#This Row],[Cantidad]]+VLOOKUP(VENTAS[[#This Row],[Código del producto Vendido]],STOCK[],19,FALSE)*VENTAS[[#This Row],[Cantidad]],VENTAS[[#This Row],[Total]])</f>
        <v>20.78</v>
      </c>
      <c r="L1634" s="14">
        <f>VENTAS[[#This Row],[Total]]-VENTAS[[#This Row],[Comisión 10%]]-VENTAS[[#This Row],[Costo SIN Comision]]</f>
        <v>4.42</v>
      </c>
      <c r="M1634" s="14"/>
    </row>
    <row r="1635" ht="20" hidden="1" customHeight="1" spans="1:13">
      <c r="A1635" s="10"/>
      <c r="B1635" s="11"/>
      <c r="C1635" s="11"/>
      <c r="D1635" s="11"/>
      <c r="E1635" s="11" t="s">
        <v>2021</v>
      </c>
      <c r="F1635" s="11" t="str">
        <f>IFERROR(VLOOKUP(VENTAS[[#This Row],[Código del producto Vendido]],STOCK[],5,FALSE),"-")</f>
        <v>Jogger afelpado de talle alto </v>
      </c>
      <c r="G1635" s="11">
        <v>0</v>
      </c>
      <c r="H1635" s="14">
        <v>22</v>
      </c>
      <c r="I1635" s="14">
        <f>VENTAS[[#This Row],[Cantidad]]*VENTAS[[#This Row],[Precio Venta]]</f>
        <v>0</v>
      </c>
      <c r="J1635" s="14">
        <f>IF(VENTAS[[#This Row],[Nombre del Gestor]]&gt;1,VENTAS[[#This Row],[Total]]*10%,0)</f>
        <v>0</v>
      </c>
      <c r="K1635" s="14">
        <f>IFERROR(VLOOKUP(VENTAS[[#This Row],[Código del producto Vendido]],STOCK[],16,FALSE)*VENTAS[[#This Row],[Cantidad]]+VLOOKUP(VENTAS[[#This Row],[Código del producto Vendido]],STOCK[],19,FALSE)*VENTAS[[#This Row],[Cantidad]],VENTAS[[#This Row],[Total]])</f>
        <v>0</v>
      </c>
      <c r="L1635" s="14">
        <f>VENTAS[[#This Row],[Total]]-VENTAS[[#This Row],[Comisión 10%]]-VENTAS[[#This Row],[Costo SIN Comision]]</f>
        <v>0</v>
      </c>
      <c r="M1635" s="14"/>
    </row>
    <row r="1636" ht="20" hidden="1" customHeight="1" spans="1:13">
      <c r="A1636" s="10"/>
      <c r="B1636" s="11"/>
      <c r="C1636" s="11" t="s">
        <v>4505</v>
      </c>
      <c r="D1636" s="11"/>
      <c r="E1636" s="11" t="s">
        <v>2406</v>
      </c>
      <c r="F1636" s="11" t="str">
        <f>IFERROR(VLOOKUP(VENTAS[[#This Row],[Código del producto Vendido]],STOCK[],5,FALSE),"-")</f>
        <v>Pantalón de vestir de viscosa y lino (beige claro)</v>
      </c>
      <c r="G1636" s="11">
        <v>1</v>
      </c>
      <c r="H1636" s="14">
        <v>0</v>
      </c>
      <c r="I1636" s="14">
        <f>VENTAS[[#This Row],[Cantidad]]*VENTAS[[#This Row],[Precio Venta]]</f>
        <v>0</v>
      </c>
      <c r="J1636" s="14">
        <f>IF(VENTAS[[#This Row],[Nombre del Gestor]]&gt;1,VENTAS[[#This Row],[Total]]*10%,0)</f>
        <v>0</v>
      </c>
      <c r="K1636" s="14">
        <f>IFERROR(VLOOKUP(VENTAS[[#This Row],[Código del producto Vendido]],STOCK[],16,FALSE)*VENTAS[[#This Row],[Cantidad]]+VLOOKUP(VENTAS[[#This Row],[Código del producto Vendido]],STOCK[],19,FALSE)*VENTAS[[#This Row],[Cantidad]],VENTAS[[#This Row],[Total]])</f>
        <v>17.2520211515864</v>
      </c>
      <c r="L1636" s="14">
        <f>VENTAS[[#This Row],[Total]]-VENTAS[[#This Row],[Comisión 10%]]-VENTAS[[#This Row],[Costo SIN Comision]]</f>
        <v>-17.2520211515864</v>
      </c>
      <c r="M1636" s="14"/>
    </row>
    <row r="1637" ht="20" hidden="1" customHeight="1" spans="1:13">
      <c r="A1637" s="10"/>
      <c r="B1637" s="11"/>
      <c r="C1637" s="11"/>
      <c r="D1637" s="11"/>
      <c r="E1637" s="11" t="s">
        <v>2411</v>
      </c>
      <c r="F1637" s="11" t="str">
        <f>IFERROR(VLOOKUP(VENTAS[[#This Row],[Código del producto Vendido]],STOCK[],5,FALSE),"-")</f>
        <v>Pantalón de vestir de viscosa y lino (beige claro)</v>
      </c>
      <c r="G1637" s="11">
        <v>1</v>
      </c>
      <c r="H1637" s="14">
        <v>35</v>
      </c>
      <c r="I1637" s="14">
        <f>VENTAS[[#This Row],[Cantidad]]*VENTAS[[#This Row],[Precio Venta]]</f>
        <v>35</v>
      </c>
      <c r="J1637" s="14">
        <f>IF(VENTAS[[#This Row],[Nombre del Gestor]]&gt;1,VENTAS[[#This Row],[Total]]*10%,0)</f>
        <v>0</v>
      </c>
      <c r="K1637" s="14">
        <f>IFERROR(VLOOKUP(VENTAS[[#This Row],[Código del producto Vendido]],STOCK[],16,FALSE)*VENTAS[[#This Row],[Cantidad]]+VLOOKUP(VENTAS[[#This Row],[Código del producto Vendido]],STOCK[],19,FALSE)*VENTAS[[#This Row],[Cantidad]],VENTAS[[#This Row],[Total]])</f>
        <v>17.2520211515864</v>
      </c>
      <c r="L1637" s="14">
        <f>VENTAS[[#This Row],[Total]]-VENTAS[[#This Row],[Comisión 10%]]-VENTAS[[#This Row],[Costo SIN Comision]]</f>
        <v>17.7479788484136</v>
      </c>
      <c r="M1637" s="14"/>
    </row>
    <row r="1638" ht="20" hidden="1" customHeight="1" spans="1:13">
      <c r="A1638" s="10"/>
      <c r="B1638" s="11"/>
      <c r="C1638" s="11"/>
      <c r="D1638" s="11"/>
      <c r="E1638" s="11" t="s">
        <v>2411</v>
      </c>
      <c r="F1638" s="11" t="str">
        <f>IFERROR(VLOOKUP(VENTAS[[#This Row],[Código del producto Vendido]],STOCK[],5,FALSE),"-")</f>
        <v>Pantalón de vestir de viscosa y lino (beige claro)</v>
      </c>
      <c r="G1638" s="11">
        <v>1</v>
      </c>
      <c r="H1638" s="14">
        <v>35</v>
      </c>
      <c r="I1638" s="14">
        <f>VENTAS[[#This Row],[Cantidad]]*VENTAS[[#This Row],[Precio Venta]]</f>
        <v>35</v>
      </c>
      <c r="J1638" s="14">
        <f>IF(VENTAS[[#This Row],[Nombre del Gestor]]&gt;1,VENTAS[[#This Row],[Total]]*10%,0)</f>
        <v>0</v>
      </c>
      <c r="K1638" s="14">
        <f>IFERROR(VLOOKUP(VENTAS[[#This Row],[Código del producto Vendido]],STOCK[],16,FALSE)*VENTAS[[#This Row],[Cantidad]]+VLOOKUP(VENTAS[[#This Row],[Código del producto Vendido]],STOCK[],19,FALSE)*VENTAS[[#This Row],[Cantidad]],VENTAS[[#This Row],[Total]])</f>
        <v>17.2520211515864</v>
      </c>
      <c r="L1638" s="14">
        <f>VENTAS[[#This Row],[Total]]-VENTAS[[#This Row],[Comisión 10%]]-VENTAS[[#This Row],[Costo SIN Comision]]</f>
        <v>17.7479788484136</v>
      </c>
      <c r="M1638" s="14"/>
    </row>
    <row r="1639" ht="20" hidden="1" customHeight="1" spans="1:13">
      <c r="A1639" s="10"/>
      <c r="B1639" s="11"/>
      <c r="C1639" s="11"/>
      <c r="D1639" s="11"/>
      <c r="E1639" s="11" t="s">
        <v>2409</v>
      </c>
      <c r="F1639" s="11" t="str">
        <f>IFERROR(VLOOKUP(VENTAS[[#This Row],[Código del producto Vendido]],STOCK[],5,FALSE),"-")</f>
        <v>Pantalón de vestir de viscosa y lino (beige claro)</v>
      </c>
      <c r="G1639" s="11">
        <v>0</v>
      </c>
      <c r="H1639" s="14">
        <v>35</v>
      </c>
      <c r="I1639" s="14">
        <f>VENTAS[[#This Row],[Cantidad]]*VENTAS[[#This Row],[Precio Venta]]</f>
        <v>0</v>
      </c>
      <c r="J1639" s="14">
        <f>IF(VENTAS[[#This Row],[Nombre del Gestor]]&gt;1,VENTAS[[#This Row],[Total]]*10%,0)</f>
        <v>0</v>
      </c>
      <c r="K1639" s="14">
        <f>IFERROR(VLOOKUP(VENTAS[[#This Row],[Código del producto Vendido]],STOCK[],16,FALSE)*VENTAS[[#This Row],[Cantidad]]+VLOOKUP(VENTAS[[#This Row],[Código del producto Vendido]],STOCK[],19,FALSE)*VENTAS[[#This Row],[Cantidad]],VENTAS[[#This Row],[Total]])</f>
        <v>0</v>
      </c>
      <c r="L1639" s="14">
        <f>VENTAS[[#This Row],[Total]]-VENTAS[[#This Row],[Comisión 10%]]-VENTAS[[#This Row],[Costo SIN Comision]]</f>
        <v>0</v>
      </c>
      <c r="M1639" s="14"/>
    </row>
    <row r="1640" ht="20" hidden="1" customHeight="1" spans="1:13">
      <c r="A1640" s="10"/>
      <c r="B1640" s="11"/>
      <c r="C1640" s="11"/>
      <c r="D1640" s="11"/>
      <c r="E1640" s="11" t="s">
        <v>2984</v>
      </c>
      <c r="F1640" s="11" t="str">
        <f>IFERROR(VLOOKUP(VENTAS[[#This Row],[Código del producto Vendido]],STOCK[],5,FALSE),"-")</f>
        <v>Vestido playero largo de mangas con escote V</v>
      </c>
      <c r="G1640" s="11">
        <v>1</v>
      </c>
      <c r="H1640" s="14">
        <v>30</v>
      </c>
      <c r="I1640" s="14">
        <f>VENTAS[[#This Row],[Cantidad]]*VENTAS[[#This Row],[Precio Venta]]</f>
        <v>30</v>
      </c>
      <c r="J1640" s="14">
        <f>IF(VENTAS[[#This Row],[Nombre del Gestor]]&gt;1,VENTAS[[#This Row],[Total]]*10%,0)</f>
        <v>0</v>
      </c>
      <c r="K1640" s="14">
        <f>IFERROR(VLOOKUP(VENTAS[[#This Row],[Código del producto Vendido]],STOCK[],16,FALSE)*VENTAS[[#This Row],[Cantidad]]+VLOOKUP(VENTAS[[#This Row],[Código del producto Vendido]],STOCK[],19,FALSE)*VENTAS[[#This Row],[Cantidad]],VENTAS[[#This Row],[Total]])</f>
        <v>11.02</v>
      </c>
      <c r="L1640" s="14">
        <f>VENTAS[[#This Row],[Total]]-VENTAS[[#This Row],[Comisión 10%]]-VENTAS[[#This Row],[Costo SIN Comision]]</f>
        <v>18.98</v>
      </c>
      <c r="M1640" s="14"/>
    </row>
    <row r="1641" ht="20" hidden="1" customHeight="1" spans="1:13">
      <c r="A1641" s="10"/>
      <c r="B1641" s="11"/>
      <c r="C1641" s="11"/>
      <c r="D1641" s="11"/>
      <c r="E1641" s="11" t="s">
        <v>2863</v>
      </c>
      <c r="F1641" s="11" t="str">
        <f>IFERROR(VLOOKUP(VENTAS[[#This Row],[Código del producto Vendido]],STOCK[],5,FALSE),"-")</f>
        <v>Vestido de espalda descubierta de color sólido y tirantes de espagueti</v>
      </c>
      <c r="G1641" s="11">
        <v>1</v>
      </c>
      <c r="H1641" s="14">
        <v>25</v>
      </c>
      <c r="I1641" s="14">
        <f>VENTAS[[#This Row],[Cantidad]]*VENTAS[[#This Row],[Precio Venta]]</f>
        <v>25</v>
      </c>
      <c r="J1641" s="14">
        <f>IF(VENTAS[[#This Row],[Nombre del Gestor]]&gt;1,VENTAS[[#This Row],[Total]]*10%,0)</f>
        <v>0</v>
      </c>
      <c r="K1641" s="14">
        <f>IFERROR(VLOOKUP(VENTAS[[#This Row],[Código del producto Vendido]],STOCK[],16,FALSE)*VENTAS[[#This Row],[Cantidad]]+VLOOKUP(VENTAS[[#This Row],[Código del producto Vendido]],STOCK[],19,FALSE)*VENTAS[[#This Row],[Cantidad]],VENTAS[[#This Row],[Total]])</f>
        <v>11.98</v>
      </c>
      <c r="L1641" s="14">
        <f>VENTAS[[#This Row],[Total]]-VENTAS[[#This Row],[Comisión 10%]]-VENTAS[[#This Row],[Costo SIN Comision]]</f>
        <v>13.02</v>
      </c>
      <c r="M1641" s="14"/>
    </row>
    <row r="1642" ht="20" hidden="1" customHeight="1" spans="1:13">
      <c r="A1642" s="10"/>
      <c r="B1642" s="11"/>
      <c r="C1642" s="11"/>
      <c r="D1642" s="11"/>
      <c r="E1642" s="11" t="s">
        <v>2863</v>
      </c>
      <c r="F1642" s="11" t="str">
        <f>IFERROR(VLOOKUP(VENTAS[[#This Row],[Código del producto Vendido]],STOCK[],5,FALSE),"-")</f>
        <v>Vestido de espalda descubierta de color sólido y tirantes de espagueti</v>
      </c>
      <c r="G1642" s="11">
        <v>1</v>
      </c>
      <c r="H1642" s="14">
        <v>25</v>
      </c>
      <c r="I1642" s="14">
        <f>VENTAS[[#This Row],[Cantidad]]*VENTAS[[#This Row],[Precio Venta]]</f>
        <v>25</v>
      </c>
      <c r="J1642" s="14">
        <f>IF(VENTAS[[#This Row],[Nombre del Gestor]]&gt;1,VENTAS[[#This Row],[Total]]*10%,0)</f>
        <v>0</v>
      </c>
      <c r="K1642" s="14">
        <f>IFERROR(VLOOKUP(VENTAS[[#This Row],[Código del producto Vendido]],STOCK[],16,FALSE)*VENTAS[[#This Row],[Cantidad]]+VLOOKUP(VENTAS[[#This Row],[Código del producto Vendido]],STOCK[],19,FALSE)*VENTAS[[#This Row],[Cantidad]],VENTAS[[#This Row],[Total]])</f>
        <v>11.98</v>
      </c>
      <c r="L1642" s="14">
        <f>VENTAS[[#This Row],[Total]]-VENTAS[[#This Row],[Comisión 10%]]-VENTAS[[#This Row],[Costo SIN Comision]]</f>
        <v>13.02</v>
      </c>
      <c r="M1642" s="14"/>
    </row>
    <row r="1643" ht="20" hidden="1" customHeight="1" spans="1:13">
      <c r="A1643" s="10"/>
      <c r="B1643" s="11"/>
      <c r="C1643" s="11"/>
      <c r="D1643" s="11"/>
      <c r="E1643" s="11" t="s">
        <v>2865</v>
      </c>
      <c r="F1643" s="11" t="str">
        <f>IFERROR(VLOOKUP(VENTAS[[#This Row],[Código del producto Vendido]],STOCK[],5,FALSE),"-")</f>
        <v>Vestido de espalda descubierta de color sólido y tirantes de espagueti</v>
      </c>
      <c r="G1643" s="11">
        <v>1</v>
      </c>
      <c r="H1643" s="14">
        <v>25</v>
      </c>
      <c r="I1643" s="14">
        <f>VENTAS[[#This Row],[Cantidad]]*VENTAS[[#This Row],[Precio Venta]]</f>
        <v>25</v>
      </c>
      <c r="J1643" s="14">
        <f>IF(VENTAS[[#This Row],[Nombre del Gestor]]&gt;1,VENTAS[[#This Row],[Total]]*10%,0)</f>
        <v>0</v>
      </c>
      <c r="K1643" s="14">
        <f>IFERROR(VLOOKUP(VENTAS[[#This Row],[Código del producto Vendido]],STOCK[],16,FALSE)*VENTAS[[#This Row],[Cantidad]]+VLOOKUP(VENTAS[[#This Row],[Código del producto Vendido]],STOCK[],19,FALSE)*VENTAS[[#This Row],[Cantidad]],VENTAS[[#This Row],[Total]])</f>
        <v>11.98</v>
      </c>
      <c r="L1643" s="14">
        <f>VENTAS[[#This Row],[Total]]-VENTAS[[#This Row],[Comisión 10%]]-VENTAS[[#This Row],[Costo SIN Comision]]</f>
        <v>13.02</v>
      </c>
      <c r="M1643" s="14"/>
    </row>
    <row r="1644" ht="20" hidden="1" customHeight="1" spans="1:13">
      <c r="A1644" s="10"/>
      <c r="B1644" s="11"/>
      <c r="C1644" s="11" t="s">
        <v>4506</v>
      </c>
      <c r="D1644" s="11"/>
      <c r="E1644" s="11" t="s">
        <v>2439</v>
      </c>
      <c r="F1644" s="11" t="str">
        <f>IFERROR(VLOOKUP(VENTAS[[#This Row],[Código del producto Vendido]],STOCK[],5,FALSE),"-")</f>
        <v>Pantalón cigarrette ajustado elegante</v>
      </c>
      <c r="G1644" s="11">
        <v>1</v>
      </c>
      <c r="H1644" s="14">
        <v>35</v>
      </c>
      <c r="I1644" s="14">
        <f>VENTAS[[#This Row],[Cantidad]]*VENTAS[[#This Row],[Precio Venta]]</f>
        <v>35</v>
      </c>
      <c r="J1644" s="14">
        <f>IF(VENTAS[[#This Row],[Nombre del Gestor]]&gt;1,VENTAS[[#This Row],[Total]]*10%,0)</f>
        <v>0</v>
      </c>
      <c r="K1644" s="14">
        <f>IFERROR(VLOOKUP(VENTAS[[#This Row],[Código del producto Vendido]],STOCK[],16,FALSE)*VENTAS[[#This Row],[Cantidad]]+VLOOKUP(VENTAS[[#This Row],[Código del producto Vendido]],STOCK[],19,FALSE)*VENTAS[[#This Row],[Cantidad]],VENTAS[[#This Row],[Total]])</f>
        <v>16.1944418331375</v>
      </c>
      <c r="L1644" s="14">
        <f>VENTAS[[#This Row],[Total]]-VENTAS[[#This Row],[Comisión 10%]]-VENTAS[[#This Row],[Costo SIN Comision]]</f>
        <v>18.8055581668625</v>
      </c>
      <c r="M1644" s="14"/>
    </row>
    <row r="1645" ht="20" hidden="1" customHeight="1" spans="1:13">
      <c r="A1645" s="10"/>
      <c r="B1645" s="11"/>
      <c r="C1645" s="11"/>
      <c r="D1645" s="11"/>
      <c r="E1645" s="11" t="s">
        <v>2441</v>
      </c>
      <c r="F1645" s="11" t="str">
        <f>IFERROR(VLOOKUP(VENTAS[[#This Row],[Código del producto Vendido]],STOCK[],5,FALSE),"-")</f>
        <v>Pantalón de vestir de viscosa y lino negro</v>
      </c>
      <c r="G1645" s="11">
        <v>0</v>
      </c>
      <c r="H1645" s="14">
        <v>35</v>
      </c>
      <c r="I1645" s="14">
        <f>VENTAS[[#This Row],[Cantidad]]*VENTAS[[#This Row],[Precio Venta]]</f>
        <v>0</v>
      </c>
      <c r="J1645" s="14">
        <f>IF(VENTAS[[#This Row],[Nombre del Gestor]]&gt;1,VENTAS[[#This Row],[Total]]*10%,0)</f>
        <v>0</v>
      </c>
      <c r="K1645" s="14">
        <f>IFERROR(VLOOKUP(VENTAS[[#This Row],[Código del producto Vendido]],STOCK[],16,FALSE)*VENTAS[[#This Row],[Cantidad]]+VLOOKUP(VENTAS[[#This Row],[Código del producto Vendido]],STOCK[],19,FALSE)*VENTAS[[#This Row],[Cantidad]],VENTAS[[#This Row],[Total]])</f>
        <v>0</v>
      </c>
      <c r="L1645" s="14">
        <f>VENTAS[[#This Row],[Total]]-VENTAS[[#This Row],[Comisión 10%]]-VENTAS[[#This Row],[Costo SIN Comision]]</f>
        <v>0</v>
      </c>
      <c r="M1645" s="14"/>
    </row>
    <row r="1646" ht="20" hidden="1" customHeight="1" spans="1:13">
      <c r="A1646" s="10"/>
      <c r="B1646" s="11"/>
      <c r="C1646" s="11"/>
      <c r="D1646" s="11"/>
      <c r="E1646" s="11" t="s">
        <v>2444</v>
      </c>
      <c r="F1646" s="11" t="str">
        <f>IFERROR(VLOOKUP(VENTAS[[#This Row],[Código del producto Vendido]],STOCK[],5,FALSE),"-")</f>
        <v>Pantalón de vestir de viscosa y lino negro</v>
      </c>
      <c r="G1646" s="11">
        <v>1</v>
      </c>
      <c r="H1646" s="14">
        <v>35</v>
      </c>
      <c r="I1646" s="14">
        <f>VENTAS[[#This Row],[Cantidad]]*VENTAS[[#This Row],[Precio Venta]]</f>
        <v>35</v>
      </c>
      <c r="J1646" s="14">
        <f>IF(VENTAS[[#This Row],[Nombre del Gestor]]&gt;1,VENTAS[[#This Row],[Total]]*10%,0)</f>
        <v>0</v>
      </c>
      <c r="K1646" s="14">
        <f>IFERROR(VLOOKUP(VENTAS[[#This Row],[Código del producto Vendido]],STOCK[],16,FALSE)*VENTAS[[#This Row],[Cantidad]]+VLOOKUP(VENTAS[[#This Row],[Código del producto Vendido]],STOCK[],19,FALSE)*VENTAS[[#This Row],[Cantidad]],VENTAS[[#This Row],[Total]])</f>
        <v>15.2820211515864</v>
      </c>
      <c r="L1646" s="14">
        <f>VENTAS[[#This Row],[Total]]-VENTAS[[#This Row],[Comisión 10%]]-VENTAS[[#This Row],[Costo SIN Comision]]</f>
        <v>19.7179788484136</v>
      </c>
      <c r="M1646" s="14"/>
    </row>
    <row r="1647" ht="20" hidden="1" customHeight="1" spans="1:13">
      <c r="A1647" s="10"/>
      <c r="B1647" s="11"/>
      <c r="C1647" s="11"/>
      <c r="D1647" s="11"/>
      <c r="E1647" s="11" t="s">
        <v>2844</v>
      </c>
      <c r="F1647" s="11" t="str">
        <f>IFERROR(VLOOKUP(VENTAS[[#This Row],[Código del producto Vendido]],STOCK[],5,FALSE),"-")</f>
        <v>Pantalones largros rayados de moda de gran comodidad</v>
      </c>
      <c r="G1647" s="11">
        <v>1</v>
      </c>
      <c r="H1647" s="14">
        <v>22</v>
      </c>
      <c r="I1647" s="14">
        <f>VENTAS[[#This Row],[Cantidad]]*VENTAS[[#This Row],[Precio Venta]]</f>
        <v>22</v>
      </c>
      <c r="J1647" s="14">
        <f>IF(VENTAS[[#This Row],[Nombre del Gestor]]&gt;1,VENTAS[[#This Row],[Total]]*10%,0)</f>
        <v>0</v>
      </c>
      <c r="K1647" s="14">
        <f>IFERROR(VLOOKUP(VENTAS[[#This Row],[Código del producto Vendido]],STOCK[],16,FALSE)*VENTAS[[#This Row],[Cantidad]]+VLOOKUP(VENTAS[[#This Row],[Código del producto Vendido]],STOCK[],19,FALSE)*VENTAS[[#This Row],[Cantidad]],VENTAS[[#This Row],[Total]])</f>
        <v>10.52</v>
      </c>
      <c r="L1647" s="14">
        <f>VENTAS[[#This Row],[Total]]-VENTAS[[#This Row],[Comisión 10%]]-VENTAS[[#This Row],[Costo SIN Comision]]</f>
        <v>11.48</v>
      </c>
      <c r="M1647" s="14"/>
    </row>
    <row r="1648" ht="20" hidden="1" customHeight="1" spans="1:13">
      <c r="A1648" s="10"/>
      <c r="B1648" s="11"/>
      <c r="C1648" s="11"/>
      <c r="D1648" s="11"/>
      <c r="E1648" s="11" t="s">
        <v>2848</v>
      </c>
      <c r="F1648" s="11" t="str">
        <f>IFERROR(VLOOKUP(VENTAS[[#This Row],[Código del producto Vendido]],STOCK[],5,FALSE),"-")</f>
        <v>Pantalones largros rayados de moda de gran comodidad</v>
      </c>
      <c r="G1648" s="11">
        <v>2</v>
      </c>
      <c r="H1648" s="14">
        <v>22</v>
      </c>
      <c r="I1648" s="14">
        <f>VENTAS[[#This Row],[Cantidad]]*VENTAS[[#This Row],[Precio Venta]]</f>
        <v>44</v>
      </c>
      <c r="J1648" s="14">
        <f>IF(VENTAS[[#This Row],[Nombre del Gestor]]&gt;1,VENTAS[[#This Row],[Total]]*10%,0)</f>
        <v>0</v>
      </c>
      <c r="K1648" s="14">
        <f>IFERROR(VLOOKUP(VENTAS[[#This Row],[Código del producto Vendido]],STOCK[],16,FALSE)*VENTAS[[#This Row],[Cantidad]]+VLOOKUP(VENTAS[[#This Row],[Código del producto Vendido]],STOCK[],19,FALSE)*VENTAS[[#This Row],[Cantidad]],VENTAS[[#This Row],[Total]])</f>
        <v>21.04</v>
      </c>
      <c r="L1648" s="14">
        <f>VENTAS[[#This Row],[Total]]-VENTAS[[#This Row],[Comisión 10%]]-VENTAS[[#This Row],[Costo SIN Comision]]</f>
        <v>22.96</v>
      </c>
      <c r="M1648" s="14"/>
    </row>
    <row r="1649" ht="20" hidden="1" customHeight="1" spans="1:13">
      <c r="A1649" s="10"/>
      <c r="B1649" s="11"/>
      <c r="C1649" s="11"/>
      <c r="D1649" s="11"/>
      <c r="E1649" s="11" t="s">
        <v>3010</v>
      </c>
      <c r="F1649" s="11" t="str">
        <f>IFERROR(VLOOKUP(VENTAS[[#This Row],[Código del producto Vendido]],STOCK[],5,FALSE),"-")</f>
        <v>Pantalón alto de pierna ancha color caramelo</v>
      </c>
      <c r="G1649" s="11">
        <v>1</v>
      </c>
      <c r="H1649" s="14">
        <v>30</v>
      </c>
      <c r="I1649" s="14">
        <f>VENTAS[[#This Row],[Cantidad]]*VENTAS[[#This Row],[Precio Venta]]</f>
        <v>30</v>
      </c>
      <c r="J1649" s="14">
        <f>IF(VENTAS[[#This Row],[Nombre del Gestor]]&gt;1,VENTAS[[#This Row],[Total]]*10%,0)</f>
        <v>0</v>
      </c>
      <c r="K1649" s="14">
        <f>IFERROR(VLOOKUP(VENTAS[[#This Row],[Código del producto Vendido]],STOCK[],16,FALSE)*VENTAS[[#This Row],[Cantidad]]+VLOOKUP(VENTAS[[#This Row],[Código del producto Vendido]],STOCK[],19,FALSE)*VENTAS[[#This Row],[Cantidad]],VENTAS[[#This Row],[Total]])</f>
        <v>12.63</v>
      </c>
      <c r="L1649" s="14">
        <f>VENTAS[[#This Row],[Total]]-VENTAS[[#This Row],[Comisión 10%]]-VENTAS[[#This Row],[Costo SIN Comision]]</f>
        <v>17.37</v>
      </c>
      <c r="M1649" s="14"/>
    </row>
    <row r="1650" ht="20" hidden="1" customHeight="1" spans="1:13">
      <c r="A1650" s="10"/>
      <c r="B1650" s="11"/>
      <c r="C1650" s="11"/>
      <c r="D1650" s="11"/>
      <c r="E1650" s="11" t="s">
        <v>3013</v>
      </c>
      <c r="F1650" s="11" t="str">
        <f>IFERROR(VLOOKUP(VENTAS[[#This Row],[Código del producto Vendido]],STOCK[],5,FALSE),"-")</f>
        <v>Pantalón alto de pierna ancha color caramelo</v>
      </c>
      <c r="G1650" s="11">
        <v>1</v>
      </c>
      <c r="H1650" s="14">
        <v>30</v>
      </c>
      <c r="I1650" s="14">
        <f>VENTAS[[#This Row],[Cantidad]]*VENTAS[[#This Row],[Precio Venta]]</f>
        <v>30</v>
      </c>
      <c r="J1650" s="14">
        <f>IF(VENTAS[[#This Row],[Nombre del Gestor]]&gt;1,VENTAS[[#This Row],[Total]]*10%,0)</f>
        <v>0</v>
      </c>
      <c r="K1650" s="14">
        <f>IFERROR(VLOOKUP(VENTAS[[#This Row],[Código del producto Vendido]],STOCK[],16,FALSE)*VENTAS[[#This Row],[Cantidad]]+VLOOKUP(VENTAS[[#This Row],[Código del producto Vendido]],STOCK[],19,FALSE)*VENTAS[[#This Row],[Cantidad]],VENTAS[[#This Row],[Total]])</f>
        <v>12.63</v>
      </c>
      <c r="L1650" s="14">
        <f>VENTAS[[#This Row],[Total]]-VENTAS[[#This Row],[Comisión 10%]]-VENTAS[[#This Row],[Costo SIN Comision]]</f>
        <v>17.37</v>
      </c>
      <c r="M1650" s="14"/>
    </row>
    <row r="1651" ht="20" hidden="1" customHeight="1" spans="1:13">
      <c r="A1651" s="10"/>
      <c r="B1651" s="11"/>
      <c r="C1651" s="11"/>
      <c r="D1651" s="11"/>
      <c r="E1651" s="11" t="s">
        <v>3014</v>
      </c>
      <c r="F1651" s="11" t="str">
        <f>IFERROR(VLOOKUP(VENTAS[[#This Row],[Código del producto Vendido]],STOCK[],5,FALSE),"-")</f>
        <v>Pantalón alto de pierna ancha color caramelo</v>
      </c>
      <c r="G1651" s="11">
        <v>1</v>
      </c>
      <c r="H1651" s="14">
        <v>30</v>
      </c>
      <c r="I1651" s="14">
        <f>VENTAS[[#This Row],[Cantidad]]*VENTAS[[#This Row],[Precio Venta]]</f>
        <v>30</v>
      </c>
      <c r="J1651" s="14">
        <f>IF(VENTAS[[#This Row],[Nombre del Gestor]]&gt;1,VENTAS[[#This Row],[Total]]*10%,0)</f>
        <v>0</v>
      </c>
      <c r="K1651" s="14">
        <f>IFERROR(VLOOKUP(VENTAS[[#This Row],[Código del producto Vendido]],STOCK[],16,FALSE)*VENTAS[[#This Row],[Cantidad]]+VLOOKUP(VENTAS[[#This Row],[Código del producto Vendido]],STOCK[],19,FALSE)*VENTAS[[#This Row],[Cantidad]],VENTAS[[#This Row],[Total]])</f>
        <v>12.63</v>
      </c>
      <c r="L1651" s="14">
        <f>VENTAS[[#This Row],[Total]]-VENTAS[[#This Row],[Comisión 10%]]-VENTAS[[#This Row],[Costo SIN Comision]]</f>
        <v>17.37</v>
      </c>
      <c r="M1651" s="14"/>
    </row>
    <row r="1652" ht="20" hidden="1" customHeight="1" spans="1:13">
      <c r="A1652" s="10"/>
      <c r="B1652" s="11"/>
      <c r="C1652" s="11"/>
      <c r="D1652" s="11"/>
      <c r="E1652" s="11" t="s">
        <v>3014</v>
      </c>
      <c r="F1652" s="11" t="str">
        <f>IFERROR(VLOOKUP(VENTAS[[#This Row],[Código del producto Vendido]],STOCK[],5,FALSE),"-")</f>
        <v>Pantalón alto de pierna ancha color caramelo</v>
      </c>
      <c r="G1652" s="11">
        <v>1</v>
      </c>
      <c r="H1652" s="14">
        <v>30</v>
      </c>
      <c r="I1652" s="14">
        <f>VENTAS[[#This Row],[Cantidad]]*VENTAS[[#This Row],[Precio Venta]]</f>
        <v>30</v>
      </c>
      <c r="J1652" s="14">
        <f>IF(VENTAS[[#This Row],[Nombre del Gestor]]&gt;1,VENTAS[[#This Row],[Total]]*10%,0)</f>
        <v>0</v>
      </c>
      <c r="K1652" s="14">
        <f>IFERROR(VLOOKUP(VENTAS[[#This Row],[Código del producto Vendido]],STOCK[],16,FALSE)*VENTAS[[#This Row],[Cantidad]]+VLOOKUP(VENTAS[[#This Row],[Código del producto Vendido]],STOCK[],19,FALSE)*VENTAS[[#This Row],[Cantidad]],VENTAS[[#This Row],[Total]])</f>
        <v>12.63</v>
      </c>
      <c r="L1652" s="14">
        <f>VENTAS[[#This Row],[Total]]-VENTAS[[#This Row],[Comisión 10%]]-VENTAS[[#This Row],[Costo SIN Comision]]</f>
        <v>17.37</v>
      </c>
      <c r="M1652" s="14"/>
    </row>
    <row r="1653" ht="20" hidden="1" customHeight="1" spans="1:13">
      <c r="A1653" s="10"/>
      <c r="B1653" s="11"/>
      <c r="C1653" s="11"/>
      <c r="D1653" s="11"/>
      <c r="E1653" s="11" t="s">
        <v>4507</v>
      </c>
      <c r="F1653" s="11" t="str">
        <f>IFERROR(VLOOKUP(VENTAS[[#This Row],[Código del producto Vendido]],STOCK[],5,FALSE),"-")</f>
        <v>-</v>
      </c>
      <c r="G1653" s="11">
        <v>1</v>
      </c>
      <c r="H1653" s="14">
        <v>23</v>
      </c>
      <c r="I1653" s="14">
        <f>VENTAS[[#This Row],[Cantidad]]*VENTAS[[#This Row],[Precio Venta]]</f>
        <v>23</v>
      </c>
      <c r="J1653" s="14">
        <f>IF(VENTAS[[#This Row],[Nombre del Gestor]]&gt;1,VENTAS[[#This Row],[Total]]*10%,0)</f>
        <v>0</v>
      </c>
      <c r="K1653" s="14">
        <f>IFERROR(VLOOKUP(VENTAS[[#This Row],[Código del producto Vendido]],STOCK[],16,FALSE)*VENTAS[[#This Row],[Cantidad]]+VLOOKUP(VENTAS[[#This Row],[Código del producto Vendido]],STOCK[],19,FALSE)*VENTAS[[#This Row],[Cantidad]],VENTAS[[#This Row],[Total]])</f>
        <v>23</v>
      </c>
      <c r="L1653" s="14">
        <f>VENTAS[[#This Row],[Total]]-VENTAS[[#This Row],[Comisión 10%]]-VENTAS[[#This Row],[Costo SIN Comision]]</f>
        <v>0</v>
      </c>
      <c r="M1653" s="14"/>
    </row>
    <row r="1654" ht="20" hidden="1" customHeight="1" spans="1:13">
      <c r="A1654" s="10"/>
      <c r="B1654" s="11"/>
      <c r="C1654" s="11"/>
      <c r="D1654" s="11"/>
      <c r="E1654" s="11" t="s">
        <v>3263</v>
      </c>
      <c r="F1654" s="11" t="str">
        <f>IFERROR(VLOOKUP(VENTAS[[#This Row],[Código del producto Vendido]],STOCK[],5,FALSE),"-")</f>
        <v>Tanga brasileña color crema de algodón Marca H&amp;M</v>
      </c>
      <c r="G1654" s="11">
        <v>2</v>
      </c>
      <c r="H1654" s="14">
        <v>0</v>
      </c>
      <c r="I1654" s="14">
        <f>VENTAS[[#This Row],[Cantidad]]*VENTAS[[#This Row],[Precio Venta]]</f>
        <v>0</v>
      </c>
      <c r="J1654" s="14">
        <f>IF(VENTAS[[#This Row],[Nombre del Gestor]]&gt;1,VENTAS[[#This Row],[Total]]*10%,0)</f>
        <v>0</v>
      </c>
      <c r="K1654" s="14">
        <f>IFERROR(VLOOKUP(VENTAS[[#This Row],[Código del producto Vendido]],STOCK[],16,FALSE)*VENTAS[[#This Row],[Cantidad]]+VLOOKUP(VENTAS[[#This Row],[Código del producto Vendido]],STOCK[],19,FALSE)*VENTAS[[#This Row],[Cantidad]],VENTAS[[#This Row],[Total]])</f>
        <v>1.72</v>
      </c>
      <c r="L1654" s="14">
        <f>VENTAS[[#This Row],[Total]]-VENTAS[[#This Row],[Comisión 10%]]-VENTAS[[#This Row],[Costo SIN Comision]]</f>
        <v>-1.72</v>
      </c>
      <c r="M1654" s="14"/>
    </row>
    <row r="1655" ht="20" hidden="1" customHeight="1" spans="1:13">
      <c r="A1655" s="10"/>
      <c r="B1655" s="11"/>
      <c r="C1655" s="11"/>
      <c r="D1655" s="11"/>
      <c r="E1655" s="11" t="s">
        <v>3259</v>
      </c>
      <c r="F1655" s="11" t="str">
        <f>IFERROR(VLOOKUP(VENTAS[[#This Row],[Código del producto Vendido]],STOCK[],5,FALSE),"-")</f>
        <v>Calcetines bajos de algodón color blanco</v>
      </c>
      <c r="G1655" s="11">
        <v>1</v>
      </c>
      <c r="H1655" s="14">
        <v>0</v>
      </c>
      <c r="I1655" s="14">
        <f>VENTAS[[#This Row],[Cantidad]]*VENTAS[[#This Row],[Precio Venta]]</f>
        <v>0</v>
      </c>
      <c r="J1655" s="14">
        <f>IF(VENTAS[[#This Row],[Nombre del Gestor]]&gt;1,VENTAS[[#This Row],[Total]]*10%,0)</f>
        <v>0</v>
      </c>
      <c r="K1655" s="14">
        <f>IFERROR(VLOOKUP(VENTAS[[#This Row],[Código del producto Vendido]],STOCK[],16,FALSE)*VENTAS[[#This Row],[Cantidad]]+VLOOKUP(VENTAS[[#This Row],[Código del producto Vendido]],STOCK[],19,FALSE)*VENTAS[[#This Row],[Cantidad]],VENTAS[[#This Row],[Total]])</f>
        <v>0.86</v>
      </c>
      <c r="L1655" s="14">
        <f>VENTAS[[#This Row],[Total]]-VENTAS[[#This Row],[Comisión 10%]]-VENTAS[[#This Row],[Costo SIN Comision]]</f>
        <v>-0.86</v>
      </c>
      <c r="M1655" s="14"/>
    </row>
    <row r="1656" ht="20" hidden="1" customHeight="1" spans="1:13">
      <c r="A1656" s="10"/>
      <c r="B1656" s="11"/>
      <c r="C1656" s="11"/>
      <c r="D1656" s="11"/>
      <c r="E1656" s="11" t="s">
        <v>3160</v>
      </c>
      <c r="F1656" s="11" t="str">
        <f>IFERROR(VLOOKUP(VENTAS[[#This Row],[Código del producto Vendido]],STOCK[],5,FALSE),"-")</f>
        <v>Tanga brasileña color verde de algodón Marca H&amp;M</v>
      </c>
      <c r="G1656" s="11">
        <v>2</v>
      </c>
      <c r="H1656" s="14">
        <v>1</v>
      </c>
      <c r="I1656" s="14">
        <f>VENTAS[[#This Row],[Cantidad]]*VENTAS[[#This Row],[Precio Venta]]</f>
        <v>2</v>
      </c>
      <c r="J1656" s="14">
        <f>IF(VENTAS[[#This Row],[Nombre del Gestor]]&gt;1,VENTAS[[#This Row],[Total]]*10%,0)</f>
        <v>0</v>
      </c>
      <c r="K1656" s="14">
        <f>IFERROR(VLOOKUP(VENTAS[[#This Row],[Código del producto Vendido]],STOCK[],16,FALSE)*VENTAS[[#This Row],[Cantidad]]+VLOOKUP(VENTAS[[#This Row],[Código del producto Vendido]],STOCK[],19,FALSE)*VENTAS[[#This Row],[Cantidad]],VENTAS[[#This Row],[Total]])</f>
        <v>1.72</v>
      </c>
      <c r="L1656" s="14">
        <f>VENTAS[[#This Row],[Total]]-VENTAS[[#This Row],[Comisión 10%]]-VENTAS[[#This Row],[Costo SIN Comision]]</f>
        <v>0.28</v>
      </c>
      <c r="M1656" s="14"/>
    </row>
    <row r="1657" ht="20" hidden="1" customHeight="1" spans="1:13">
      <c r="A1657" s="10"/>
      <c r="B1657" s="11"/>
      <c r="C1657" s="11"/>
      <c r="D1657" s="11"/>
      <c r="E1657" s="11" t="s">
        <v>2991</v>
      </c>
      <c r="F1657" s="11" t="str">
        <f>IFERROR(VLOOKUP(VENTAS[[#This Row],[Código del producto Vendido]],STOCK[],5,FALSE),"-")</f>
        <v>Traje de baño casual con ajustes laterales</v>
      </c>
      <c r="G1657" s="11">
        <v>1</v>
      </c>
      <c r="H1657" s="14">
        <v>20</v>
      </c>
      <c r="I1657" s="14">
        <f>VENTAS[[#This Row],[Cantidad]]*VENTAS[[#This Row],[Precio Venta]]</f>
        <v>20</v>
      </c>
      <c r="J1657" s="14">
        <f>IF(VENTAS[[#This Row],[Nombre del Gestor]]&gt;1,VENTAS[[#This Row],[Total]]*10%,0)</f>
        <v>0</v>
      </c>
      <c r="K1657" s="14">
        <f>IFERROR(VLOOKUP(VENTAS[[#This Row],[Código del producto Vendido]],STOCK[],16,FALSE)*VENTAS[[#This Row],[Cantidad]]+VLOOKUP(VENTAS[[#This Row],[Código del producto Vendido]],STOCK[],19,FALSE)*VENTAS[[#This Row],[Cantidad]],VENTAS[[#This Row],[Total]])</f>
        <v>10.62</v>
      </c>
      <c r="L1657" s="14">
        <f>VENTAS[[#This Row],[Total]]-VENTAS[[#This Row],[Comisión 10%]]-VENTAS[[#This Row],[Costo SIN Comision]]</f>
        <v>9.38</v>
      </c>
      <c r="M1657" s="14"/>
    </row>
    <row r="1658" ht="20" hidden="1" customHeight="1" spans="1:13">
      <c r="A1658" s="10"/>
      <c r="B1658" s="11"/>
      <c r="C1658" s="11"/>
      <c r="D1658" s="11"/>
      <c r="E1658" s="11" t="s">
        <v>2872</v>
      </c>
      <c r="F1658" s="11" t="str">
        <f>IFERROR(VLOOKUP(VENTAS[[#This Row],[Código del producto Vendido]],STOCK[],5,FALSE),"-")</f>
        <v>Traje de baño de una sola pieza unicolor</v>
      </c>
      <c r="G1658" s="11">
        <v>1</v>
      </c>
      <c r="H1658" s="14">
        <v>18</v>
      </c>
      <c r="I1658" s="14">
        <f>VENTAS[[#This Row],[Cantidad]]*VENTAS[[#This Row],[Precio Venta]]</f>
        <v>18</v>
      </c>
      <c r="J1658" s="14">
        <f>IF(VENTAS[[#This Row],[Nombre del Gestor]]&gt;1,VENTAS[[#This Row],[Total]]*10%,0)</f>
        <v>0</v>
      </c>
      <c r="K1658" s="14">
        <f>IFERROR(VLOOKUP(VENTAS[[#This Row],[Código del producto Vendido]],STOCK[],16,FALSE)*VENTAS[[#This Row],[Cantidad]]+VLOOKUP(VENTAS[[#This Row],[Código del producto Vendido]],STOCK[],19,FALSE)*VENTAS[[#This Row],[Cantidad]],VENTAS[[#This Row],[Total]])</f>
        <v>4.93</v>
      </c>
      <c r="L1658" s="14">
        <f>VENTAS[[#This Row],[Total]]-VENTAS[[#This Row],[Comisión 10%]]-VENTAS[[#This Row],[Costo SIN Comision]]</f>
        <v>13.07</v>
      </c>
      <c r="M1658" s="14"/>
    </row>
    <row r="1659" ht="20" hidden="1" customHeight="1" spans="1:13">
      <c r="A1659" s="10"/>
      <c r="B1659" s="11"/>
      <c r="C1659" s="11"/>
      <c r="D1659" s="11"/>
      <c r="E1659" s="11" t="s">
        <v>3001</v>
      </c>
      <c r="F1659" s="11" t="str">
        <f>IFERROR(VLOOKUP(VENTAS[[#This Row],[Código del producto Vendido]],STOCK[],5,FALSE),"-")</f>
        <v>Traje de baño enterizo elegante de un hombro talla grande </v>
      </c>
      <c r="G1659" s="11">
        <v>1</v>
      </c>
      <c r="H1659" s="14">
        <v>28</v>
      </c>
      <c r="I1659" s="14">
        <f>VENTAS[[#This Row],[Cantidad]]*VENTAS[[#This Row],[Precio Venta]]</f>
        <v>28</v>
      </c>
      <c r="J1659" s="14">
        <f>IF(VENTAS[[#This Row],[Nombre del Gestor]]&gt;1,VENTAS[[#This Row],[Total]]*10%,0)</f>
        <v>0</v>
      </c>
      <c r="K1659" s="14">
        <f>IFERROR(VLOOKUP(VENTAS[[#This Row],[Código del producto Vendido]],STOCK[],16,FALSE)*VENTAS[[#This Row],[Cantidad]]+VLOOKUP(VENTAS[[#This Row],[Código del producto Vendido]],STOCK[],19,FALSE)*VENTAS[[#This Row],[Cantidad]],VENTAS[[#This Row],[Total]])</f>
        <v>13.33</v>
      </c>
      <c r="L1659" s="14">
        <f>VENTAS[[#This Row],[Total]]-VENTAS[[#This Row],[Comisión 10%]]-VENTAS[[#This Row],[Costo SIN Comision]]</f>
        <v>14.67</v>
      </c>
      <c r="M1659" s="14"/>
    </row>
    <row r="1660" s="4" customFormat="1" ht="20" hidden="1" customHeight="1" spans="1:14">
      <c r="A1660" s="46">
        <v>45486</v>
      </c>
      <c r="B1660" s="47"/>
      <c r="C1660" s="47"/>
      <c r="D1660" s="47" t="s">
        <v>4241</v>
      </c>
      <c r="E1660" s="47" t="s">
        <v>2186</v>
      </c>
      <c r="F1660" s="11" t="str">
        <f>IFERROR(VLOOKUP(VENTAS[[#This Row],[Código del producto Vendido]],STOCK[],5,FALSE),"-")</f>
        <v>Bikini sexy de pierna alta en tendencia</v>
      </c>
      <c r="G1660" s="47">
        <v>1</v>
      </c>
      <c r="H1660" s="48">
        <v>20</v>
      </c>
      <c r="I1660" s="14">
        <f>VENTAS[[#This Row],[Cantidad]]*VENTAS[[#This Row],[Precio Venta]]</f>
        <v>20</v>
      </c>
      <c r="J1660" s="14">
        <f>IF(VENTAS[[#This Row],[Nombre del Gestor]]&gt;1,VENTAS[[#This Row],[Total]]*10%,0)</f>
        <v>2</v>
      </c>
      <c r="K1660" s="14">
        <f>IFERROR(VLOOKUP(VENTAS[[#This Row],[Código del producto Vendido]],STOCK[],16,FALSE)*VENTAS[[#This Row],[Cantidad]]+VLOOKUP(VENTAS[[#This Row],[Código del producto Vendido]],STOCK[],19,FALSE)*VENTAS[[#This Row],[Cantidad]],VENTAS[[#This Row],[Total]])</f>
        <v>6.62</v>
      </c>
      <c r="L1660" s="14">
        <f>VENTAS[[#This Row],[Total]]-VENTAS[[#This Row],[Comisión 10%]]-VENTAS[[#This Row],[Costo SIN Comision]]</f>
        <v>11.38</v>
      </c>
      <c r="M1660" s="48"/>
      <c r="N1660" s="49" t="s">
        <v>4508</v>
      </c>
    </row>
    <row r="1661" s="4" customFormat="1" ht="20" hidden="1" customHeight="1" spans="1:14">
      <c r="A1661" s="46">
        <v>45486</v>
      </c>
      <c r="B1661" s="47"/>
      <c r="C1661" s="47"/>
      <c r="D1661" s="47" t="s">
        <v>4241</v>
      </c>
      <c r="E1661" s="47" t="s">
        <v>2176</v>
      </c>
      <c r="F1661" s="11" t="str">
        <f>IFERROR(VLOOKUP(VENTAS[[#This Row],[Código del producto Vendido]],STOCK[],5,FALSE),"-")</f>
        <v>Set de bikini 2 piezas estampado de colores con adorno de aro</v>
      </c>
      <c r="G1661" s="47">
        <v>1</v>
      </c>
      <c r="H1661" s="48">
        <v>20</v>
      </c>
      <c r="I1661" s="14">
        <f>VENTAS[[#This Row],[Cantidad]]*VENTAS[[#This Row],[Precio Venta]]</f>
        <v>20</v>
      </c>
      <c r="J1661" s="14">
        <f>IF(VENTAS[[#This Row],[Nombre del Gestor]]&gt;1,VENTAS[[#This Row],[Total]]*10%,0)</f>
        <v>2</v>
      </c>
      <c r="K1661" s="14">
        <f>IFERROR(VLOOKUP(VENTAS[[#This Row],[Código del producto Vendido]],STOCK[],16,FALSE)*VENTAS[[#This Row],[Cantidad]]+VLOOKUP(VENTAS[[#This Row],[Código del producto Vendido]],STOCK[],19,FALSE)*VENTAS[[#This Row],[Cantidad]],VENTAS[[#This Row],[Total]])</f>
        <v>4.43</v>
      </c>
      <c r="L1661" s="14">
        <f>VENTAS[[#This Row],[Total]]-VENTAS[[#This Row],[Comisión 10%]]-VENTAS[[#This Row],[Costo SIN Comision]]</f>
        <v>13.57</v>
      </c>
      <c r="M1661" s="48"/>
      <c r="N1661" s="49" t="s">
        <v>4509</v>
      </c>
    </row>
    <row r="1662" s="4" customFormat="1" ht="20" hidden="1" customHeight="1" spans="1:14">
      <c r="A1662" s="46">
        <v>45506</v>
      </c>
      <c r="B1662" s="47"/>
      <c r="C1662" s="47"/>
      <c r="D1662" s="47" t="s">
        <v>4510</v>
      </c>
      <c r="E1662" s="47" t="s">
        <v>1259</v>
      </c>
      <c r="F1662" s="11" t="str">
        <f>IFERROR(VLOOKUP(VENTAS[[#This Row],[Código del producto Vendido]],STOCK[],5,FALSE),"-")</f>
        <v>Maxi vestido de espalda cruzada</v>
      </c>
      <c r="G1662" s="47">
        <v>1</v>
      </c>
      <c r="H1662" s="48">
        <v>30</v>
      </c>
      <c r="I1662" s="14">
        <f>VENTAS[[#This Row],[Cantidad]]*VENTAS[[#This Row],[Precio Venta]]</f>
        <v>30</v>
      </c>
      <c r="J1662" s="14">
        <f>IF(VENTAS[[#This Row],[Nombre del Gestor]]&gt;1,VENTAS[[#This Row],[Total]]*10%,0)</f>
        <v>3</v>
      </c>
      <c r="K1662" s="14">
        <f>IFERROR(VLOOKUP(VENTAS[[#This Row],[Código del producto Vendido]],STOCK[],16,FALSE)*VENTAS[[#This Row],[Cantidad]]+VLOOKUP(VENTAS[[#This Row],[Código del producto Vendido]],STOCK[],19,FALSE)*VENTAS[[#This Row],[Cantidad]],VENTAS[[#This Row],[Total]])</f>
        <v>23.95</v>
      </c>
      <c r="L1662" s="14">
        <f>VENTAS[[#This Row],[Total]]-VENTAS[[#This Row],[Comisión 10%]]-VENTAS[[#This Row],[Costo SIN Comision]]</f>
        <v>3.05</v>
      </c>
      <c r="M1662" s="48"/>
      <c r="N1662" s="49" t="s">
        <v>4511</v>
      </c>
    </row>
    <row r="1663" s="4" customFormat="1" ht="20" hidden="1" customHeight="1" spans="1:14">
      <c r="A1663" s="46">
        <v>45507</v>
      </c>
      <c r="B1663" s="47"/>
      <c r="C1663" s="47"/>
      <c r="D1663" s="47" t="s">
        <v>4512</v>
      </c>
      <c r="E1663" s="47" t="s">
        <v>2365</v>
      </c>
      <c r="F1663" s="11" t="str">
        <f>IFERROR(VLOOKUP(VENTAS[[#This Row],[Código del producto Vendido]],STOCK[],5,FALSE),"-")</f>
        <v>2 piezas bikini push up accesorio</v>
      </c>
      <c r="G1663" s="47">
        <v>1</v>
      </c>
      <c r="H1663" s="48">
        <v>5</v>
      </c>
      <c r="I1663" s="14">
        <f>VENTAS[[#This Row],[Cantidad]]*VENTAS[[#This Row],[Precio Venta]]</f>
        <v>5</v>
      </c>
      <c r="J1663" s="14">
        <f>IF(VENTAS[[#This Row],[Nombre del Gestor]]&gt;1,VENTAS[[#This Row],[Total]]*10%,0)</f>
        <v>0.5</v>
      </c>
      <c r="K1663" s="14">
        <f>IFERROR(VLOOKUP(VENTAS[[#This Row],[Código del producto Vendido]],STOCK[],16,FALSE)*VENTAS[[#This Row],[Cantidad]]+VLOOKUP(VENTAS[[#This Row],[Código del producto Vendido]],STOCK[],19,FALSE)*VENTAS[[#This Row],[Cantidad]],VENTAS[[#This Row],[Total]])</f>
        <v>3.335625</v>
      </c>
      <c r="L1663" s="14">
        <f>VENTAS[[#This Row],[Total]]-VENTAS[[#This Row],[Comisión 10%]]-VENTAS[[#This Row],[Costo SIN Comision]]</f>
        <v>1.164375</v>
      </c>
      <c r="M1663" s="48"/>
      <c r="N1663" s="49" t="s">
        <v>4513</v>
      </c>
    </row>
    <row r="1664" s="4" customFormat="1" ht="20" hidden="1" customHeight="1" spans="1:14">
      <c r="A1664" s="46">
        <v>45507</v>
      </c>
      <c r="B1664" s="47"/>
      <c r="C1664" s="47"/>
      <c r="D1664" s="47" t="s">
        <v>4076</v>
      </c>
      <c r="E1664" s="47" t="s">
        <v>2362</v>
      </c>
      <c r="F1664" s="11" t="str">
        <f>IFERROR(VLOOKUP(VENTAS[[#This Row],[Código del producto Vendido]],STOCK[],5,FALSE),"-")</f>
        <v>Espejuelos estilo cat eye</v>
      </c>
      <c r="G1664" s="47">
        <v>1</v>
      </c>
      <c r="H1664" s="48">
        <v>10</v>
      </c>
      <c r="I1664" s="14">
        <f>VENTAS[[#This Row],[Cantidad]]*VENTAS[[#This Row],[Precio Venta]]</f>
        <v>10</v>
      </c>
      <c r="J1664" s="14">
        <f>IF(VENTAS[[#This Row],[Nombre del Gestor]]&gt;1,VENTAS[[#This Row],[Total]]*10%,0)</f>
        <v>1</v>
      </c>
      <c r="K1664" s="14">
        <f>IFERROR(VLOOKUP(VENTAS[[#This Row],[Código del producto Vendido]],STOCK[],16,FALSE)*VENTAS[[#This Row],[Cantidad]]+VLOOKUP(VENTAS[[#This Row],[Código del producto Vendido]],STOCK[],19,FALSE)*VENTAS[[#This Row],[Cantidad]],VENTAS[[#This Row],[Total]])</f>
        <v>5.121875</v>
      </c>
      <c r="L1664" s="14">
        <f>VENTAS[[#This Row],[Total]]-VENTAS[[#This Row],[Comisión 10%]]-VENTAS[[#This Row],[Costo SIN Comision]]</f>
        <v>3.878125</v>
      </c>
      <c r="M1664" s="48"/>
      <c r="N1664" s="49" t="s">
        <v>4514</v>
      </c>
    </row>
    <row r="1665" s="4" customFormat="1" ht="20" hidden="1" customHeight="1" spans="1:14">
      <c r="A1665" s="46">
        <v>45509</v>
      </c>
      <c r="B1665" s="47"/>
      <c r="C1665" s="47"/>
      <c r="D1665" s="47" t="s">
        <v>4241</v>
      </c>
      <c r="E1665" s="47" t="s">
        <v>2333</v>
      </c>
      <c r="F1665" s="11" t="str">
        <f>IFERROR(VLOOKUP(VENTAS[[#This Row],[Código del producto Vendido]],STOCK[],5,FALSE),"-")</f>
        <v>Set de 3 piezas bikini con estampado floral</v>
      </c>
      <c r="G1665" s="47">
        <v>1</v>
      </c>
      <c r="H1665" s="48">
        <v>20</v>
      </c>
      <c r="I1665" s="14">
        <f>VENTAS[[#This Row],[Cantidad]]*VENTAS[[#This Row],[Precio Venta]]</f>
        <v>20</v>
      </c>
      <c r="J1665" s="14">
        <f>IF(VENTAS[[#This Row],[Nombre del Gestor]]&gt;1,VENTAS[[#This Row],[Total]]*10%,0)</f>
        <v>2</v>
      </c>
      <c r="K1665" s="14">
        <f>IFERROR(VLOOKUP(VENTAS[[#This Row],[Código del producto Vendido]],STOCK[],16,FALSE)*VENTAS[[#This Row],[Cantidad]]+VLOOKUP(VENTAS[[#This Row],[Código del producto Vendido]],STOCK[],19,FALSE)*VENTAS[[#This Row],[Cantidad]],VENTAS[[#This Row],[Total]])</f>
        <v>13.409375</v>
      </c>
      <c r="L1665" s="14">
        <f>VENTAS[[#This Row],[Total]]-VENTAS[[#This Row],[Comisión 10%]]-VENTAS[[#This Row],[Costo SIN Comision]]</f>
        <v>4.590625</v>
      </c>
      <c r="M1665" s="48"/>
      <c r="N1665" s="49" t="s">
        <v>4515</v>
      </c>
    </row>
    <row r="1666" s="4" customFormat="1" ht="20" hidden="1" customHeight="1" spans="1:14">
      <c r="A1666" s="46">
        <v>45509</v>
      </c>
      <c r="B1666" s="47"/>
      <c r="C1666" s="47"/>
      <c r="D1666" s="47" t="s">
        <v>4266</v>
      </c>
      <c r="E1666" s="47" t="s">
        <v>810</v>
      </c>
      <c r="F1666" s="11" t="str">
        <f>IFERROR(VLOOKUP(VENTAS[[#This Row],[Código del producto Vendido]],STOCK[],5,FALSE),"-")</f>
        <v>Bañador estampado en contraste</v>
      </c>
      <c r="G1666" s="47">
        <v>1</v>
      </c>
      <c r="H1666" s="48">
        <v>12</v>
      </c>
      <c r="I1666" s="14">
        <f>VENTAS[[#This Row],[Cantidad]]*VENTAS[[#This Row],[Precio Venta]]</f>
        <v>12</v>
      </c>
      <c r="J1666" s="14">
        <f>IF(VENTAS[[#This Row],[Nombre del Gestor]]&gt;1,VENTAS[[#This Row],[Total]]*10%,0)</f>
        <v>1.2</v>
      </c>
      <c r="K1666" s="14">
        <f>IFERROR(VLOOKUP(VENTAS[[#This Row],[Código del producto Vendido]],STOCK[],16,FALSE)*VENTAS[[#This Row],[Cantidad]]+VLOOKUP(VENTAS[[#This Row],[Código del producto Vendido]],STOCK[],19,FALSE)*VENTAS[[#This Row],[Cantidad]],VENTAS[[#This Row],[Total]])</f>
        <v>7.83333333333333</v>
      </c>
      <c r="L1666" s="14">
        <f>VENTAS[[#This Row],[Total]]-VENTAS[[#This Row],[Comisión 10%]]-VENTAS[[#This Row],[Costo SIN Comision]]</f>
        <v>2.96666666666667</v>
      </c>
      <c r="M1666" s="48"/>
      <c r="N1666" s="49" t="s">
        <v>4516</v>
      </c>
    </row>
    <row r="1667" s="4" customFormat="1" ht="20" hidden="1" customHeight="1" spans="1:14">
      <c r="A1667" s="46">
        <v>45509</v>
      </c>
      <c r="B1667" s="47"/>
      <c r="C1667" s="47"/>
      <c r="D1667" s="47"/>
      <c r="E1667" s="47" t="s">
        <v>4517</v>
      </c>
      <c r="F1667" s="11" t="str">
        <f>IFERROR(VLOOKUP(VENTAS[[#This Row],[Código del producto Vendido]],STOCK[],5,FALSE),"-")</f>
        <v>-</v>
      </c>
      <c r="G1667" s="47">
        <v>1</v>
      </c>
      <c r="H1667" s="48">
        <v>20</v>
      </c>
      <c r="I1667" s="14">
        <f>VENTAS[[#This Row],[Cantidad]]*VENTAS[[#This Row],[Precio Venta]]</f>
        <v>20</v>
      </c>
      <c r="J1667" s="14">
        <f>IF(VENTAS[[#This Row],[Nombre del Gestor]]&gt;1,VENTAS[[#This Row],[Total]]*10%,0)</f>
        <v>0</v>
      </c>
      <c r="K1667" s="14">
        <f>IFERROR(VLOOKUP(VENTAS[[#This Row],[Código del producto Vendido]],STOCK[],16,FALSE)*VENTAS[[#This Row],[Cantidad]]+VLOOKUP(VENTAS[[#This Row],[Código del producto Vendido]],STOCK[],19,FALSE)*VENTAS[[#This Row],[Cantidad]],VENTAS[[#This Row],[Total]])</f>
        <v>20</v>
      </c>
      <c r="L1667" s="14">
        <f>VENTAS[[#This Row],[Total]]-VENTAS[[#This Row],[Comisión 10%]]-VENTAS[[#This Row],[Costo SIN Comision]]</f>
        <v>0</v>
      </c>
      <c r="M1667" s="48"/>
      <c r="N1667" s="49" t="s">
        <v>4518</v>
      </c>
    </row>
    <row r="1668" s="4" customFormat="1" ht="20" hidden="1" customHeight="1" spans="1:14">
      <c r="A1668" s="46">
        <v>45509</v>
      </c>
      <c r="B1668" s="47"/>
      <c r="C1668" s="47"/>
      <c r="D1668" s="47"/>
      <c r="E1668" s="47" t="s">
        <v>1898</v>
      </c>
      <c r="F1668" s="11" t="str">
        <f>IFERROR(VLOOKUP(VENTAS[[#This Row],[Código del producto Vendido]],STOCK[],5,FALSE),"-")</f>
        <v>Bolso mochila estampado</v>
      </c>
      <c r="G1668" s="47">
        <v>0</v>
      </c>
      <c r="H1668" s="48">
        <v>25</v>
      </c>
      <c r="I1668" s="14">
        <f>VENTAS[[#This Row],[Cantidad]]*VENTAS[[#This Row],[Precio Venta]]</f>
        <v>0</v>
      </c>
      <c r="J1668" s="14">
        <f>IF(VENTAS[[#This Row],[Nombre del Gestor]]&gt;1,VENTAS[[#This Row],[Total]]*10%,0)</f>
        <v>0</v>
      </c>
      <c r="K1668" s="14">
        <f>IFERROR(VLOOKUP(VENTAS[[#This Row],[Código del producto Vendido]],STOCK[],16,FALSE)*VENTAS[[#This Row],[Cantidad]]+VLOOKUP(VENTAS[[#This Row],[Código del producto Vendido]],STOCK[],19,FALSE)*VENTAS[[#This Row],[Cantidad]],VENTAS[[#This Row],[Total]])</f>
        <v>0</v>
      </c>
      <c r="L1668" s="14">
        <f>VENTAS[[#This Row],[Total]]-VENTAS[[#This Row],[Comisión 10%]]-VENTAS[[#This Row],[Costo SIN Comision]]</f>
        <v>0</v>
      </c>
      <c r="M1668" s="48"/>
      <c r="N1668" s="49" t="s">
        <v>4519</v>
      </c>
    </row>
    <row r="1669" s="4" customFormat="1" ht="20" hidden="1" customHeight="1" spans="1:14">
      <c r="A1669" s="46">
        <v>45509</v>
      </c>
      <c r="B1669" s="47"/>
      <c r="C1669" s="47"/>
      <c r="D1669" s="47"/>
      <c r="E1669" s="47" t="s">
        <v>4520</v>
      </c>
      <c r="F1669" s="11" t="str">
        <f>IFERROR(VLOOKUP(VENTAS[[#This Row],[Código del producto Vendido]],STOCK[],5,FALSE),"-")</f>
        <v>-</v>
      </c>
      <c r="G1669" s="47">
        <v>1</v>
      </c>
      <c r="H1669" s="48">
        <v>25</v>
      </c>
      <c r="I1669" s="14">
        <f>VENTAS[[#This Row],[Cantidad]]*VENTAS[[#This Row],[Precio Venta]]</f>
        <v>25</v>
      </c>
      <c r="J1669" s="14">
        <f>IF(VENTAS[[#This Row],[Nombre del Gestor]]&gt;1,VENTAS[[#This Row],[Total]]*10%,0)</f>
        <v>0</v>
      </c>
      <c r="K1669" s="14">
        <f>IFERROR(VLOOKUP(VENTAS[[#This Row],[Código del producto Vendido]],STOCK[],16,FALSE)*VENTAS[[#This Row],[Cantidad]]+VLOOKUP(VENTAS[[#This Row],[Código del producto Vendido]],STOCK[],19,FALSE)*VENTAS[[#This Row],[Cantidad]],VENTAS[[#This Row],[Total]])</f>
        <v>25</v>
      </c>
      <c r="L1669" s="14">
        <f>VENTAS[[#This Row],[Total]]-VENTAS[[#This Row],[Comisión 10%]]-VENTAS[[#This Row],[Costo SIN Comision]]</f>
        <v>0</v>
      </c>
      <c r="M1669" s="48"/>
      <c r="N1669" s="49" t="s">
        <v>4521</v>
      </c>
    </row>
    <row r="1670" s="4" customFormat="1" ht="20" hidden="1" customHeight="1" spans="1:14">
      <c r="A1670" s="46">
        <v>45511</v>
      </c>
      <c r="B1670" s="47"/>
      <c r="C1670" s="47"/>
      <c r="D1670" s="47"/>
      <c r="E1670" s="47" t="s">
        <v>799</v>
      </c>
      <c r="F1670" s="11" t="str">
        <f>IFERROR(VLOOKUP(VENTAS[[#This Row],[Código del producto Vendido]],STOCK[],5,FALSE),"-")</f>
        <v>Bañador  animal print</v>
      </c>
      <c r="G1670" s="47">
        <v>1</v>
      </c>
      <c r="H1670" s="48">
        <v>15</v>
      </c>
      <c r="I1670" s="14">
        <f>VENTAS[[#This Row],[Cantidad]]*VENTAS[[#This Row],[Precio Venta]]</f>
        <v>15</v>
      </c>
      <c r="J1670" s="14">
        <f>IF(VENTAS[[#This Row],[Nombre del Gestor]]&gt;1,VENTAS[[#This Row],[Total]]*10%,0)</f>
        <v>0</v>
      </c>
      <c r="K1670" s="14">
        <f>IFERROR(VLOOKUP(VENTAS[[#This Row],[Código del producto Vendido]],STOCK[],16,FALSE)*VENTAS[[#This Row],[Cantidad]]+VLOOKUP(VENTAS[[#This Row],[Código del producto Vendido]],STOCK[],19,FALSE)*VENTAS[[#This Row],[Cantidad]],VENTAS[[#This Row],[Total]])</f>
        <v>7.27777777777778</v>
      </c>
      <c r="L1670" s="14">
        <f>VENTAS[[#This Row],[Total]]-VENTAS[[#This Row],[Comisión 10%]]-VENTAS[[#This Row],[Costo SIN Comision]]</f>
        <v>7.72222222222222</v>
      </c>
      <c r="M1670" s="48"/>
      <c r="N1670" s="49" t="s">
        <v>4522</v>
      </c>
    </row>
    <row r="1671" s="4" customFormat="1" ht="20" hidden="1" customHeight="1" spans="1:14">
      <c r="A1671" s="46">
        <v>45531</v>
      </c>
      <c r="B1671" s="47"/>
      <c r="C1671" s="47"/>
      <c r="D1671" s="47" t="s">
        <v>4241</v>
      </c>
      <c r="E1671" s="47" t="s">
        <v>1100</v>
      </c>
      <c r="F1671" s="11" t="str">
        <f>IFERROR(VLOOKUP(VENTAS[[#This Row],[Código del producto Vendido]],STOCK[],5,FALSE),"-")</f>
        <v>Sandalias crema</v>
      </c>
      <c r="G1671" s="47">
        <v>1</v>
      </c>
      <c r="H1671" s="48">
        <v>35</v>
      </c>
      <c r="I1671" s="14">
        <f>VENTAS[[#This Row],[Cantidad]]*VENTAS[[#This Row],[Precio Venta]]</f>
        <v>35</v>
      </c>
      <c r="J1671" s="14">
        <f>IF(VENTAS[[#This Row],[Nombre del Gestor]]&gt;1,VENTAS[[#This Row],[Total]]*10%,0)</f>
        <v>3.5</v>
      </c>
      <c r="K1671" s="14">
        <f>IFERROR(VLOOKUP(VENTAS[[#This Row],[Código del producto Vendido]],STOCK[],16,FALSE)*VENTAS[[#This Row],[Cantidad]]+VLOOKUP(VENTAS[[#This Row],[Código del producto Vendido]],STOCK[],19,FALSE)*VENTAS[[#This Row],[Cantidad]],VENTAS[[#This Row],[Total]])</f>
        <v>26.8529411764706</v>
      </c>
      <c r="L1671" s="14">
        <f>VENTAS[[#This Row],[Total]]-VENTAS[[#This Row],[Comisión 10%]]-VENTAS[[#This Row],[Costo SIN Comision]]</f>
        <v>4.6470588235294</v>
      </c>
      <c r="M1671" s="48"/>
      <c r="N1671" s="49" t="s">
        <v>4523</v>
      </c>
    </row>
    <row r="1672" s="4" customFormat="1" ht="20" hidden="1" customHeight="1" spans="1:14">
      <c r="A1672" s="46">
        <v>45534</v>
      </c>
      <c r="B1672" s="47"/>
      <c r="C1672" s="47"/>
      <c r="D1672" s="47" t="s">
        <v>4212</v>
      </c>
      <c r="E1672" s="47" t="s">
        <v>2595</v>
      </c>
      <c r="F1672" s="11" t="str">
        <f>IFERROR(VLOOKUP(VENTAS[[#This Row],[Código del producto Vendido]],STOCK[],5,FALSE),"-")</f>
        <v>Falda larga de visillo con maxi estampado de flor</v>
      </c>
      <c r="G1672" s="47">
        <v>0</v>
      </c>
      <c r="H1672" s="48">
        <v>25</v>
      </c>
      <c r="I1672" s="14">
        <f>VENTAS[[#This Row],[Cantidad]]*VENTAS[[#This Row],[Precio Venta]]</f>
        <v>0</v>
      </c>
      <c r="J1672" s="14">
        <f>IF(VENTAS[[#This Row],[Nombre del Gestor]]&gt;1,VENTAS[[#This Row],[Total]]*10%,0)</f>
        <v>0</v>
      </c>
      <c r="K1672" s="14">
        <f>IFERROR(VLOOKUP(VENTAS[[#This Row],[Código del producto Vendido]],STOCK[],16,FALSE)*VENTAS[[#This Row],[Cantidad]]+VLOOKUP(VENTAS[[#This Row],[Código del producto Vendido]],STOCK[],19,FALSE)*VENTAS[[#This Row],[Cantidad]],VENTAS[[#This Row],[Total]])</f>
        <v>0</v>
      </c>
      <c r="L1672" s="14">
        <f>VENTAS[[#This Row],[Total]]-VENTAS[[#This Row],[Comisión 10%]]-VENTAS[[#This Row],[Costo SIN Comision]]</f>
        <v>0</v>
      </c>
      <c r="M1672" s="48"/>
      <c r="N1672" s="49" t="s">
        <v>4524</v>
      </c>
    </row>
    <row r="1673" s="4" customFormat="1" ht="20" hidden="1" customHeight="1" spans="1:14">
      <c r="A1673" s="46">
        <v>45534</v>
      </c>
      <c r="B1673" s="47"/>
      <c r="C1673" s="47"/>
      <c r="D1673" s="47"/>
      <c r="E1673" s="47" t="s">
        <v>4525</v>
      </c>
      <c r="F1673" s="11" t="str">
        <f>IFERROR(VLOOKUP(VENTAS[[#This Row],[Código del producto Vendido]],STOCK[],5,FALSE),"-")</f>
        <v>-</v>
      </c>
      <c r="G1673" s="47">
        <v>1</v>
      </c>
      <c r="H1673" s="48">
        <v>25</v>
      </c>
      <c r="I1673" s="14">
        <f>VENTAS[[#This Row],[Cantidad]]*VENTAS[[#This Row],[Precio Venta]]</f>
        <v>25</v>
      </c>
      <c r="J1673" s="14">
        <f>IF(VENTAS[[#This Row],[Nombre del Gestor]]&gt;1,VENTAS[[#This Row],[Total]]*10%,0)</f>
        <v>0</v>
      </c>
      <c r="K1673" s="14">
        <f>IFERROR(VLOOKUP(VENTAS[[#This Row],[Código del producto Vendido]],STOCK[],16,FALSE)*VENTAS[[#This Row],[Cantidad]]+VLOOKUP(VENTAS[[#This Row],[Código del producto Vendido]],STOCK[],19,FALSE)*VENTAS[[#This Row],[Cantidad]],VENTAS[[#This Row],[Total]])</f>
        <v>25</v>
      </c>
      <c r="L1673" s="14">
        <f>VENTAS[[#This Row],[Total]]-VENTAS[[#This Row],[Comisión 10%]]-VENTAS[[#This Row],[Costo SIN Comision]]</f>
        <v>0</v>
      </c>
      <c r="M1673" s="48"/>
      <c r="N1673" s="49" t="s">
        <v>4526</v>
      </c>
    </row>
    <row r="1674" s="4" customFormat="1" ht="20" hidden="1" customHeight="1" spans="1:14">
      <c r="A1674" s="46">
        <v>45534</v>
      </c>
      <c r="B1674" s="47"/>
      <c r="C1674" s="47"/>
      <c r="D1674" s="47"/>
      <c r="E1674" s="47" t="s">
        <v>4525</v>
      </c>
      <c r="F1674" s="11" t="str">
        <f>IFERROR(VLOOKUP(VENTAS[[#This Row],[Código del producto Vendido]],STOCK[],5,FALSE),"-")</f>
        <v>-</v>
      </c>
      <c r="G1674" s="47">
        <v>1</v>
      </c>
      <c r="H1674" s="48">
        <v>25</v>
      </c>
      <c r="I1674" s="14">
        <f>VENTAS[[#This Row],[Cantidad]]*VENTAS[[#This Row],[Precio Venta]]</f>
        <v>25</v>
      </c>
      <c r="J1674" s="14">
        <f>IF(VENTAS[[#This Row],[Nombre del Gestor]]&gt;1,VENTAS[[#This Row],[Total]]*10%,0)</f>
        <v>0</v>
      </c>
      <c r="K1674" s="14">
        <f>IFERROR(VLOOKUP(VENTAS[[#This Row],[Código del producto Vendido]],STOCK[],16,FALSE)*VENTAS[[#This Row],[Cantidad]]+VLOOKUP(VENTAS[[#This Row],[Código del producto Vendido]],STOCK[],19,FALSE)*VENTAS[[#This Row],[Cantidad]],VENTAS[[#This Row],[Total]])</f>
        <v>25</v>
      </c>
      <c r="L1674" s="14">
        <f>VENTAS[[#This Row],[Total]]-VENTAS[[#This Row],[Comisión 10%]]-VENTAS[[#This Row],[Costo SIN Comision]]</f>
        <v>0</v>
      </c>
      <c r="M1674" s="48"/>
      <c r="N1674" s="49" t="s">
        <v>4527</v>
      </c>
    </row>
    <row r="1675" s="4" customFormat="1" ht="20" hidden="1" customHeight="1" spans="1:14">
      <c r="A1675" s="46">
        <v>45534</v>
      </c>
      <c r="B1675" s="47"/>
      <c r="C1675" s="47"/>
      <c r="D1675" s="47"/>
      <c r="E1675" s="47" t="s">
        <v>2595</v>
      </c>
      <c r="F1675" s="11" t="str">
        <f>IFERROR(VLOOKUP(VENTAS[[#This Row],[Código del producto Vendido]],STOCK[],5,FALSE),"-")</f>
        <v>Falda larga de visillo con maxi estampado de flor</v>
      </c>
      <c r="G1675" s="47">
        <v>0</v>
      </c>
      <c r="H1675" s="48">
        <v>25</v>
      </c>
      <c r="I1675" s="14">
        <f>VENTAS[[#This Row],[Cantidad]]*VENTAS[[#This Row],[Precio Venta]]</f>
        <v>0</v>
      </c>
      <c r="J1675" s="14">
        <f>IF(VENTAS[[#This Row],[Nombre del Gestor]]&gt;1,VENTAS[[#This Row],[Total]]*10%,0)</f>
        <v>0</v>
      </c>
      <c r="K1675" s="14">
        <f>IFERROR(VLOOKUP(VENTAS[[#This Row],[Código del producto Vendido]],STOCK[],16,FALSE)*VENTAS[[#This Row],[Cantidad]]+VLOOKUP(VENTAS[[#This Row],[Código del producto Vendido]],STOCK[],19,FALSE)*VENTAS[[#This Row],[Cantidad]],VENTAS[[#This Row],[Total]])</f>
        <v>0</v>
      </c>
      <c r="L1675" s="14">
        <f>VENTAS[[#This Row],[Total]]-VENTAS[[#This Row],[Comisión 10%]]-VENTAS[[#This Row],[Costo SIN Comision]]</f>
        <v>0</v>
      </c>
      <c r="M1675" s="48"/>
      <c r="N1675" s="49" t="s">
        <v>4528</v>
      </c>
    </row>
    <row r="1676" s="4" customFormat="1" ht="20" hidden="1" customHeight="1" spans="1:14">
      <c r="A1676" s="46">
        <v>45535</v>
      </c>
      <c r="B1676" s="47"/>
      <c r="C1676" s="47"/>
      <c r="D1676" s="47" t="s">
        <v>4222</v>
      </c>
      <c r="E1676" s="47" t="s">
        <v>4529</v>
      </c>
      <c r="F1676" s="11" t="str">
        <f>IFERROR(VLOOKUP(VENTAS[[#This Row],[Código del producto Vendido]],STOCK[],5,FALSE),"-")</f>
        <v>-</v>
      </c>
      <c r="G1676" s="47">
        <v>1</v>
      </c>
      <c r="H1676" s="48">
        <v>25</v>
      </c>
      <c r="I1676" s="14">
        <f>VENTAS[[#This Row],[Cantidad]]*VENTAS[[#This Row],[Precio Venta]]</f>
        <v>25</v>
      </c>
      <c r="J1676" s="14">
        <f>IF(VENTAS[[#This Row],[Nombre del Gestor]]&gt;1,VENTAS[[#This Row],[Total]]*10%,0)</f>
        <v>2.5</v>
      </c>
      <c r="K1676" s="14">
        <f>IFERROR(VLOOKUP(VENTAS[[#This Row],[Código del producto Vendido]],STOCK[],16,FALSE)*VENTAS[[#This Row],[Cantidad]]+VLOOKUP(VENTAS[[#This Row],[Código del producto Vendido]],STOCK[],19,FALSE)*VENTAS[[#This Row],[Cantidad]],VENTAS[[#This Row],[Total]])</f>
        <v>25</v>
      </c>
      <c r="L1676" s="14">
        <f>VENTAS[[#This Row],[Total]]-VENTAS[[#This Row],[Comisión 10%]]-VENTAS[[#This Row],[Costo SIN Comision]]</f>
        <v>-2.5</v>
      </c>
      <c r="M1676" s="48"/>
      <c r="N1676" s="49" t="s">
        <v>4530</v>
      </c>
    </row>
    <row r="1677" s="4" customFormat="1" ht="20" hidden="1" customHeight="1" spans="1:14">
      <c r="A1677" s="46">
        <v>45535</v>
      </c>
      <c r="B1677" s="47"/>
      <c r="C1677" s="47"/>
      <c r="D1677" s="47" t="s">
        <v>4222</v>
      </c>
      <c r="E1677" s="47" t="s">
        <v>2646</v>
      </c>
      <c r="F1677" s="11" t="str">
        <f>IFERROR(VLOOKUP(VENTAS[[#This Row],[Código del producto Vendido]],STOCK[],5,FALSE),"-")</f>
        <v>Camisa Oversize en mezcla de lino H&amp;M</v>
      </c>
      <c r="G1677" s="47">
        <v>1</v>
      </c>
      <c r="H1677" s="48">
        <v>26</v>
      </c>
      <c r="I1677" s="14">
        <f>VENTAS[[#This Row],[Cantidad]]*VENTAS[[#This Row],[Precio Venta]]</f>
        <v>26</v>
      </c>
      <c r="J1677" s="14">
        <f>IF(VENTAS[[#This Row],[Nombre del Gestor]]&gt;1,VENTAS[[#This Row],[Total]]*10%,0)</f>
        <v>2.6</v>
      </c>
      <c r="K1677" s="14">
        <f>IFERROR(VLOOKUP(VENTAS[[#This Row],[Código del producto Vendido]],STOCK[],16,FALSE)*VENTAS[[#This Row],[Cantidad]]+VLOOKUP(VENTAS[[#This Row],[Código del producto Vendido]],STOCK[],19,FALSE)*VENTAS[[#This Row],[Cantidad]],VENTAS[[#This Row],[Total]])</f>
        <v>11.96</v>
      </c>
      <c r="L1677" s="14">
        <f>VENTAS[[#This Row],[Total]]-VENTAS[[#This Row],[Comisión 10%]]-VENTAS[[#This Row],[Costo SIN Comision]]</f>
        <v>11.44</v>
      </c>
      <c r="M1677" s="48"/>
      <c r="N1677" s="49" t="s">
        <v>4531</v>
      </c>
    </row>
    <row r="1678" s="4" customFormat="1" ht="20" hidden="1" customHeight="1" spans="1:14">
      <c r="A1678" s="46">
        <v>45535</v>
      </c>
      <c r="B1678" s="47"/>
      <c r="C1678" s="47"/>
      <c r="D1678" s="47" t="s">
        <v>4222</v>
      </c>
      <c r="E1678" s="47" t="s">
        <v>4532</v>
      </c>
      <c r="F1678" s="11" t="str">
        <f>IFERROR(VLOOKUP(VENTAS[[#This Row],[Código del producto Vendido]],STOCK[],5,FALSE),"-")</f>
        <v>-</v>
      </c>
      <c r="G1678" s="47">
        <v>1</v>
      </c>
      <c r="H1678" s="48">
        <v>27</v>
      </c>
      <c r="I1678" s="14">
        <f>VENTAS[[#This Row],[Cantidad]]*VENTAS[[#This Row],[Precio Venta]]</f>
        <v>27</v>
      </c>
      <c r="J1678" s="14">
        <f>IF(VENTAS[[#This Row],[Nombre del Gestor]]&gt;1,VENTAS[[#This Row],[Total]]*10%,0)</f>
        <v>2.7</v>
      </c>
      <c r="K1678" s="14">
        <f>IFERROR(VLOOKUP(VENTAS[[#This Row],[Código del producto Vendido]],STOCK[],16,FALSE)*VENTAS[[#This Row],[Cantidad]]+VLOOKUP(VENTAS[[#This Row],[Código del producto Vendido]],STOCK[],19,FALSE)*VENTAS[[#This Row],[Cantidad]],VENTAS[[#This Row],[Total]])</f>
        <v>27</v>
      </c>
      <c r="L1678" s="14">
        <f>VENTAS[[#This Row],[Total]]-VENTAS[[#This Row],[Comisión 10%]]-VENTAS[[#This Row],[Costo SIN Comision]]</f>
        <v>-2.7</v>
      </c>
      <c r="M1678" s="48"/>
      <c r="N1678" s="49" t="s">
        <v>4533</v>
      </c>
    </row>
    <row r="1679" s="4" customFormat="1" ht="20" hidden="1" customHeight="1" spans="1:14">
      <c r="A1679" s="46">
        <v>45535</v>
      </c>
      <c r="B1679" s="47"/>
      <c r="C1679" s="47"/>
      <c r="D1679" s="47" t="s">
        <v>4222</v>
      </c>
      <c r="E1679" s="47" t="s">
        <v>2686</v>
      </c>
      <c r="F1679" s="11" t="str">
        <f>IFERROR(VLOOKUP(VENTAS[[#This Row],[Código del producto Vendido]],STOCK[],5,FALSE),"-")</f>
        <v>Camisa verde oversize</v>
      </c>
      <c r="G1679" s="47">
        <v>1</v>
      </c>
      <c r="H1679" s="48">
        <v>28</v>
      </c>
      <c r="I1679" s="14">
        <f>VENTAS[[#This Row],[Cantidad]]*VENTAS[[#This Row],[Precio Venta]]</f>
        <v>28</v>
      </c>
      <c r="J1679" s="14">
        <f>IF(VENTAS[[#This Row],[Nombre del Gestor]]&gt;1,VENTAS[[#This Row],[Total]]*10%,0)</f>
        <v>2.8</v>
      </c>
      <c r="K1679" s="14">
        <f>IFERROR(VLOOKUP(VENTAS[[#This Row],[Código del producto Vendido]],STOCK[],16,FALSE)*VENTAS[[#This Row],[Cantidad]]+VLOOKUP(VENTAS[[#This Row],[Código del producto Vendido]],STOCK[],19,FALSE)*VENTAS[[#This Row],[Cantidad]],VENTAS[[#This Row],[Total]])</f>
        <v>12.69</v>
      </c>
      <c r="L1679" s="14">
        <f>VENTAS[[#This Row],[Total]]-VENTAS[[#This Row],[Comisión 10%]]-VENTAS[[#This Row],[Costo SIN Comision]]</f>
        <v>12.51</v>
      </c>
      <c r="M1679" s="48"/>
      <c r="N1679" s="49" t="s">
        <v>4534</v>
      </c>
    </row>
    <row r="1680" s="4" customFormat="1" ht="20" hidden="1" customHeight="1" spans="1:14">
      <c r="A1680" s="46">
        <v>45536</v>
      </c>
      <c r="B1680" s="47"/>
      <c r="C1680" s="47"/>
      <c r="D1680" s="47" t="s">
        <v>4076</v>
      </c>
      <c r="E1680" s="47" t="s">
        <v>1440</v>
      </c>
      <c r="F1680" s="11" t="str">
        <f>IFERROR(VLOOKUP(VENTAS[[#This Row],[Código del producto Vendido]],STOCK[],5,FALSE),"-")</f>
        <v>Sandalias negras acolchadas Marca F21</v>
      </c>
      <c r="G1680" s="47">
        <v>1</v>
      </c>
      <c r="H1680" s="48">
        <v>29</v>
      </c>
      <c r="I1680" s="14">
        <f>VENTAS[[#This Row],[Cantidad]]*VENTAS[[#This Row],[Precio Venta]]</f>
        <v>29</v>
      </c>
      <c r="J1680" s="14">
        <f>IF(VENTAS[[#This Row],[Nombre del Gestor]]&gt;1,VENTAS[[#This Row],[Total]]*10%,0)</f>
        <v>2.9</v>
      </c>
      <c r="K1680" s="14">
        <f>IFERROR(VLOOKUP(VENTAS[[#This Row],[Código del producto Vendido]],STOCK[],16,FALSE)*VENTAS[[#This Row],[Cantidad]]+VLOOKUP(VENTAS[[#This Row],[Código del producto Vendido]],STOCK[],19,FALSE)*VENTAS[[#This Row],[Cantidad]],VENTAS[[#This Row],[Total]])</f>
        <v>12.49</v>
      </c>
      <c r="L1680" s="14">
        <f>VENTAS[[#This Row],[Total]]-VENTAS[[#This Row],[Comisión 10%]]-VENTAS[[#This Row],[Costo SIN Comision]]</f>
        <v>13.61</v>
      </c>
      <c r="M1680" s="48"/>
      <c r="N1680" s="49" t="s">
        <v>4535</v>
      </c>
    </row>
    <row r="1681" s="4" customFormat="1" ht="20" hidden="1" customHeight="1" spans="1:14">
      <c r="A1681" s="46">
        <v>45536</v>
      </c>
      <c r="B1681" s="47"/>
      <c r="C1681" s="47"/>
      <c r="D1681" s="47" t="s">
        <v>4076</v>
      </c>
      <c r="E1681" s="47" t="s">
        <v>4536</v>
      </c>
      <c r="F1681" s="11" t="str">
        <f>IFERROR(VLOOKUP(VENTAS[[#This Row],[Código del producto Vendido]],STOCK[],5,FALSE),"-")</f>
        <v>-</v>
      </c>
      <c r="G1681" s="47">
        <v>1</v>
      </c>
      <c r="H1681" s="48">
        <v>30</v>
      </c>
      <c r="I1681" s="14">
        <f>VENTAS[[#This Row],[Cantidad]]*VENTAS[[#This Row],[Precio Venta]]</f>
        <v>30</v>
      </c>
      <c r="J1681" s="14">
        <f>IF(VENTAS[[#This Row],[Nombre del Gestor]]&gt;1,VENTAS[[#This Row],[Total]]*10%,0)</f>
        <v>3</v>
      </c>
      <c r="K1681" s="14">
        <f>IFERROR(VLOOKUP(VENTAS[[#This Row],[Código del producto Vendido]],STOCK[],16,FALSE)*VENTAS[[#This Row],[Cantidad]]+VLOOKUP(VENTAS[[#This Row],[Código del producto Vendido]],STOCK[],19,FALSE)*VENTAS[[#This Row],[Cantidad]],VENTAS[[#This Row],[Total]])</f>
        <v>30</v>
      </c>
      <c r="L1681" s="14">
        <f>VENTAS[[#This Row],[Total]]-VENTAS[[#This Row],[Comisión 10%]]-VENTAS[[#This Row],[Costo SIN Comision]]</f>
        <v>-3</v>
      </c>
      <c r="M1681" s="48"/>
      <c r="N1681" s="49" t="s">
        <v>4537</v>
      </c>
    </row>
    <row r="1682" s="4" customFormat="1" ht="20" hidden="1" customHeight="1" spans="1:14">
      <c r="A1682" s="46">
        <v>45536</v>
      </c>
      <c r="B1682" s="47"/>
      <c r="C1682" s="47"/>
      <c r="D1682" s="47" t="s">
        <v>4241</v>
      </c>
      <c r="E1682" s="47" t="s">
        <v>2453</v>
      </c>
      <c r="F1682" s="11" t="str">
        <f>IFERROR(VLOOKUP(VENTAS[[#This Row],[Código del producto Vendido]],STOCK[],5,FALSE),"-")</f>
        <v>Sandalias carmelitas de moda con correa de velcro</v>
      </c>
      <c r="G1682" s="47">
        <v>0</v>
      </c>
      <c r="H1682" s="48">
        <v>31</v>
      </c>
      <c r="I1682" s="14">
        <f>VENTAS[[#This Row],[Cantidad]]*VENTAS[[#This Row],[Precio Venta]]</f>
        <v>0</v>
      </c>
      <c r="J1682" s="14">
        <f>IF(VENTAS[[#This Row],[Nombre del Gestor]]&gt;1,VENTAS[[#This Row],[Total]]*10%,0)</f>
        <v>0</v>
      </c>
      <c r="K1682" s="14">
        <f>IFERROR(VLOOKUP(VENTAS[[#This Row],[Código del producto Vendido]],STOCK[],16,FALSE)*VENTAS[[#This Row],[Cantidad]]+VLOOKUP(VENTAS[[#This Row],[Código del producto Vendido]],STOCK[],19,FALSE)*VENTAS[[#This Row],[Cantidad]],VENTAS[[#This Row],[Total]])</f>
        <v>0</v>
      </c>
      <c r="L1682" s="14">
        <f>VENTAS[[#This Row],[Total]]-VENTAS[[#This Row],[Comisión 10%]]-VENTAS[[#This Row],[Costo SIN Comision]]</f>
        <v>0</v>
      </c>
      <c r="M1682" s="48"/>
      <c r="N1682" s="49" t="s">
        <v>4538</v>
      </c>
    </row>
    <row r="1683" s="4" customFormat="1" ht="20" hidden="1" customHeight="1" spans="1:14">
      <c r="A1683" s="46">
        <v>45536</v>
      </c>
      <c r="B1683" s="47"/>
      <c r="C1683" s="47"/>
      <c r="D1683" s="47" t="s">
        <v>4272</v>
      </c>
      <c r="E1683" s="47" t="s">
        <v>4539</v>
      </c>
      <c r="F1683" s="11" t="str">
        <f>IFERROR(VLOOKUP(VENTAS[[#This Row],[Código del producto Vendido]],STOCK[],5,FALSE),"-")</f>
        <v>-</v>
      </c>
      <c r="G1683" s="47">
        <v>1</v>
      </c>
      <c r="H1683" s="48">
        <v>32</v>
      </c>
      <c r="I1683" s="14">
        <f>VENTAS[[#This Row],[Cantidad]]*VENTAS[[#This Row],[Precio Venta]]</f>
        <v>32</v>
      </c>
      <c r="J1683" s="14">
        <f>IF(VENTAS[[#This Row],[Nombre del Gestor]]&gt;1,VENTAS[[#This Row],[Total]]*10%,0)</f>
        <v>3.2</v>
      </c>
      <c r="K1683" s="14">
        <f>IFERROR(VLOOKUP(VENTAS[[#This Row],[Código del producto Vendido]],STOCK[],16,FALSE)*VENTAS[[#This Row],[Cantidad]]+VLOOKUP(VENTAS[[#This Row],[Código del producto Vendido]],STOCK[],19,FALSE)*VENTAS[[#This Row],[Cantidad]],VENTAS[[#This Row],[Total]])</f>
        <v>32</v>
      </c>
      <c r="L1683" s="14">
        <f>VENTAS[[#This Row],[Total]]-VENTAS[[#This Row],[Comisión 10%]]-VENTAS[[#This Row],[Costo SIN Comision]]</f>
        <v>-3.2</v>
      </c>
      <c r="M1683" s="48"/>
      <c r="N1683" s="49" t="s">
        <v>4540</v>
      </c>
    </row>
    <row r="1684" s="4" customFormat="1" ht="20" hidden="1" customHeight="1" spans="1:14">
      <c r="A1684" s="46">
        <v>45536</v>
      </c>
      <c r="B1684" s="47"/>
      <c r="C1684" s="47"/>
      <c r="D1684" s="47" t="s">
        <v>4272</v>
      </c>
      <c r="E1684" s="47" t="s">
        <v>4541</v>
      </c>
      <c r="F1684" s="11" t="str">
        <f>IFERROR(VLOOKUP(VENTAS[[#This Row],[Código del producto Vendido]],STOCK[],5,FALSE),"-")</f>
        <v>-</v>
      </c>
      <c r="G1684" s="47">
        <v>1</v>
      </c>
      <c r="H1684" s="48">
        <v>33</v>
      </c>
      <c r="I1684" s="14">
        <f>VENTAS[[#This Row],[Cantidad]]*VENTAS[[#This Row],[Precio Venta]]</f>
        <v>33</v>
      </c>
      <c r="J1684" s="14">
        <f>IF(VENTAS[[#This Row],[Nombre del Gestor]]&gt;1,VENTAS[[#This Row],[Total]]*10%,0)</f>
        <v>3.3</v>
      </c>
      <c r="K1684" s="14">
        <f>IFERROR(VLOOKUP(VENTAS[[#This Row],[Código del producto Vendido]],STOCK[],16,FALSE)*VENTAS[[#This Row],[Cantidad]]+VLOOKUP(VENTAS[[#This Row],[Código del producto Vendido]],STOCK[],19,FALSE)*VENTAS[[#This Row],[Cantidad]],VENTAS[[#This Row],[Total]])</f>
        <v>33</v>
      </c>
      <c r="L1684" s="14">
        <f>VENTAS[[#This Row],[Total]]-VENTAS[[#This Row],[Comisión 10%]]-VENTAS[[#This Row],[Costo SIN Comision]]</f>
        <v>-3.3</v>
      </c>
      <c r="M1684" s="48"/>
      <c r="N1684" s="49" t="s">
        <v>4542</v>
      </c>
    </row>
    <row r="1685" s="4" customFormat="1" ht="20" hidden="1" customHeight="1" spans="1:14">
      <c r="A1685" s="46">
        <v>45536</v>
      </c>
      <c r="B1685" s="47"/>
      <c r="C1685" s="47"/>
      <c r="D1685" s="47" t="s">
        <v>4212</v>
      </c>
      <c r="E1685" s="47" t="s">
        <v>2114</v>
      </c>
      <c r="F1685" s="11" t="str">
        <f>IFERROR(VLOOKUP(VENTAS[[#This Row],[Código del producto Vendido]],STOCK[],5,FALSE),"-")</f>
        <v>Flor TOTE fashion bag</v>
      </c>
      <c r="G1685" s="47">
        <v>1</v>
      </c>
      <c r="H1685" s="48">
        <v>34</v>
      </c>
      <c r="I1685" s="14">
        <f>VENTAS[[#This Row],[Cantidad]]*VENTAS[[#This Row],[Precio Venta]]</f>
        <v>34</v>
      </c>
      <c r="J1685" s="14">
        <f>IF(VENTAS[[#This Row],[Nombre del Gestor]]&gt;1,VENTAS[[#This Row],[Total]]*10%,0)</f>
        <v>3.4</v>
      </c>
      <c r="K1685" s="14">
        <f>IFERROR(VLOOKUP(VENTAS[[#This Row],[Código del producto Vendido]],STOCK[],16,FALSE)*VENTAS[[#This Row],[Cantidad]]+VLOOKUP(VENTAS[[#This Row],[Código del producto Vendido]],STOCK[],19,FALSE)*VENTAS[[#This Row],[Cantidad]],VENTAS[[#This Row],[Total]])</f>
        <v>3.77</v>
      </c>
      <c r="L1685" s="14">
        <f>VENTAS[[#This Row],[Total]]-VENTAS[[#This Row],[Comisión 10%]]-VENTAS[[#This Row],[Costo SIN Comision]]</f>
        <v>26.83</v>
      </c>
      <c r="M1685" s="48"/>
      <c r="N1685" s="49" t="s">
        <v>4543</v>
      </c>
    </row>
    <row r="1686" s="4" customFormat="1" ht="20" hidden="1" customHeight="1" spans="1:14">
      <c r="A1686" s="46">
        <v>45536</v>
      </c>
      <c r="B1686" s="47"/>
      <c r="C1686" s="47"/>
      <c r="D1686" s="47" t="s">
        <v>4212</v>
      </c>
      <c r="E1686" s="47" t="s">
        <v>4544</v>
      </c>
      <c r="F1686" s="11" t="str">
        <f>IFERROR(VLOOKUP(VENTAS[[#This Row],[Código del producto Vendido]],STOCK[],5,FALSE),"-")</f>
        <v>-</v>
      </c>
      <c r="G1686" s="47">
        <v>1</v>
      </c>
      <c r="H1686" s="48">
        <v>35</v>
      </c>
      <c r="I1686" s="14">
        <f>VENTAS[[#This Row],[Cantidad]]*VENTAS[[#This Row],[Precio Venta]]</f>
        <v>35</v>
      </c>
      <c r="J1686" s="14">
        <f>IF(VENTAS[[#This Row],[Nombre del Gestor]]&gt;1,VENTAS[[#This Row],[Total]]*10%,0)</f>
        <v>3.5</v>
      </c>
      <c r="K1686" s="14">
        <f>IFERROR(VLOOKUP(VENTAS[[#This Row],[Código del producto Vendido]],STOCK[],16,FALSE)*VENTAS[[#This Row],[Cantidad]]+VLOOKUP(VENTAS[[#This Row],[Código del producto Vendido]],STOCK[],19,FALSE)*VENTAS[[#This Row],[Cantidad]],VENTAS[[#This Row],[Total]])</f>
        <v>35</v>
      </c>
      <c r="L1686" s="14">
        <f>VENTAS[[#This Row],[Total]]-VENTAS[[#This Row],[Comisión 10%]]-VENTAS[[#This Row],[Costo SIN Comision]]</f>
        <v>-3.5</v>
      </c>
      <c r="M1686" s="48"/>
      <c r="N1686" s="49" t="s">
        <v>4545</v>
      </c>
    </row>
    <row r="1687" s="4" customFormat="1" ht="20" hidden="1" customHeight="1" spans="1:14">
      <c r="A1687" s="46">
        <v>45537</v>
      </c>
      <c r="B1687" s="47"/>
      <c r="C1687" s="47"/>
      <c r="D1687" s="47" t="s">
        <v>4272</v>
      </c>
      <c r="E1687" s="47" t="s">
        <v>2490</v>
      </c>
      <c r="F1687" s="11" t="str">
        <f>IFERROR(VLOOKUP(VENTAS[[#This Row],[Código del producto Vendido]],STOCK[],5,FALSE),"-")</f>
        <v>Sandalias prácticas chunky blanco crema</v>
      </c>
      <c r="G1687" s="47">
        <v>1</v>
      </c>
      <c r="H1687" s="48">
        <v>36</v>
      </c>
      <c r="I1687" s="14">
        <f>VENTAS[[#This Row],[Cantidad]]*VENTAS[[#This Row],[Precio Venta]]</f>
        <v>36</v>
      </c>
      <c r="J1687" s="14">
        <f>IF(VENTAS[[#This Row],[Nombre del Gestor]]&gt;1,VENTAS[[#This Row],[Total]]*10%,0)</f>
        <v>3.6</v>
      </c>
      <c r="K1687" s="14">
        <f>IFERROR(VLOOKUP(VENTAS[[#This Row],[Código del producto Vendido]],STOCK[],16,FALSE)*VENTAS[[#This Row],[Cantidad]]+VLOOKUP(VENTAS[[#This Row],[Código del producto Vendido]],STOCK[],19,FALSE)*VENTAS[[#This Row],[Cantidad]],VENTAS[[#This Row],[Total]])</f>
        <v>24.2174</v>
      </c>
      <c r="L1687" s="14">
        <f>VENTAS[[#This Row],[Total]]-VENTAS[[#This Row],[Comisión 10%]]-VENTAS[[#This Row],[Costo SIN Comision]]</f>
        <v>8.1826</v>
      </c>
      <c r="M1687" s="48"/>
      <c r="N1687" s="49" t="s">
        <v>4546</v>
      </c>
    </row>
    <row r="1688" s="4" customFormat="1" ht="20" hidden="1" customHeight="1" spans="1:14">
      <c r="A1688" s="46">
        <v>45538</v>
      </c>
      <c r="B1688" s="47"/>
      <c r="C1688" s="47"/>
      <c r="D1688" s="47" t="s">
        <v>4272</v>
      </c>
      <c r="E1688" s="47" t="s">
        <v>1703</v>
      </c>
      <c r="F1688" s="11" t="str">
        <f>IFERROR(VLOOKUP(VENTAS[[#This Row],[Código del producto Vendido]],STOCK[],5,FALSE),"-")</f>
        <v>Vestido Frente Drapeado Negro y Blanco</v>
      </c>
      <c r="G1688" s="47">
        <v>1</v>
      </c>
      <c r="H1688" s="48">
        <v>37</v>
      </c>
      <c r="I1688" s="14">
        <f>VENTAS[[#This Row],[Cantidad]]*VENTAS[[#This Row],[Precio Venta]]</f>
        <v>37</v>
      </c>
      <c r="J1688" s="14">
        <f>IF(VENTAS[[#This Row],[Nombre del Gestor]]&gt;1,VENTAS[[#This Row],[Total]]*10%,0)</f>
        <v>3.7</v>
      </c>
      <c r="K1688" s="14">
        <f>IFERROR(VLOOKUP(VENTAS[[#This Row],[Código del producto Vendido]],STOCK[],16,FALSE)*VENTAS[[#This Row],[Cantidad]]+VLOOKUP(VENTAS[[#This Row],[Código del producto Vendido]],STOCK[],19,FALSE)*VENTAS[[#This Row],[Cantidad]],VENTAS[[#This Row],[Total]])</f>
        <v>11.4</v>
      </c>
      <c r="L1688" s="14">
        <f>VENTAS[[#This Row],[Total]]-VENTAS[[#This Row],[Comisión 10%]]-VENTAS[[#This Row],[Costo SIN Comision]]</f>
        <v>21.9</v>
      </c>
      <c r="M1688" s="48"/>
      <c r="N1688" s="49" t="s">
        <v>4547</v>
      </c>
    </row>
    <row r="1689" s="4" customFormat="1" ht="20" hidden="1" customHeight="1" spans="1:14">
      <c r="A1689" s="46">
        <v>45539</v>
      </c>
      <c r="B1689" s="47"/>
      <c r="C1689" s="47"/>
      <c r="D1689" s="47" t="s">
        <v>4241</v>
      </c>
      <c r="E1689" s="47" t="s">
        <v>2491</v>
      </c>
      <c r="F1689" s="11" t="str">
        <f>IFERROR(VLOOKUP(VENTAS[[#This Row],[Código del producto Vendido]],STOCK[],5,FALSE),"-")</f>
        <v>Sandalias prácticas chunky blanco crema</v>
      </c>
      <c r="G1689" s="47">
        <v>1</v>
      </c>
      <c r="H1689" s="48">
        <v>38</v>
      </c>
      <c r="I1689" s="14">
        <f>VENTAS[[#This Row],[Cantidad]]*VENTAS[[#This Row],[Precio Venta]]</f>
        <v>38</v>
      </c>
      <c r="J1689" s="14">
        <f>IF(VENTAS[[#This Row],[Nombre del Gestor]]&gt;1,VENTAS[[#This Row],[Total]]*10%,0)</f>
        <v>3.8</v>
      </c>
      <c r="K1689" s="14">
        <f>IFERROR(VLOOKUP(VENTAS[[#This Row],[Código del producto Vendido]],STOCK[],16,FALSE)*VENTAS[[#This Row],[Cantidad]]+VLOOKUP(VENTAS[[#This Row],[Código del producto Vendido]],STOCK[],19,FALSE)*VENTAS[[#This Row],[Cantidad]],VENTAS[[#This Row],[Total]])</f>
        <v>24.2174</v>
      </c>
      <c r="L1689" s="14">
        <f>VENTAS[[#This Row],[Total]]-VENTAS[[#This Row],[Comisión 10%]]-VENTAS[[#This Row],[Costo SIN Comision]]</f>
        <v>9.9826</v>
      </c>
      <c r="M1689" s="48"/>
      <c r="N1689" s="49" t="s">
        <v>4548</v>
      </c>
    </row>
    <row r="1690" s="4" customFormat="1" ht="20" hidden="1" customHeight="1" spans="1:14">
      <c r="A1690" s="46">
        <v>45539</v>
      </c>
      <c r="B1690" s="47"/>
      <c r="C1690" s="47"/>
      <c r="D1690" s="47" t="s">
        <v>4549</v>
      </c>
      <c r="E1690" s="47" t="s">
        <v>2616</v>
      </c>
      <c r="F1690" s="11" t="str">
        <f>IFERROR(VLOOKUP(VENTAS[[#This Row],[Código del producto Vendido]],STOCK[],5,FALSE),"-")</f>
        <v>Vestido Blanco en Bordado Inglés</v>
      </c>
      <c r="G1690" s="47">
        <v>1</v>
      </c>
      <c r="H1690" s="48">
        <v>39</v>
      </c>
      <c r="I1690" s="14">
        <f>VENTAS[[#This Row],[Cantidad]]*VENTAS[[#This Row],[Precio Venta]]</f>
        <v>39</v>
      </c>
      <c r="J1690" s="14">
        <f>IF(VENTAS[[#This Row],[Nombre del Gestor]]&gt;1,VENTAS[[#This Row],[Total]]*10%,0)</f>
        <v>3.9</v>
      </c>
      <c r="K1690" s="14">
        <f>IFERROR(VLOOKUP(VENTAS[[#This Row],[Código del producto Vendido]],STOCK[],16,FALSE)*VENTAS[[#This Row],[Cantidad]]+VLOOKUP(VENTAS[[#This Row],[Código del producto Vendido]],STOCK[],19,FALSE)*VENTAS[[#This Row],[Cantidad]],VENTAS[[#This Row],[Total]])</f>
        <v>13.48</v>
      </c>
      <c r="L1690" s="14">
        <f>VENTAS[[#This Row],[Total]]-VENTAS[[#This Row],[Comisión 10%]]-VENTAS[[#This Row],[Costo SIN Comision]]</f>
        <v>21.62</v>
      </c>
      <c r="M1690" s="48"/>
      <c r="N1690" s="49" t="s">
        <v>4550</v>
      </c>
    </row>
    <row r="1691" s="4" customFormat="1" ht="20" hidden="1" customHeight="1" spans="1:14">
      <c r="A1691" s="46">
        <v>45540</v>
      </c>
      <c r="B1691" s="47"/>
      <c r="C1691" s="47"/>
      <c r="D1691" s="47" t="s">
        <v>4300</v>
      </c>
      <c r="E1691" s="47" t="s">
        <v>817</v>
      </c>
      <c r="F1691" s="11" t="str">
        <f>IFERROR(VLOOKUP(VENTAS[[#This Row],[Código del producto Vendido]],STOCK[],5,FALSE),"-")</f>
        <v>Blusa verde menta vuelos</v>
      </c>
      <c r="G1691" s="47">
        <v>0</v>
      </c>
      <c r="H1691" s="48">
        <v>10</v>
      </c>
      <c r="I1691" s="14">
        <f>VENTAS[[#This Row],[Cantidad]]*VENTAS[[#This Row],[Precio Venta]]</f>
        <v>0</v>
      </c>
      <c r="J1691" s="14">
        <f>IF(VENTAS[[#This Row],[Nombre del Gestor]]&gt;1,VENTAS[[#This Row],[Total]]*10%,0)</f>
        <v>0</v>
      </c>
      <c r="K1691" s="14">
        <f>IFERROR(VLOOKUP(VENTAS[[#This Row],[Código del producto Vendido]],STOCK[],16,FALSE)*VENTAS[[#This Row],[Cantidad]]+VLOOKUP(VENTAS[[#This Row],[Código del producto Vendido]],STOCK[],19,FALSE)*VENTAS[[#This Row],[Cantidad]],VENTAS[[#This Row],[Total]])</f>
        <v>0</v>
      </c>
      <c r="L1691" s="14">
        <f>VENTAS[[#This Row],[Total]]-VENTAS[[#This Row],[Comisión 10%]]-VENTAS[[#This Row],[Costo SIN Comision]]</f>
        <v>0</v>
      </c>
      <c r="M1691" s="48"/>
      <c r="N1691" s="49" t="s">
        <v>4551</v>
      </c>
    </row>
    <row r="1692" s="4" customFormat="1" ht="20" hidden="1" customHeight="1" spans="1:14">
      <c r="A1692" s="46">
        <v>45540</v>
      </c>
      <c r="B1692" s="47"/>
      <c r="C1692" s="47"/>
      <c r="D1692" s="47" t="s">
        <v>4549</v>
      </c>
      <c r="E1692" s="47" t="s">
        <v>817</v>
      </c>
      <c r="F1692" s="11" t="str">
        <f>IFERROR(VLOOKUP(VENTAS[[#This Row],[Código del producto Vendido]],STOCK[],5,FALSE),"-")</f>
        <v>Blusa verde menta vuelos</v>
      </c>
      <c r="G1692" s="47">
        <v>1</v>
      </c>
      <c r="H1692" s="48">
        <v>10</v>
      </c>
      <c r="I1692" s="14">
        <f>VENTAS[[#This Row],[Cantidad]]*VENTAS[[#This Row],[Precio Venta]]</f>
        <v>10</v>
      </c>
      <c r="J1692" s="14">
        <f>IF(VENTAS[[#This Row],[Nombre del Gestor]]&gt;1,VENTAS[[#This Row],[Total]]*10%,0)</f>
        <v>1</v>
      </c>
      <c r="K1692" s="14">
        <f>IFERROR(VLOOKUP(VENTAS[[#This Row],[Código del producto Vendido]],STOCK[],16,FALSE)*VENTAS[[#This Row],[Cantidad]]+VLOOKUP(VENTAS[[#This Row],[Código del producto Vendido]],STOCK[],19,FALSE)*VENTAS[[#This Row],[Cantidad]],VENTAS[[#This Row],[Total]])</f>
        <v>6.77777777777778</v>
      </c>
      <c r="L1692" s="14">
        <f>VENTAS[[#This Row],[Total]]-VENTAS[[#This Row],[Comisión 10%]]-VENTAS[[#This Row],[Costo SIN Comision]]</f>
        <v>2.22222222222222</v>
      </c>
      <c r="M1692" s="48"/>
      <c r="N1692" s="49" t="s">
        <v>4552</v>
      </c>
    </row>
    <row r="1693" s="4" customFormat="1" ht="20" hidden="1" customHeight="1" spans="1:14">
      <c r="A1693" s="46">
        <v>45541</v>
      </c>
      <c r="B1693" s="47"/>
      <c r="C1693" s="47"/>
      <c r="D1693" s="47" t="s">
        <v>4212</v>
      </c>
      <c r="E1693" s="47" t="s">
        <v>2607</v>
      </c>
      <c r="F1693" s="11" t="str">
        <f>IFERROR(VLOOKUP(VENTAS[[#This Row],[Código del producto Vendido]],STOCK[],5,FALSE),"-")</f>
        <v>Vestido crema ajustado de hombro torcido</v>
      </c>
      <c r="G1693" s="47">
        <v>1</v>
      </c>
      <c r="H1693" s="48">
        <v>25</v>
      </c>
      <c r="I1693" s="14">
        <f>VENTAS[[#This Row],[Cantidad]]*VENTAS[[#This Row],[Precio Venta]]</f>
        <v>25</v>
      </c>
      <c r="J1693" s="14">
        <f>IF(VENTAS[[#This Row],[Nombre del Gestor]]&gt;1,VENTAS[[#This Row],[Total]]*10%,0)</f>
        <v>2.5</v>
      </c>
      <c r="K1693" s="14">
        <f>IFERROR(VLOOKUP(VENTAS[[#This Row],[Código del producto Vendido]],STOCK[],16,FALSE)*VENTAS[[#This Row],[Cantidad]]+VLOOKUP(VENTAS[[#This Row],[Código del producto Vendido]],STOCK[],19,FALSE)*VENTAS[[#This Row],[Cantidad]],VENTAS[[#This Row],[Total]])</f>
        <v>13.44</v>
      </c>
      <c r="L1693" s="14">
        <f>VENTAS[[#This Row],[Total]]-VENTAS[[#This Row],[Comisión 10%]]-VENTAS[[#This Row],[Costo SIN Comision]]</f>
        <v>9.06</v>
      </c>
      <c r="M1693" s="48"/>
      <c r="N1693" s="49" t="s">
        <v>4553</v>
      </c>
    </row>
    <row r="1694" s="4" customFormat="1" ht="20" hidden="1" customHeight="1" spans="1:14">
      <c r="A1694" s="46">
        <v>45541</v>
      </c>
      <c r="B1694" s="47"/>
      <c r="C1694" s="47"/>
      <c r="D1694" s="47" t="s">
        <v>4076</v>
      </c>
      <c r="E1694" s="47" t="s">
        <v>2533</v>
      </c>
      <c r="F1694" s="11" t="str">
        <f>IFERROR(VLOOKUP(VENTAS[[#This Row],[Código del producto Vendido]],STOCK[],5,FALSE),"-")</f>
        <v>Pullover corto unicolor carmelita</v>
      </c>
      <c r="G1694" s="47">
        <v>0</v>
      </c>
      <c r="H1694" s="48">
        <v>10</v>
      </c>
      <c r="I1694" s="14">
        <f>VENTAS[[#This Row],[Cantidad]]*VENTAS[[#This Row],[Precio Venta]]</f>
        <v>0</v>
      </c>
      <c r="J1694" s="14">
        <f>IF(VENTAS[[#This Row],[Nombre del Gestor]]&gt;1,VENTAS[[#This Row],[Total]]*10%,0)</f>
        <v>0</v>
      </c>
      <c r="K1694" s="14">
        <f>IFERROR(VLOOKUP(VENTAS[[#This Row],[Código del producto Vendido]],STOCK[],16,FALSE)*VENTAS[[#This Row],[Cantidad]]+VLOOKUP(VENTAS[[#This Row],[Código del producto Vendido]],STOCK[],19,FALSE)*VENTAS[[#This Row],[Cantidad]],VENTAS[[#This Row],[Total]])</f>
        <v>0</v>
      </c>
      <c r="L1694" s="14">
        <f>VENTAS[[#This Row],[Total]]-VENTAS[[#This Row],[Comisión 10%]]-VENTAS[[#This Row],[Costo SIN Comision]]</f>
        <v>0</v>
      </c>
      <c r="M1694" s="48"/>
      <c r="N1694" s="49" t="s">
        <v>4554</v>
      </c>
    </row>
    <row r="1695" s="4" customFormat="1" ht="20" hidden="1" customHeight="1" spans="1:14">
      <c r="A1695" s="46">
        <v>45541</v>
      </c>
      <c r="B1695" s="47"/>
      <c r="C1695" s="47"/>
      <c r="D1695" s="47" t="s">
        <v>4076</v>
      </c>
      <c r="E1695" s="47" t="s">
        <v>2542</v>
      </c>
      <c r="F1695" s="11" t="str">
        <f>IFERROR(VLOOKUP(VENTAS[[#This Row],[Código del producto Vendido]],STOCK[],5,FALSE),"-")</f>
        <v>Pullover corto unicolor beige</v>
      </c>
      <c r="G1695" s="47">
        <v>1</v>
      </c>
      <c r="H1695" s="48">
        <v>10</v>
      </c>
      <c r="I1695" s="14">
        <f>VENTAS[[#This Row],[Cantidad]]*VENTAS[[#This Row],[Precio Venta]]</f>
        <v>10</v>
      </c>
      <c r="J1695" s="14">
        <f>IF(VENTAS[[#This Row],[Nombre del Gestor]]&gt;1,VENTAS[[#This Row],[Total]]*10%,0)</f>
        <v>1</v>
      </c>
      <c r="K1695" s="14">
        <f>IFERROR(VLOOKUP(VENTAS[[#This Row],[Código del producto Vendido]],STOCK[],16,FALSE)*VENTAS[[#This Row],[Cantidad]]+VLOOKUP(VENTAS[[#This Row],[Código del producto Vendido]],STOCK[],19,FALSE)*VENTAS[[#This Row],[Cantidad]],VENTAS[[#This Row],[Total]])</f>
        <v>4.32</v>
      </c>
      <c r="L1695" s="14">
        <f>VENTAS[[#This Row],[Total]]-VENTAS[[#This Row],[Comisión 10%]]-VENTAS[[#This Row],[Costo SIN Comision]]</f>
        <v>4.68</v>
      </c>
      <c r="M1695" s="48"/>
      <c r="N1695" s="49" t="s">
        <v>4555</v>
      </c>
    </row>
    <row r="1696" s="4" customFormat="1" ht="20" hidden="1" customHeight="1" spans="1:14">
      <c r="A1696" s="46">
        <v>45541</v>
      </c>
      <c r="B1696" s="47"/>
      <c r="C1696" s="47"/>
      <c r="D1696" s="47" t="s">
        <v>4076</v>
      </c>
      <c r="E1696" s="47" t="s">
        <v>1277</v>
      </c>
      <c r="F1696" s="11" t="str">
        <f>IFERROR(VLOOKUP(VENTAS[[#This Row],[Código del producto Vendido]],STOCK[],5,FALSE),"-")</f>
        <v>Top negro de cuello V con encaje</v>
      </c>
      <c r="G1696" s="47">
        <v>1</v>
      </c>
      <c r="H1696" s="48">
        <v>12</v>
      </c>
      <c r="I1696" s="14">
        <f>VENTAS[[#This Row],[Cantidad]]*VENTAS[[#This Row],[Precio Venta]]</f>
        <v>12</v>
      </c>
      <c r="J1696" s="14">
        <f>IF(VENTAS[[#This Row],[Nombre del Gestor]]&gt;1,VENTAS[[#This Row],[Total]]*10%,0)</f>
        <v>1.2</v>
      </c>
      <c r="K1696" s="14">
        <f>IFERROR(VLOOKUP(VENTAS[[#This Row],[Código del producto Vendido]],STOCK[],16,FALSE)*VENTAS[[#This Row],[Cantidad]]+VLOOKUP(VENTAS[[#This Row],[Código del producto Vendido]],STOCK[],19,FALSE)*VENTAS[[#This Row],[Cantidad]],VENTAS[[#This Row],[Total]])</f>
        <v>8.09</v>
      </c>
      <c r="L1696" s="14">
        <f>VENTAS[[#This Row],[Total]]-VENTAS[[#This Row],[Comisión 10%]]-VENTAS[[#This Row],[Costo SIN Comision]]</f>
        <v>2.71</v>
      </c>
      <c r="M1696" s="48"/>
      <c r="N1696" s="49" t="s">
        <v>4556</v>
      </c>
    </row>
    <row r="1697" s="4" customFormat="1" ht="20" hidden="1" customHeight="1" spans="1:14">
      <c r="A1697" s="46">
        <v>45541</v>
      </c>
      <c r="B1697" s="47"/>
      <c r="C1697" s="47"/>
      <c r="D1697" s="47" t="s">
        <v>4076</v>
      </c>
      <c r="E1697" s="47" t="s">
        <v>1293</v>
      </c>
      <c r="F1697" s="11" t="str">
        <f>IFERROR(VLOOKUP(VENTAS[[#This Row],[Código del producto Vendido]],STOCK[],5,FALSE),"-")</f>
        <v>Jean skinny oscuro </v>
      </c>
      <c r="G1697" s="47">
        <v>2</v>
      </c>
      <c r="H1697" s="48">
        <v>30</v>
      </c>
      <c r="I1697" s="14">
        <f>VENTAS[[#This Row],[Cantidad]]*VENTAS[[#This Row],[Precio Venta]]</f>
        <v>60</v>
      </c>
      <c r="J1697" s="14">
        <f>IF(VENTAS[[#This Row],[Nombre del Gestor]]&gt;1,VENTAS[[#This Row],[Total]]*10%,0)</f>
        <v>6</v>
      </c>
      <c r="K1697" s="14">
        <f>IFERROR(VLOOKUP(VENTAS[[#This Row],[Código del producto Vendido]],STOCK[],16,FALSE)*VENTAS[[#This Row],[Cantidad]]+VLOOKUP(VENTAS[[#This Row],[Código del producto Vendido]],STOCK[],19,FALSE)*VENTAS[[#This Row],[Cantidad]],VENTAS[[#This Row],[Total]])</f>
        <v>41.58</v>
      </c>
      <c r="L1697" s="14">
        <f>VENTAS[[#This Row],[Total]]-VENTAS[[#This Row],[Comisión 10%]]-VENTAS[[#This Row],[Costo SIN Comision]]</f>
        <v>12.42</v>
      </c>
      <c r="M1697" s="48"/>
      <c r="N1697" s="49" t="s">
        <v>4557</v>
      </c>
    </row>
    <row r="1698" s="4" customFormat="1" ht="20" hidden="1" customHeight="1" spans="1:14">
      <c r="A1698" s="46">
        <v>45541</v>
      </c>
      <c r="B1698" s="47"/>
      <c r="C1698" s="47"/>
      <c r="D1698" s="47" t="s">
        <v>4266</v>
      </c>
      <c r="E1698" s="47" t="s">
        <v>1735</v>
      </c>
      <c r="F1698" s="11" t="str">
        <f>IFERROR(VLOOKUP(VENTAS[[#This Row],[Código del producto Vendido]],STOCK[],5,FALSE),"-")</f>
        <v>Chaleco de traje Negro</v>
      </c>
      <c r="G1698" s="47">
        <v>0</v>
      </c>
      <c r="H1698" s="48">
        <v>25</v>
      </c>
      <c r="I1698" s="14">
        <f>VENTAS[[#This Row],[Cantidad]]*VENTAS[[#This Row],[Precio Venta]]</f>
        <v>0</v>
      </c>
      <c r="J1698" s="14">
        <f>IF(VENTAS[[#This Row],[Nombre del Gestor]]&gt;1,VENTAS[[#This Row],[Total]]*10%,0)</f>
        <v>0</v>
      </c>
      <c r="K1698" s="14">
        <f>IFERROR(VLOOKUP(VENTAS[[#This Row],[Código del producto Vendido]],STOCK[],16,FALSE)*VENTAS[[#This Row],[Cantidad]]+VLOOKUP(VENTAS[[#This Row],[Código del producto Vendido]],STOCK[],19,FALSE)*VENTAS[[#This Row],[Cantidad]],VENTAS[[#This Row],[Total]])</f>
        <v>0</v>
      </c>
      <c r="L1698" s="14">
        <f>VENTAS[[#This Row],[Total]]-VENTAS[[#This Row],[Comisión 10%]]-VENTAS[[#This Row],[Costo SIN Comision]]</f>
        <v>0</v>
      </c>
      <c r="M1698" s="48"/>
      <c r="N1698" s="49" t="s">
        <v>4558</v>
      </c>
    </row>
    <row r="1699" s="4" customFormat="1" ht="20" hidden="1" customHeight="1" spans="1:14">
      <c r="A1699" s="46">
        <v>45541</v>
      </c>
      <c r="B1699" s="47"/>
      <c r="C1699" s="47"/>
      <c r="D1699" s="47" t="s">
        <v>4266</v>
      </c>
      <c r="E1699" s="47" t="s">
        <v>1738</v>
      </c>
      <c r="F1699" s="11" t="str">
        <f>IFERROR(VLOOKUP(VENTAS[[#This Row],[Código del producto Vendido]],STOCK[],5,FALSE),"-")</f>
        <v>Chaleco de traje Blanco</v>
      </c>
      <c r="G1699" s="47">
        <v>1</v>
      </c>
      <c r="H1699" s="48">
        <v>25</v>
      </c>
      <c r="I1699" s="14">
        <f>VENTAS[[#This Row],[Cantidad]]*VENTAS[[#This Row],[Precio Venta]]</f>
        <v>25</v>
      </c>
      <c r="J1699" s="14">
        <f>IF(VENTAS[[#This Row],[Nombre del Gestor]]&gt;1,VENTAS[[#This Row],[Total]]*10%,0)</f>
        <v>2.5</v>
      </c>
      <c r="K1699" s="14">
        <f>IFERROR(VLOOKUP(VENTAS[[#This Row],[Código del producto Vendido]],STOCK[],16,FALSE)*VENTAS[[#This Row],[Cantidad]]+VLOOKUP(VENTAS[[#This Row],[Código del producto Vendido]],STOCK[],19,FALSE)*VENTAS[[#This Row],[Cantidad]],VENTAS[[#This Row],[Total]])</f>
        <v>17.9411764705882</v>
      </c>
      <c r="L1699" s="14">
        <f>VENTAS[[#This Row],[Total]]-VENTAS[[#This Row],[Comisión 10%]]-VENTAS[[#This Row],[Costo SIN Comision]]</f>
        <v>4.5588235294118</v>
      </c>
      <c r="M1699" s="48"/>
      <c r="N1699" s="49" t="s">
        <v>4559</v>
      </c>
    </row>
    <row r="1700" s="4" customFormat="1" ht="20" hidden="1" customHeight="1" spans="1:14">
      <c r="A1700" s="46">
        <v>45542</v>
      </c>
      <c r="B1700" s="47"/>
      <c r="C1700" s="47"/>
      <c r="D1700" s="47" t="s">
        <v>4365</v>
      </c>
      <c r="E1700" s="47" t="s">
        <v>966</v>
      </c>
      <c r="F1700" s="11" t="str">
        <f>IFERROR(VLOOKUP(VENTAS[[#This Row],[Código del producto Vendido]],STOCK[],5,FALSE),"-")</f>
        <v> Top Básico Business </v>
      </c>
      <c r="G1700" s="47">
        <v>1</v>
      </c>
      <c r="H1700" s="48">
        <v>10</v>
      </c>
      <c r="I1700" s="14">
        <f>VENTAS[[#This Row],[Cantidad]]*VENTAS[[#This Row],[Precio Venta]]</f>
        <v>10</v>
      </c>
      <c r="J1700" s="14">
        <f>IF(VENTAS[[#This Row],[Nombre del Gestor]]&gt;1,VENTAS[[#This Row],[Total]]*10%,0)</f>
        <v>1</v>
      </c>
      <c r="K1700" s="14">
        <f>IFERROR(VLOOKUP(VENTAS[[#This Row],[Código del producto Vendido]],STOCK[],16,FALSE)*VENTAS[[#This Row],[Cantidad]]+VLOOKUP(VENTAS[[#This Row],[Código del producto Vendido]],STOCK[],19,FALSE)*VENTAS[[#This Row],[Cantidad]],VENTAS[[#This Row],[Total]])</f>
        <v>6.78409090909091</v>
      </c>
      <c r="L1700" s="14">
        <f>VENTAS[[#This Row],[Total]]-VENTAS[[#This Row],[Comisión 10%]]-VENTAS[[#This Row],[Costo SIN Comision]]</f>
        <v>2.21590909090909</v>
      </c>
      <c r="M1700" s="48"/>
      <c r="N1700" s="49" t="s">
        <v>4560</v>
      </c>
    </row>
    <row r="1701" s="4" customFormat="1" ht="20" hidden="1" customHeight="1" spans="1:14">
      <c r="A1701" s="46">
        <v>45542</v>
      </c>
      <c r="B1701" s="47"/>
      <c r="C1701" s="47"/>
      <c r="D1701" s="47" t="s">
        <v>4241</v>
      </c>
      <c r="E1701" s="47" t="s">
        <v>2663</v>
      </c>
      <c r="F1701" s="11" t="str">
        <f>IFERROR(VLOOKUP(VENTAS[[#This Row],[Código del producto Vendido]],STOCK[],5,FALSE),"-")</f>
        <v>Pullover negro acanalado de algodón PRIMARK</v>
      </c>
      <c r="G1701" s="47">
        <v>1</v>
      </c>
      <c r="H1701" s="48">
        <v>13</v>
      </c>
      <c r="I1701" s="14">
        <f>VENTAS[[#This Row],[Cantidad]]*VENTAS[[#This Row],[Precio Venta]]</f>
        <v>13</v>
      </c>
      <c r="J1701" s="14">
        <f>IF(VENTAS[[#This Row],[Nombre del Gestor]]&gt;1,VENTAS[[#This Row],[Total]]*10%,0)</f>
        <v>1.3</v>
      </c>
      <c r="K1701" s="14">
        <f>IFERROR(VLOOKUP(VENTAS[[#This Row],[Código del producto Vendido]],STOCK[],16,FALSE)*VENTAS[[#This Row],[Cantidad]]+VLOOKUP(VENTAS[[#This Row],[Código del producto Vendido]],STOCK[],19,FALSE)*VENTAS[[#This Row],[Cantidad]],VENTAS[[#This Row],[Total]])</f>
        <v>7</v>
      </c>
      <c r="L1701" s="14">
        <f>VENTAS[[#This Row],[Total]]-VENTAS[[#This Row],[Comisión 10%]]-VENTAS[[#This Row],[Costo SIN Comision]]</f>
        <v>4.7</v>
      </c>
      <c r="M1701" s="48"/>
      <c r="N1701" s="49" t="s">
        <v>4561</v>
      </c>
    </row>
    <row r="1702" s="4" customFormat="1" ht="20" hidden="1" customHeight="1" spans="1:14">
      <c r="A1702" s="46">
        <v>45542</v>
      </c>
      <c r="B1702" s="47"/>
      <c r="C1702" s="47"/>
      <c r="D1702" s="47" t="s">
        <v>4241</v>
      </c>
      <c r="E1702" s="47" t="s">
        <v>2545</v>
      </c>
      <c r="F1702" s="11" t="str">
        <f>IFERROR(VLOOKUP(VENTAS[[#This Row],[Código del producto Vendido]],STOCK[],5,FALSE),"-")</f>
        <v>Pullover largo unicolor tela traslúcida negro</v>
      </c>
      <c r="G1702" s="47">
        <v>1</v>
      </c>
      <c r="H1702" s="48">
        <v>10</v>
      </c>
      <c r="I1702" s="14">
        <f>VENTAS[[#This Row],[Cantidad]]*VENTAS[[#This Row],[Precio Venta]]</f>
        <v>10</v>
      </c>
      <c r="J1702" s="14">
        <f>IF(VENTAS[[#This Row],[Nombre del Gestor]]&gt;1,VENTAS[[#This Row],[Total]]*10%,0)</f>
        <v>1</v>
      </c>
      <c r="K1702" s="14">
        <f>IFERROR(VLOOKUP(VENTAS[[#This Row],[Código del producto Vendido]],STOCK[],16,FALSE)*VENTAS[[#This Row],[Cantidad]]+VLOOKUP(VENTAS[[#This Row],[Código del producto Vendido]],STOCK[],19,FALSE)*VENTAS[[#This Row],[Cantidad]],VENTAS[[#This Row],[Total]])</f>
        <v>4.32</v>
      </c>
      <c r="L1702" s="14">
        <f>VENTAS[[#This Row],[Total]]-VENTAS[[#This Row],[Comisión 10%]]-VENTAS[[#This Row],[Costo SIN Comision]]</f>
        <v>4.68</v>
      </c>
      <c r="M1702" s="48"/>
      <c r="N1702" s="49" t="s">
        <v>4562</v>
      </c>
    </row>
    <row r="1703" s="4" customFormat="1" ht="20" hidden="1" customHeight="1" spans="1:14">
      <c r="A1703" s="46">
        <v>45542</v>
      </c>
      <c r="B1703" s="47"/>
      <c r="C1703" s="47"/>
      <c r="D1703" s="47" t="s">
        <v>4212</v>
      </c>
      <c r="E1703" s="47" t="s">
        <v>1614</v>
      </c>
      <c r="F1703" s="11" t="str">
        <f>IFERROR(VLOOKUP(VENTAS[[#This Row],[Código del producto Vendido]],STOCK[],5,FALSE),"-")</f>
        <v>Camisa Modely</v>
      </c>
      <c r="G1703" s="47">
        <v>1</v>
      </c>
      <c r="H1703" s="48">
        <v>22</v>
      </c>
      <c r="I1703" s="14">
        <f>VENTAS[[#This Row],[Cantidad]]*VENTAS[[#This Row],[Precio Venta]]</f>
        <v>22</v>
      </c>
      <c r="J1703" s="14">
        <f>IF(VENTAS[[#This Row],[Nombre del Gestor]]&gt;1,VENTAS[[#This Row],[Total]]*10%,0)</f>
        <v>2.2</v>
      </c>
      <c r="K1703" s="14">
        <f>IFERROR(VLOOKUP(VENTAS[[#This Row],[Código del producto Vendido]],STOCK[],16,FALSE)*VENTAS[[#This Row],[Cantidad]]+VLOOKUP(VENTAS[[#This Row],[Código del producto Vendido]],STOCK[],19,FALSE)*VENTAS[[#This Row],[Cantidad]],VENTAS[[#This Row],[Total]])</f>
        <v>9.74</v>
      </c>
      <c r="L1703" s="14">
        <f>VENTAS[[#This Row],[Total]]-VENTAS[[#This Row],[Comisión 10%]]-VENTAS[[#This Row],[Costo SIN Comision]]</f>
        <v>10.06</v>
      </c>
      <c r="M1703" s="48"/>
      <c r="N1703" s="49" t="s">
        <v>4563</v>
      </c>
    </row>
    <row r="1704" s="4" customFormat="1" ht="20" hidden="1" customHeight="1" spans="1:14">
      <c r="A1704" s="46">
        <v>45542</v>
      </c>
      <c r="B1704" s="47"/>
      <c r="C1704" s="47"/>
      <c r="D1704" s="47" t="s">
        <v>4212</v>
      </c>
      <c r="E1704" s="47" t="s">
        <v>2633</v>
      </c>
      <c r="F1704" s="11" t="str">
        <f>IFERROR(VLOOKUP(VENTAS[[#This Row],[Código del producto Vendido]],STOCK[],5,FALSE),"-")</f>
        <v>Pantalón Caqui de Pierna Ancha De Talle Alto y Bolsillos H&amp;M</v>
      </c>
      <c r="G1704" s="47">
        <v>1</v>
      </c>
      <c r="H1704" s="48">
        <v>35</v>
      </c>
      <c r="I1704" s="14">
        <f>VENTAS[[#This Row],[Cantidad]]*VENTAS[[#This Row],[Precio Venta]]</f>
        <v>35</v>
      </c>
      <c r="J1704" s="14">
        <f>IF(VENTAS[[#This Row],[Nombre del Gestor]]&gt;1,VENTAS[[#This Row],[Total]]*10%,0)</f>
        <v>3.5</v>
      </c>
      <c r="K1704" s="14">
        <f>IFERROR(VLOOKUP(VENTAS[[#This Row],[Código del producto Vendido]],STOCK[],16,FALSE)*VENTAS[[#This Row],[Cantidad]]+VLOOKUP(VENTAS[[#This Row],[Código del producto Vendido]],STOCK[],19,FALSE)*VENTAS[[#This Row],[Cantidad]],VENTAS[[#This Row],[Total]])</f>
        <v>20.96</v>
      </c>
      <c r="L1704" s="14">
        <f>VENTAS[[#This Row],[Total]]-VENTAS[[#This Row],[Comisión 10%]]-VENTAS[[#This Row],[Costo SIN Comision]]</f>
        <v>10.54</v>
      </c>
      <c r="M1704" s="48"/>
      <c r="N1704" s="49" t="s">
        <v>4564</v>
      </c>
    </row>
    <row r="1705" s="4" customFormat="1" ht="20" hidden="1" customHeight="1" spans="1:14">
      <c r="A1705" s="46">
        <v>45542</v>
      </c>
      <c r="B1705" s="47"/>
      <c r="C1705" s="47"/>
      <c r="D1705" s="47" t="s">
        <v>4300</v>
      </c>
      <c r="E1705" s="47" t="s">
        <v>2418</v>
      </c>
      <c r="F1705" s="11" t="str">
        <f>IFERROR(VLOOKUP(VENTAS[[#This Row],[Código del producto Vendido]],STOCK[],5,FALSE),"-")</f>
        <v>Camisa blanca en mezcla de algodón</v>
      </c>
      <c r="G1705" s="47">
        <v>1</v>
      </c>
      <c r="H1705" s="48">
        <v>25</v>
      </c>
      <c r="I1705" s="14">
        <f>VENTAS[[#This Row],[Cantidad]]*VENTAS[[#This Row],[Precio Venta]]</f>
        <v>25</v>
      </c>
      <c r="J1705" s="14">
        <f>IF(VENTAS[[#This Row],[Nombre del Gestor]]&gt;1,VENTAS[[#This Row],[Total]]*10%,0)</f>
        <v>2.5</v>
      </c>
      <c r="K1705" s="14">
        <f>IFERROR(VLOOKUP(VENTAS[[#This Row],[Código del producto Vendido]],STOCK[],16,FALSE)*VENTAS[[#This Row],[Cantidad]]+VLOOKUP(VENTAS[[#This Row],[Código del producto Vendido]],STOCK[],19,FALSE)*VENTAS[[#This Row],[Cantidad]],VENTAS[[#This Row],[Total]])</f>
        <v>17.7808108108108</v>
      </c>
      <c r="L1705" s="14">
        <f>VENTAS[[#This Row],[Total]]-VENTAS[[#This Row],[Comisión 10%]]-VENTAS[[#This Row],[Costo SIN Comision]]</f>
        <v>4.7191891891892</v>
      </c>
      <c r="M1705" s="48"/>
      <c r="N1705" s="49" t="s">
        <v>4565</v>
      </c>
    </row>
    <row r="1706" s="4" customFormat="1" ht="20" hidden="1" customHeight="1" spans="1:14">
      <c r="A1706" s="46">
        <v>45543</v>
      </c>
      <c r="B1706" s="47"/>
      <c r="C1706" s="47"/>
      <c r="D1706" s="47"/>
      <c r="E1706" s="47" t="s">
        <v>2428</v>
      </c>
      <c r="F1706" s="11" t="str">
        <f>IFERROR(VLOOKUP(VENTAS[[#This Row],[Código del producto Vendido]],STOCK[],5,FALSE),"-")</f>
        <v>Pantalón ancho con cordón ajustable</v>
      </c>
      <c r="G1706" s="47">
        <v>1</v>
      </c>
      <c r="H1706" s="48">
        <v>23</v>
      </c>
      <c r="I1706" s="14">
        <f>VENTAS[[#This Row],[Cantidad]]*VENTAS[[#This Row],[Precio Venta]]</f>
        <v>23</v>
      </c>
      <c r="J1706" s="14">
        <f>IF(VENTAS[[#This Row],[Nombre del Gestor]]&gt;1,VENTAS[[#This Row],[Total]]*10%,0)</f>
        <v>0</v>
      </c>
      <c r="K1706" s="14">
        <f>IFERROR(VLOOKUP(VENTAS[[#This Row],[Código del producto Vendido]],STOCK[],16,FALSE)*VENTAS[[#This Row],[Cantidad]]+VLOOKUP(VENTAS[[#This Row],[Código del producto Vendido]],STOCK[],19,FALSE)*VENTAS[[#This Row],[Cantidad]],VENTAS[[#This Row],[Total]])</f>
        <v>11.4353349001175</v>
      </c>
      <c r="L1706" s="14">
        <f>VENTAS[[#This Row],[Total]]-VENTAS[[#This Row],[Comisión 10%]]-VENTAS[[#This Row],[Costo SIN Comision]]</f>
        <v>11.5646650998825</v>
      </c>
      <c r="M1706" s="48"/>
      <c r="N1706" s="49" t="s">
        <v>4566</v>
      </c>
    </row>
    <row r="1707" s="4" customFormat="1" ht="20" hidden="1" customHeight="1" spans="1:14">
      <c r="A1707" s="46">
        <v>45543</v>
      </c>
      <c r="B1707" s="47"/>
      <c r="C1707" s="47"/>
      <c r="D1707" s="47" t="s">
        <v>4222</v>
      </c>
      <c r="E1707" s="47" t="s">
        <v>2409</v>
      </c>
      <c r="F1707" s="11" t="str">
        <f>IFERROR(VLOOKUP(VENTAS[[#This Row],[Código del producto Vendido]],STOCK[],5,FALSE),"-")</f>
        <v>Pantalón de vestir de viscosa y lino (beige claro)</v>
      </c>
      <c r="G1707" s="47">
        <v>1</v>
      </c>
      <c r="H1707" s="48">
        <v>35</v>
      </c>
      <c r="I1707" s="14">
        <f>VENTAS[[#This Row],[Cantidad]]*VENTAS[[#This Row],[Precio Venta]]</f>
        <v>35</v>
      </c>
      <c r="J1707" s="14">
        <f>IF(VENTAS[[#This Row],[Nombre del Gestor]]&gt;1,VENTAS[[#This Row],[Total]]*10%,0)</f>
        <v>3.5</v>
      </c>
      <c r="K1707" s="14">
        <f>IFERROR(VLOOKUP(VENTAS[[#This Row],[Código del producto Vendido]],STOCK[],16,FALSE)*VENTAS[[#This Row],[Cantidad]]+VLOOKUP(VENTAS[[#This Row],[Código del producto Vendido]],STOCK[],19,FALSE)*VENTAS[[#This Row],[Cantidad]],VENTAS[[#This Row],[Total]])</f>
        <v>17.2520211515864</v>
      </c>
      <c r="L1707" s="14">
        <f>VENTAS[[#This Row],[Total]]-VENTAS[[#This Row],[Comisión 10%]]-VENTAS[[#This Row],[Costo SIN Comision]]</f>
        <v>14.2479788484136</v>
      </c>
      <c r="M1707" s="48"/>
      <c r="N1707" s="49" t="s">
        <v>4567</v>
      </c>
    </row>
    <row r="1708" s="4" customFormat="1" ht="20" hidden="1" customHeight="1" spans="1:14">
      <c r="A1708" s="46">
        <v>45543</v>
      </c>
      <c r="B1708" s="47"/>
      <c r="C1708" s="47"/>
      <c r="D1708" s="47" t="s">
        <v>4222</v>
      </c>
      <c r="E1708" s="47" t="s">
        <v>2430</v>
      </c>
      <c r="F1708" s="11" t="str">
        <f>IFERROR(VLOOKUP(VENTAS[[#This Row],[Código del producto Vendido]],STOCK[],5,FALSE),"-")</f>
        <v>Pantalón ancho con cordón ajustable</v>
      </c>
      <c r="G1708" s="47">
        <v>1</v>
      </c>
      <c r="H1708" s="48">
        <v>23</v>
      </c>
      <c r="I1708" s="14">
        <f>VENTAS[[#This Row],[Cantidad]]*VENTAS[[#This Row],[Precio Venta]]</f>
        <v>23</v>
      </c>
      <c r="J1708" s="14">
        <f>IF(VENTAS[[#This Row],[Nombre del Gestor]]&gt;1,VENTAS[[#This Row],[Total]]*10%,0)</f>
        <v>2.3</v>
      </c>
      <c r="K1708" s="14">
        <f>IFERROR(VLOOKUP(VENTAS[[#This Row],[Código del producto Vendido]],STOCK[],16,FALSE)*VENTAS[[#This Row],[Cantidad]]+VLOOKUP(VENTAS[[#This Row],[Código del producto Vendido]],STOCK[],19,FALSE)*VENTAS[[#This Row],[Cantidad]],VENTAS[[#This Row],[Total]])</f>
        <v>11.4353349001175</v>
      </c>
      <c r="L1708" s="14">
        <f>VENTAS[[#This Row],[Total]]-VENTAS[[#This Row],[Comisión 10%]]-VENTAS[[#This Row],[Costo SIN Comision]]</f>
        <v>9.26466509988249</v>
      </c>
      <c r="M1708" s="48"/>
      <c r="N1708" s="49" t="s">
        <v>4568</v>
      </c>
    </row>
    <row r="1709" s="4" customFormat="1" ht="20" hidden="1" customHeight="1" spans="1:14">
      <c r="A1709" s="46">
        <v>45544</v>
      </c>
      <c r="B1709" s="47"/>
      <c r="C1709" s="47"/>
      <c r="D1709" s="47" t="s">
        <v>4212</v>
      </c>
      <c r="E1709" s="47" t="s">
        <v>2718</v>
      </c>
      <c r="F1709" s="11" t="str">
        <f>IFERROR(VLOOKUP(VENTAS[[#This Row],[Código del producto Vendido]],STOCK[],5,FALSE),"-")</f>
        <v>Chaleco Healter color crema y botones coral H&amp;M</v>
      </c>
      <c r="G1709" s="47">
        <v>1</v>
      </c>
      <c r="H1709" s="48">
        <v>30</v>
      </c>
      <c r="I1709" s="14">
        <f>VENTAS[[#This Row],[Cantidad]]*VENTAS[[#This Row],[Precio Venta]]</f>
        <v>30</v>
      </c>
      <c r="J1709" s="14">
        <f>IF(VENTAS[[#This Row],[Nombre del Gestor]]&gt;1,VENTAS[[#This Row],[Total]]*10%,0)</f>
        <v>3</v>
      </c>
      <c r="K1709" s="14">
        <f>IFERROR(VLOOKUP(VENTAS[[#This Row],[Código del producto Vendido]],STOCK[],16,FALSE)*VENTAS[[#This Row],[Cantidad]]+VLOOKUP(VENTAS[[#This Row],[Código del producto Vendido]],STOCK[],19,FALSE)*VENTAS[[#This Row],[Cantidad]],VENTAS[[#This Row],[Total]])</f>
        <v>19</v>
      </c>
      <c r="L1709" s="14">
        <f>VENTAS[[#This Row],[Total]]-VENTAS[[#This Row],[Comisión 10%]]-VENTAS[[#This Row],[Costo SIN Comision]]</f>
        <v>8</v>
      </c>
      <c r="M1709" s="48"/>
      <c r="N1709" s="49" t="s">
        <v>4569</v>
      </c>
    </row>
    <row r="1710" s="4" customFormat="1" ht="20" hidden="1" customHeight="1" spans="1:14">
      <c r="A1710" s="46">
        <v>45545</v>
      </c>
      <c r="B1710" s="47"/>
      <c r="C1710" s="47"/>
      <c r="D1710" s="47" t="s">
        <v>4212</v>
      </c>
      <c r="E1710" s="47" t="s">
        <v>2359</v>
      </c>
      <c r="F1710" s="11" t="str">
        <f>IFERROR(VLOOKUP(VENTAS[[#This Row],[Código del producto Vendido]],STOCK[],5,FALSE),"-")</f>
        <v>Espejuelos rectangulares unisex</v>
      </c>
      <c r="G1710" s="47">
        <v>1</v>
      </c>
      <c r="H1710" s="48">
        <v>10</v>
      </c>
      <c r="I1710" s="14">
        <f>VENTAS[[#This Row],[Cantidad]]*VENTAS[[#This Row],[Precio Venta]]</f>
        <v>10</v>
      </c>
      <c r="J1710" s="14">
        <f>IF(VENTAS[[#This Row],[Nombre del Gestor]]&gt;1,VENTAS[[#This Row],[Total]]*10%,0)</f>
        <v>1</v>
      </c>
      <c r="K1710" s="14">
        <f>IFERROR(VLOOKUP(VENTAS[[#This Row],[Código del producto Vendido]],STOCK[],16,FALSE)*VENTAS[[#This Row],[Cantidad]]+VLOOKUP(VENTAS[[#This Row],[Código del producto Vendido]],STOCK[],19,FALSE)*VENTAS[[#This Row],[Cantidad]],VENTAS[[#This Row],[Total]])</f>
        <v>6.33125</v>
      </c>
      <c r="L1710" s="14">
        <f>VENTAS[[#This Row],[Total]]-VENTAS[[#This Row],[Comisión 10%]]-VENTAS[[#This Row],[Costo SIN Comision]]</f>
        <v>2.66875</v>
      </c>
      <c r="M1710" s="48"/>
      <c r="N1710" s="49" t="s">
        <v>4570</v>
      </c>
    </row>
    <row r="1711" s="4" customFormat="1" ht="20" hidden="1" customHeight="1" spans="1:14">
      <c r="A1711" s="46">
        <v>45545</v>
      </c>
      <c r="B1711" s="47"/>
      <c r="C1711" s="47"/>
      <c r="D1711" s="47" t="s">
        <v>4266</v>
      </c>
      <c r="E1711" s="47" t="s">
        <v>2418</v>
      </c>
      <c r="F1711" s="11" t="str">
        <f>IFERROR(VLOOKUP(VENTAS[[#This Row],[Código del producto Vendido]],STOCK[],5,FALSE),"-")</f>
        <v>Camisa blanca en mezcla de algodón</v>
      </c>
      <c r="G1711" s="47">
        <v>1</v>
      </c>
      <c r="H1711" s="48">
        <v>25</v>
      </c>
      <c r="I1711" s="14">
        <f>VENTAS[[#This Row],[Cantidad]]*VENTAS[[#This Row],[Precio Venta]]</f>
        <v>25</v>
      </c>
      <c r="J1711" s="14">
        <f>IF(VENTAS[[#This Row],[Nombre del Gestor]]&gt;1,VENTAS[[#This Row],[Total]]*10%,0)</f>
        <v>2.5</v>
      </c>
      <c r="K1711" s="14">
        <f>IFERROR(VLOOKUP(VENTAS[[#This Row],[Código del producto Vendido]],STOCK[],16,FALSE)*VENTAS[[#This Row],[Cantidad]]+VLOOKUP(VENTAS[[#This Row],[Código del producto Vendido]],STOCK[],19,FALSE)*VENTAS[[#This Row],[Cantidad]],VENTAS[[#This Row],[Total]])</f>
        <v>17.7808108108108</v>
      </c>
      <c r="L1711" s="14">
        <f>VENTAS[[#This Row],[Total]]-VENTAS[[#This Row],[Comisión 10%]]-VENTAS[[#This Row],[Costo SIN Comision]]</f>
        <v>4.7191891891892</v>
      </c>
      <c r="M1711" s="48"/>
      <c r="N1711" s="49" t="s">
        <v>4571</v>
      </c>
    </row>
    <row r="1712" s="4" customFormat="1" ht="20" hidden="1" customHeight="1" spans="1:14">
      <c r="A1712" s="46">
        <v>45545</v>
      </c>
      <c r="B1712" s="47"/>
      <c r="C1712" s="47"/>
      <c r="D1712" s="47" t="s">
        <v>4241</v>
      </c>
      <c r="E1712" s="47" t="s">
        <v>1326</v>
      </c>
      <c r="F1712" s="11" t="str">
        <f>IFERROR(VLOOKUP(VENTAS[[#This Row],[Código del producto Vendido]],STOCK[],5,FALSE),"-")</f>
        <v>Camisa Blanca </v>
      </c>
      <c r="G1712" s="47">
        <v>1</v>
      </c>
      <c r="H1712" s="48">
        <v>25</v>
      </c>
      <c r="I1712" s="14">
        <f>VENTAS[[#This Row],[Cantidad]]*VENTAS[[#This Row],[Precio Venta]]</f>
        <v>25</v>
      </c>
      <c r="J1712" s="14">
        <f>IF(VENTAS[[#This Row],[Nombre del Gestor]]&gt;1,VENTAS[[#This Row],[Total]]*10%,0)</f>
        <v>2.5</v>
      </c>
      <c r="K1712" s="14">
        <f>IFERROR(VLOOKUP(VENTAS[[#This Row],[Código del producto Vendido]],STOCK[],16,FALSE)*VENTAS[[#This Row],[Cantidad]]+VLOOKUP(VENTAS[[#This Row],[Código del producto Vendido]],STOCK[],19,FALSE)*VENTAS[[#This Row],[Cantidad]],VENTAS[[#This Row],[Total]])</f>
        <v>19</v>
      </c>
      <c r="L1712" s="14">
        <f>VENTAS[[#This Row],[Total]]-VENTAS[[#This Row],[Comisión 10%]]-VENTAS[[#This Row],[Costo SIN Comision]]</f>
        <v>3.5</v>
      </c>
      <c r="M1712" s="48"/>
      <c r="N1712" s="49" t="s">
        <v>4572</v>
      </c>
    </row>
    <row r="1713" s="4" customFormat="1" ht="20" hidden="1" customHeight="1" spans="1:14">
      <c r="A1713" s="46">
        <v>45545</v>
      </c>
      <c r="B1713" s="47"/>
      <c r="C1713" s="47"/>
      <c r="D1713" s="47" t="s">
        <v>4420</v>
      </c>
      <c r="E1713" s="47" t="s">
        <v>2288</v>
      </c>
      <c r="F1713" s="11" t="str">
        <f>IFERROR(VLOOKUP(VENTAS[[#This Row],[Código del producto Vendido]],STOCK[],5,FALSE),"-")</f>
        <v>Bolso de lona en bloque de color</v>
      </c>
      <c r="G1713" s="47">
        <v>0</v>
      </c>
      <c r="H1713" s="48">
        <v>12</v>
      </c>
      <c r="I1713" s="14">
        <f>VENTAS[[#This Row],[Cantidad]]*VENTAS[[#This Row],[Precio Venta]]</f>
        <v>0</v>
      </c>
      <c r="J1713" s="14">
        <f>IF(VENTAS[[#This Row],[Nombre del Gestor]]&gt;1,VENTAS[[#This Row],[Total]]*10%,0)</f>
        <v>0</v>
      </c>
      <c r="K1713" s="14">
        <f>IFERROR(VLOOKUP(VENTAS[[#This Row],[Código del producto Vendido]],STOCK[],16,FALSE)*VENTAS[[#This Row],[Cantidad]]+VLOOKUP(VENTAS[[#This Row],[Código del producto Vendido]],STOCK[],19,FALSE)*VENTAS[[#This Row],[Cantidad]],VENTAS[[#This Row],[Total]])</f>
        <v>0</v>
      </c>
      <c r="L1713" s="14">
        <f>VENTAS[[#This Row],[Total]]-VENTAS[[#This Row],[Comisión 10%]]-VENTAS[[#This Row],[Costo SIN Comision]]</f>
        <v>0</v>
      </c>
      <c r="M1713" s="48"/>
      <c r="N1713" s="49" t="s">
        <v>4573</v>
      </c>
    </row>
    <row r="1714" s="4" customFormat="1" ht="20" hidden="1" customHeight="1" spans="1:14">
      <c r="A1714" s="46">
        <v>45546</v>
      </c>
      <c r="B1714" s="47"/>
      <c r="C1714" s="47"/>
      <c r="D1714" s="47" t="s">
        <v>4241</v>
      </c>
      <c r="E1714" s="47" t="s">
        <v>2762</v>
      </c>
      <c r="F1714" s="11" t="str">
        <f>IFERROR(VLOOKUP(VENTAS[[#This Row],[Código del producto Vendido]],STOCK[],5,FALSE),"-")</f>
        <v>Set de bikini estilo europeo blanco en tendencia</v>
      </c>
      <c r="G1714" s="47">
        <v>1</v>
      </c>
      <c r="H1714" s="48">
        <v>22</v>
      </c>
      <c r="I1714" s="14">
        <f>VENTAS[[#This Row],[Cantidad]]*VENTAS[[#This Row],[Precio Venta]]</f>
        <v>22</v>
      </c>
      <c r="J1714" s="14">
        <f>IF(VENTAS[[#This Row],[Nombre del Gestor]]&gt;1,VENTAS[[#This Row],[Total]]*10%,0)</f>
        <v>2.2</v>
      </c>
      <c r="K1714" s="14">
        <f>IFERROR(VLOOKUP(VENTAS[[#This Row],[Código del producto Vendido]],STOCK[],16,FALSE)*VENTAS[[#This Row],[Cantidad]]+VLOOKUP(VENTAS[[#This Row],[Código del producto Vendido]],STOCK[],19,FALSE)*VENTAS[[#This Row],[Cantidad]],VENTAS[[#This Row],[Total]])</f>
        <v>13.23</v>
      </c>
      <c r="L1714" s="14">
        <f>VENTAS[[#This Row],[Total]]-VENTAS[[#This Row],[Comisión 10%]]-VENTAS[[#This Row],[Costo SIN Comision]]</f>
        <v>6.57</v>
      </c>
      <c r="M1714" s="48"/>
      <c r="N1714" s="49" t="s">
        <v>4574</v>
      </c>
    </row>
    <row r="1715" s="4" customFormat="1" ht="20" hidden="1" customHeight="1" spans="1:14">
      <c r="A1715" s="46">
        <v>45546</v>
      </c>
      <c r="B1715" s="47"/>
      <c r="C1715" s="47"/>
      <c r="D1715" s="47" t="s">
        <v>4365</v>
      </c>
      <c r="E1715" s="47" t="s">
        <v>2546</v>
      </c>
      <c r="F1715" s="11" t="str">
        <f>IFERROR(VLOOKUP(VENTAS[[#This Row],[Código del producto Vendido]],STOCK[],5,FALSE),"-")</f>
        <v>Pullover largo unicolor tela traslúcida negro</v>
      </c>
      <c r="G1715" s="47">
        <v>1</v>
      </c>
      <c r="H1715" s="48">
        <v>10</v>
      </c>
      <c r="I1715" s="14">
        <f>VENTAS[[#This Row],[Cantidad]]*VENTAS[[#This Row],[Precio Venta]]</f>
        <v>10</v>
      </c>
      <c r="J1715" s="14">
        <f>IF(VENTAS[[#This Row],[Nombre del Gestor]]&gt;1,VENTAS[[#This Row],[Total]]*10%,0)</f>
        <v>1</v>
      </c>
      <c r="K1715" s="14">
        <f>IFERROR(VLOOKUP(VENTAS[[#This Row],[Código del producto Vendido]],STOCK[],16,FALSE)*VENTAS[[#This Row],[Cantidad]]+VLOOKUP(VENTAS[[#This Row],[Código del producto Vendido]],STOCK[],19,FALSE)*VENTAS[[#This Row],[Cantidad]],VENTAS[[#This Row],[Total]])</f>
        <v>4.32</v>
      </c>
      <c r="L1715" s="14">
        <f>VENTAS[[#This Row],[Total]]-VENTAS[[#This Row],[Comisión 10%]]-VENTAS[[#This Row],[Costo SIN Comision]]</f>
        <v>4.68</v>
      </c>
      <c r="M1715" s="48"/>
      <c r="N1715" s="49" t="s">
        <v>4575</v>
      </c>
    </row>
    <row r="1716" s="4" customFormat="1" ht="20" hidden="1" customHeight="1" spans="1:14">
      <c r="A1716" s="46">
        <v>45546</v>
      </c>
      <c r="B1716" s="47"/>
      <c r="C1716" s="47"/>
      <c r="D1716" s="47" t="s">
        <v>4365</v>
      </c>
      <c r="E1716" s="47" t="s">
        <v>2550</v>
      </c>
      <c r="F1716" s="11" t="str">
        <f>IFERROR(VLOOKUP(VENTAS[[#This Row],[Código del producto Vendido]],STOCK[],5,FALSE),"-")</f>
        <v>Pullover largo unicolor tela traslúcida terracota</v>
      </c>
      <c r="G1716" s="47">
        <v>1</v>
      </c>
      <c r="H1716" s="48">
        <v>10</v>
      </c>
      <c r="I1716" s="14">
        <f>VENTAS[[#This Row],[Cantidad]]*VENTAS[[#This Row],[Precio Venta]]</f>
        <v>10</v>
      </c>
      <c r="J1716" s="14">
        <f>IF(VENTAS[[#This Row],[Nombre del Gestor]]&gt;1,VENTAS[[#This Row],[Total]]*10%,0)</f>
        <v>1</v>
      </c>
      <c r="K1716" s="14">
        <f>IFERROR(VLOOKUP(VENTAS[[#This Row],[Código del producto Vendido]],STOCK[],16,FALSE)*VENTAS[[#This Row],[Cantidad]]+VLOOKUP(VENTAS[[#This Row],[Código del producto Vendido]],STOCK[],19,FALSE)*VENTAS[[#This Row],[Cantidad]],VENTAS[[#This Row],[Total]])</f>
        <v>4.32</v>
      </c>
      <c r="L1716" s="14">
        <f>VENTAS[[#This Row],[Total]]-VENTAS[[#This Row],[Comisión 10%]]-VENTAS[[#This Row],[Costo SIN Comision]]</f>
        <v>4.68</v>
      </c>
      <c r="M1716" s="48"/>
      <c r="N1716" s="49" t="s">
        <v>4576</v>
      </c>
    </row>
    <row r="1717" s="4" customFormat="1" ht="20" hidden="1" customHeight="1" spans="1:14">
      <c r="A1717" s="46">
        <v>45546</v>
      </c>
      <c r="B1717" s="47"/>
      <c r="C1717" s="47"/>
      <c r="D1717" s="47" t="s">
        <v>4365</v>
      </c>
      <c r="E1717" s="47" t="s">
        <v>2553</v>
      </c>
      <c r="F1717" s="11" t="str">
        <f>IFERROR(VLOOKUP(VENTAS[[#This Row],[Código del producto Vendido]],STOCK[],5,FALSE),"-")</f>
        <v>Pullover largo unicolor tela traslúcida beige</v>
      </c>
      <c r="G1717" s="47">
        <v>1</v>
      </c>
      <c r="H1717" s="48">
        <v>10</v>
      </c>
      <c r="I1717" s="14">
        <f>VENTAS[[#This Row],[Cantidad]]*VENTAS[[#This Row],[Precio Venta]]</f>
        <v>10</v>
      </c>
      <c r="J1717" s="14">
        <f>IF(VENTAS[[#This Row],[Nombre del Gestor]]&gt;1,VENTAS[[#This Row],[Total]]*10%,0)</f>
        <v>1</v>
      </c>
      <c r="K1717" s="14">
        <f>IFERROR(VLOOKUP(VENTAS[[#This Row],[Código del producto Vendido]],STOCK[],16,FALSE)*VENTAS[[#This Row],[Cantidad]]+VLOOKUP(VENTAS[[#This Row],[Código del producto Vendido]],STOCK[],19,FALSE)*VENTAS[[#This Row],[Cantidad]],VENTAS[[#This Row],[Total]])</f>
        <v>4.32</v>
      </c>
      <c r="L1717" s="14">
        <f>VENTAS[[#This Row],[Total]]-VENTAS[[#This Row],[Comisión 10%]]-VENTAS[[#This Row],[Costo SIN Comision]]</f>
        <v>4.68</v>
      </c>
      <c r="M1717" s="48"/>
      <c r="N1717" s="49" t="s">
        <v>4577</v>
      </c>
    </row>
    <row r="1718" s="4" customFormat="1" ht="20" hidden="1" customHeight="1" spans="1:14">
      <c r="A1718" s="46">
        <v>45546</v>
      </c>
      <c r="B1718" s="47"/>
      <c r="C1718" s="47"/>
      <c r="D1718" s="47" t="s">
        <v>4076</v>
      </c>
      <c r="E1718" s="47" t="s">
        <v>1409</v>
      </c>
      <c r="F1718" s="11" t="str">
        <f>IFERROR(VLOOKUP(VENTAS[[#This Row],[Código del producto Vendido]],STOCK[],5,FALSE),"-")</f>
        <v>Pantaloneta con abertura y bolsillos</v>
      </c>
      <c r="G1718" s="47">
        <v>1</v>
      </c>
      <c r="H1718" s="48">
        <v>23</v>
      </c>
      <c r="I1718" s="14">
        <f>VENTAS[[#This Row],[Cantidad]]*VENTAS[[#This Row],[Precio Venta]]</f>
        <v>23</v>
      </c>
      <c r="J1718" s="14">
        <f>IF(VENTAS[[#This Row],[Nombre del Gestor]]&gt;1,VENTAS[[#This Row],[Total]]*10%,0)</f>
        <v>2.3</v>
      </c>
      <c r="K1718" s="14">
        <f>IFERROR(VLOOKUP(VENTAS[[#This Row],[Código del producto Vendido]],STOCK[],16,FALSE)*VENTAS[[#This Row],[Cantidad]]+VLOOKUP(VENTAS[[#This Row],[Código del producto Vendido]],STOCK[],19,FALSE)*VENTAS[[#This Row],[Cantidad]],VENTAS[[#This Row],[Total]])</f>
        <v>14.22</v>
      </c>
      <c r="L1718" s="14">
        <f>VENTAS[[#This Row],[Total]]-VENTAS[[#This Row],[Comisión 10%]]-VENTAS[[#This Row],[Costo SIN Comision]]</f>
        <v>6.48</v>
      </c>
      <c r="M1718" s="48"/>
      <c r="N1718" s="49" t="s">
        <v>4578</v>
      </c>
    </row>
    <row r="1719" s="4" customFormat="1" ht="20" hidden="1" customHeight="1" spans="1:14">
      <c r="A1719" s="46">
        <v>45547</v>
      </c>
      <c r="B1719" s="47"/>
      <c r="C1719" s="47"/>
      <c r="D1719" s="47" t="s">
        <v>4222</v>
      </c>
      <c r="E1719" s="47" t="s">
        <v>2285</v>
      </c>
      <c r="F1719" s="11" t="str">
        <f>IFERROR(VLOOKUP(VENTAS[[#This Row],[Código del producto Vendido]],STOCK[],5,FALSE),"-")</f>
        <v>Bolso de lienzo estampado de corazón</v>
      </c>
      <c r="G1719" s="47">
        <v>0</v>
      </c>
      <c r="H1719" s="48">
        <v>12</v>
      </c>
      <c r="I1719" s="14">
        <f>VENTAS[[#This Row],[Cantidad]]*VENTAS[[#This Row],[Precio Venta]]</f>
        <v>0</v>
      </c>
      <c r="J1719" s="14">
        <f>IF(VENTAS[[#This Row],[Nombre del Gestor]]&gt;1,VENTAS[[#This Row],[Total]]*10%,0)</f>
        <v>0</v>
      </c>
      <c r="K1719" s="14">
        <f>IFERROR(VLOOKUP(VENTAS[[#This Row],[Código del producto Vendido]],STOCK[],16,FALSE)*VENTAS[[#This Row],[Cantidad]]+VLOOKUP(VENTAS[[#This Row],[Código del producto Vendido]],STOCK[],19,FALSE)*VENTAS[[#This Row],[Cantidad]],VENTAS[[#This Row],[Total]])</f>
        <v>0</v>
      </c>
      <c r="L1719" s="14">
        <f>VENTAS[[#This Row],[Total]]-VENTAS[[#This Row],[Comisión 10%]]-VENTAS[[#This Row],[Costo SIN Comision]]</f>
        <v>0</v>
      </c>
      <c r="M1719" s="48"/>
      <c r="N1719" s="49" t="s">
        <v>4579</v>
      </c>
    </row>
    <row r="1720" s="4" customFormat="1" ht="20" hidden="1" customHeight="1" spans="1:14">
      <c r="A1720" s="46">
        <v>45547</v>
      </c>
      <c r="B1720" s="47"/>
      <c r="C1720" s="47"/>
      <c r="D1720" s="47" t="s">
        <v>4241</v>
      </c>
      <c r="E1720" s="47" t="s">
        <v>2769</v>
      </c>
      <c r="F1720" s="11" t="str">
        <f>IFERROR(VLOOKUP(VENTAS[[#This Row],[Código del producto Vendido]],STOCK[],5,FALSE),"-")</f>
        <v>Set de bikini de estilo europeo de moda color Oliva</v>
      </c>
      <c r="G1720" s="47">
        <v>1</v>
      </c>
      <c r="H1720" s="48">
        <v>22</v>
      </c>
      <c r="I1720" s="14">
        <f>VENTAS[[#This Row],[Cantidad]]*VENTAS[[#This Row],[Precio Venta]]</f>
        <v>22</v>
      </c>
      <c r="J1720" s="14">
        <f>IF(VENTAS[[#This Row],[Nombre del Gestor]]&gt;1,VENTAS[[#This Row],[Total]]*10%,0)</f>
        <v>2.2</v>
      </c>
      <c r="K1720" s="14">
        <f>IFERROR(VLOOKUP(VENTAS[[#This Row],[Código del producto Vendido]],STOCK[],16,FALSE)*VENTAS[[#This Row],[Cantidad]]+VLOOKUP(VENTAS[[#This Row],[Código del producto Vendido]],STOCK[],19,FALSE)*VENTAS[[#This Row],[Cantidad]],VENTAS[[#This Row],[Total]])</f>
        <v>12.87</v>
      </c>
      <c r="L1720" s="14">
        <f>VENTAS[[#This Row],[Total]]-VENTAS[[#This Row],[Comisión 10%]]-VENTAS[[#This Row],[Costo SIN Comision]]</f>
        <v>6.93</v>
      </c>
      <c r="M1720" s="48"/>
      <c r="N1720" s="49" t="s">
        <v>4580</v>
      </c>
    </row>
    <row r="1721" s="4" customFormat="1" ht="20" hidden="1" customHeight="1" spans="1:14">
      <c r="A1721" s="46">
        <v>45547</v>
      </c>
      <c r="B1721" s="47"/>
      <c r="C1721" s="47"/>
      <c r="D1721" s="47" t="s">
        <v>4581</v>
      </c>
      <c r="E1721" s="47" t="s">
        <v>2556</v>
      </c>
      <c r="F1721" s="11" t="str">
        <f>IFERROR(VLOOKUP(VENTAS[[#This Row],[Código del producto Vendido]],STOCK[],5,FALSE),"-")</f>
        <v>Pullover largo unicolor tela traslúcida blanco</v>
      </c>
      <c r="G1721" s="47">
        <v>1</v>
      </c>
      <c r="H1721" s="48">
        <v>10</v>
      </c>
      <c r="I1721" s="14">
        <f>VENTAS[[#This Row],[Cantidad]]*VENTAS[[#This Row],[Precio Venta]]</f>
        <v>10</v>
      </c>
      <c r="J1721" s="14">
        <f>IF(VENTAS[[#This Row],[Nombre del Gestor]]&gt;1,VENTAS[[#This Row],[Total]]*10%,0)</f>
        <v>1</v>
      </c>
      <c r="K1721" s="14">
        <f>IFERROR(VLOOKUP(VENTAS[[#This Row],[Código del producto Vendido]],STOCK[],16,FALSE)*VENTAS[[#This Row],[Cantidad]]+VLOOKUP(VENTAS[[#This Row],[Código del producto Vendido]],STOCK[],19,FALSE)*VENTAS[[#This Row],[Cantidad]],VENTAS[[#This Row],[Total]])</f>
        <v>4.32</v>
      </c>
      <c r="L1721" s="14">
        <f>VENTAS[[#This Row],[Total]]-VENTAS[[#This Row],[Comisión 10%]]-VENTAS[[#This Row],[Costo SIN Comision]]</f>
        <v>4.68</v>
      </c>
      <c r="M1721" s="48"/>
      <c r="N1721" s="49" t="s">
        <v>4582</v>
      </c>
    </row>
    <row r="1722" s="4" customFormat="1" ht="20" hidden="1" customHeight="1" spans="1:14">
      <c r="A1722" s="46">
        <v>45548</v>
      </c>
      <c r="B1722" s="47"/>
      <c r="C1722" s="47"/>
      <c r="D1722" s="47" t="s">
        <v>4241</v>
      </c>
      <c r="E1722" s="47" t="s">
        <v>2760</v>
      </c>
      <c r="F1722" s="11" t="str">
        <f>IFERROR(VLOOKUP(VENTAS[[#This Row],[Código del producto Vendido]],STOCK[],5,FALSE),"-")</f>
        <v>Vestido semiformal de hombros torcidos color naranja</v>
      </c>
      <c r="G1722" s="47">
        <v>1</v>
      </c>
      <c r="H1722" s="48">
        <v>25</v>
      </c>
      <c r="I1722" s="14">
        <f>VENTAS[[#This Row],[Cantidad]]*VENTAS[[#This Row],[Precio Venta]]</f>
        <v>25</v>
      </c>
      <c r="J1722" s="14">
        <f>IF(VENTAS[[#This Row],[Nombre del Gestor]]&gt;1,VENTAS[[#This Row],[Total]]*10%,0)</f>
        <v>2.5</v>
      </c>
      <c r="K1722" s="14">
        <f>IFERROR(VLOOKUP(VENTAS[[#This Row],[Código del producto Vendido]],STOCK[],16,FALSE)*VENTAS[[#This Row],[Cantidad]]+VLOOKUP(VENTAS[[#This Row],[Código del producto Vendido]],STOCK[],19,FALSE)*VENTAS[[#This Row],[Cantidad]],VENTAS[[#This Row],[Total]])</f>
        <v>11.6</v>
      </c>
      <c r="L1722" s="14">
        <f>VENTAS[[#This Row],[Total]]-VENTAS[[#This Row],[Comisión 10%]]-VENTAS[[#This Row],[Costo SIN Comision]]</f>
        <v>10.9</v>
      </c>
      <c r="M1722" s="48"/>
      <c r="N1722" s="49" t="s">
        <v>4583</v>
      </c>
    </row>
    <row r="1723" s="4" customFormat="1" ht="20" hidden="1" customHeight="1" spans="1:14">
      <c r="A1723" s="46">
        <v>45548</v>
      </c>
      <c r="B1723" s="47"/>
      <c r="C1723" s="47"/>
      <c r="D1723" s="47" t="s">
        <v>4241</v>
      </c>
      <c r="E1723" s="47" t="s">
        <v>1925</v>
      </c>
      <c r="F1723" s="11" t="str">
        <f>IFERROR(VLOOKUP(VENTAS[[#This Row],[Código del producto Vendido]],STOCK[],5,FALSE),"-")</f>
        <v>Vestido Fresco Verano en Bloque de Color</v>
      </c>
      <c r="G1723" s="47">
        <v>0</v>
      </c>
      <c r="H1723" s="48">
        <v>30</v>
      </c>
      <c r="I1723" s="14">
        <f>VENTAS[[#This Row],[Cantidad]]*VENTAS[[#This Row],[Precio Venta]]</f>
        <v>0</v>
      </c>
      <c r="J1723" s="14">
        <f>IF(VENTAS[[#This Row],[Nombre del Gestor]]&gt;1,VENTAS[[#This Row],[Total]]*10%,0)</f>
        <v>0</v>
      </c>
      <c r="K1723" s="14">
        <f>IFERROR(VLOOKUP(VENTAS[[#This Row],[Código del producto Vendido]],STOCK[],16,FALSE)*VENTAS[[#This Row],[Cantidad]]+VLOOKUP(VENTAS[[#This Row],[Código del producto Vendido]],STOCK[],19,FALSE)*VENTAS[[#This Row],[Cantidad]],VENTAS[[#This Row],[Total]])</f>
        <v>0</v>
      </c>
      <c r="L1723" s="14">
        <f>VENTAS[[#This Row],[Total]]-VENTAS[[#This Row],[Comisión 10%]]-VENTAS[[#This Row],[Costo SIN Comision]]</f>
        <v>0</v>
      </c>
      <c r="M1723" s="48"/>
      <c r="N1723" s="49" t="s">
        <v>4584</v>
      </c>
    </row>
    <row r="1724" s="4" customFormat="1" ht="20" hidden="1" customHeight="1" spans="1:14">
      <c r="A1724" s="46">
        <v>45552</v>
      </c>
      <c r="B1724" s="47"/>
      <c r="C1724" s="47"/>
      <c r="D1724" s="47" t="s">
        <v>4470</v>
      </c>
      <c r="E1724" s="47" t="s">
        <v>1768</v>
      </c>
      <c r="F1724" s="11" t="str">
        <f>IFERROR(VLOOKUP(VENTAS[[#This Row],[Código del producto Vendido]],STOCK[],5,FALSE),"-")</f>
        <v>Calcetines bajos</v>
      </c>
      <c r="G1724" s="47">
        <v>5</v>
      </c>
      <c r="H1724" s="48">
        <v>1</v>
      </c>
      <c r="I1724" s="14">
        <f>VENTAS[[#This Row],[Cantidad]]*VENTAS[[#This Row],[Precio Venta]]</f>
        <v>5</v>
      </c>
      <c r="J1724" s="14">
        <f>IF(VENTAS[[#This Row],[Nombre del Gestor]]&gt;1,VENTAS[[#This Row],[Total]]*10%,0)</f>
        <v>0.5</v>
      </c>
      <c r="K1724" s="14">
        <f>IFERROR(VLOOKUP(VENTAS[[#This Row],[Código del producto Vendido]],STOCK[],16,FALSE)*VENTAS[[#This Row],[Cantidad]]+VLOOKUP(VENTAS[[#This Row],[Código del producto Vendido]],STOCK[],19,FALSE)*VENTAS[[#This Row],[Cantidad]],VENTAS[[#This Row],[Total]])</f>
        <v>2.14705882352941</v>
      </c>
      <c r="L1724" s="14">
        <f>VENTAS[[#This Row],[Total]]-VENTAS[[#This Row],[Comisión 10%]]-VENTAS[[#This Row],[Costo SIN Comision]]</f>
        <v>2.35294117647059</v>
      </c>
      <c r="M1724" s="48"/>
      <c r="N1724" s="49" t="s">
        <v>4585</v>
      </c>
    </row>
    <row r="1725" s="4" customFormat="1" ht="20" hidden="1" customHeight="1" spans="1:14">
      <c r="A1725" s="46">
        <v>45552</v>
      </c>
      <c r="B1725" s="47"/>
      <c r="C1725" s="47"/>
      <c r="D1725" s="47" t="s">
        <v>4266</v>
      </c>
      <c r="E1725" s="47" t="s">
        <v>1905</v>
      </c>
      <c r="F1725" s="11" t="str">
        <f>IFERROR(VLOOKUP(VENTAS[[#This Row],[Código del producto Vendido]],STOCK[],5,FALSE),"-")</f>
        <v>Blusa estampada de Lunares</v>
      </c>
      <c r="G1725" s="47">
        <v>0</v>
      </c>
      <c r="H1725" s="48">
        <v>14</v>
      </c>
      <c r="I1725" s="14">
        <f>VENTAS[[#This Row],[Cantidad]]*VENTAS[[#This Row],[Precio Venta]]</f>
        <v>0</v>
      </c>
      <c r="J1725" s="14">
        <f>IF(VENTAS[[#This Row],[Nombre del Gestor]]&gt;1,VENTAS[[#This Row],[Total]]*10%,0)</f>
        <v>0</v>
      </c>
      <c r="K1725" s="14">
        <f>IFERROR(VLOOKUP(VENTAS[[#This Row],[Código del producto Vendido]],STOCK[],16,FALSE)*VENTAS[[#This Row],[Cantidad]]+VLOOKUP(VENTAS[[#This Row],[Código del producto Vendido]],STOCK[],19,FALSE)*VENTAS[[#This Row],[Cantidad]],VENTAS[[#This Row],[Total]])</f>
        <v>0</v>
      </c>
      <c r="L1725" s="14">
        <f>VENTAS[[#This Row],[Total]]-VENTAS[[#This Row],[Comisión 10%]]-VENTAS[[#This Row],[Costo SIN Comision]]</f>
        <v>0</v>
      </c>
      <c r="M1725" s="48"/>
      <c r="N1725" s="49" t="s">
        <v>4586</v>
      </c>
    </row>
    <row r="1726" s="4" customFormat="1" ht="20" hidden="1" customHeight="1" spans="1:14">
      <c r="A1726" s="46">
        <v>45552</v>
      </c>
      <c r="B1726" s="47"/>
      <c r="C1726" s="47"/>
      <c r="D1726" s="47" t="s">
        <v>4587</v>
      </c>
      <c r="E1726" s="47" t="s">
        <v>2679</v>
      </c>
      <c r="F1726" s="11" t="str">
        <f>IFERROR(VLOOKUP(VENTAS[[#This Row],[Código del producto Vendido]],STOCK[],5,FALSE),"-")</f>
        <v>Traje de baño clásico en bloque de color de talle alto</v>
      </c>
      <c r="G1726" s="47">
        <v>1</v>
      </c>
      <c r="H1726" s="48">
        <v>28</v>
      </c>
      <c r="I1726" s="14">
        <f>VENTAS[[#This Row],[Cantidad]]*VENTAS[[#This Row],[Precio Venta]]</f>
        <v>28</v>
      </c>
      <c r="J1726" s="14">
        <f>IF(VENTAS[[#This Row],[Nombre del Gestor]]&gt;1,VENTAS[[#This Row],[Total]]*10%,0)</f>
        <v>2.8</v>
      </c>
      <c r="K1726" s="14">
        <f>IFERROR(VLOOKUP(VENTAS[[#This Row],[Código del producto Vendido]],STOCK[],16,FALSE)*VENTAS[[#This Row],[Cantidad]]+VLOOKUP(VENTAS[[#This Row],[Código del producto Vendido]],STOCK[],19,FALSE)*VENTAS[[#This Row],[Cantidad]],VENTAS[[#This Row],[Total]])</f>
        <v>10.4</v>
      </c>
      <c r="L1726" s="14">
        <f>VENTAS[[#This Row],[Total]]-VENTAS[[#This Row],[Comisión 10%]]-VENTAS[[#This Row],[Costo SIN Comision]]</f>
        <v>14.8</v>
      </c>
      <c r="M1726" s="48"/>
      <c r="N1726" s="49" t="s">
        <v>4588</v>
      </c>
    </row>
    <row r="1727" s="4" customFormat="1" ht="20" hidden="1" customHeight="1" spans="1:14">
      <c r="A1727" s="46">
        <v>45552</v>
      </c>
      <c r="B1727" s="47"/>
      <c r="C1727" s="47"/>
      <c r="D1727" s="47" t="s">
        <v>4470</v>
      </c>
      <c r="E1727" s="47" t="s">
        <v>1738</v>
      </c>
      <c r="F1727" s="11" t="str">
        <f>IFERROR(VLOOKUP(VENTAS[[#This Row],[Código del producto Vendido]],STOCK[],5,FALSE),"-")</f>
        <v>Chaleco de traje Blanco</v>
      </c>
      <c r="G1727" s="47">
        <v>1</v>
      </c>
      <c r="H1727" s="48">
        <v>25</v>
      </c>
      <c r="I1727" s="14">
        <f>VENTAS[[#This Row],[Cantidad]]*VENTAS[[#This Row],[Precio Venta]]</f>
        <v>25</v>
      </c>
      <c r="J1727" s="14">
        <f>IF(VENTAS[[#This Row],[Nombre del Gestor]]&gt;1,VENTAS[[#This Row],[Total]]*10%,0)</f>
        <v>2.5</v>
      </c>
      <c r="K1727" s="14">
        <f>IFERROR(VLOOKUP(VENTAS[[#This Row],[Código del producto Vendido]],STOCK[],16,FALSE)*VENTAS[[#This Row],[Cantidad]]+VLOOKUP(VENTAS[[#This Row],[Código del producto Vendido]],STOCK[],19,FALSE)*VENTAS[[#This Row],[Cantidad]],VENTAS[[#This Row],[Total]])</f>
        <v>17.9411764705882</v>
      </c>
      <c r="L1727" s="14">
        <f>VENTAS[[#This Row],[Total]]-VENTAS[[#This Row],[Comisión 10%]]-VENTAS[[#This Row],[Costo SIN Comision]]</f>
        <v>4.5588235294118</v>
      </c>
      <c r="M1727" s="48"/>
      <c r="N1727" s="49" t="s">
        <v>4589</v>
      </c>
    </row>
    <row r="1728" s="4" customFormat="1" ht="20" hidden="1" customHeight="1" spans="1:14">
      <c r="A1728" s="46">
        <v>45553</v>
      </c>
      <c r="B1728" s="47"/>
      <c r="C1728" s="47"/>
      <c r="D1728" s="47" t="s">
        <v>4365</v>
      </c>
      <c r="E1728" s="47" t="s">
        <v>2521</v>
      </c>
      <c r="F1728" s="11" t="str">
        <f>IFERROR(VLOOKUP(VENTAS[[#This Row],[Código del producto Vendido]],STOCK[],5,FALSE),"-")</f>
        <v>Pantalones cortos de mezclilla de moda</v>
      </c>
      <c r="G1728" s="47">
        <v>1</v>
      </c>
      <c r="H1728" s="48">
        <v>25</v>
      </c>
      <c r="I1728" s="14">
        <f>VENTAS[[#This Row],[Cantidad]]*VENTAS[[#This Row],[Precio Venta]]</f>
        <v>25</v>
      </c>
      <c r="J1728" s="14">
        <f>IF(VENTAS[[#This Row],[Nombre del Gestor]]&gt;1,VENTAS[[#This Row],[Total]]*10%,0)</f>
        <v>2.5</v>
      </c>
      <c r="K1728" s="14">
        <f>IFERROR(VLOOKUP(VENTAS[[#This Row],[Código del producto Vendido]],STOCK[],16,FALSE)*VENTAS[[#This Row],[Cantidad]]+VLOOKUP(VENTAS[[#This Row],[Código del producto Vendido]],STOCK[],19,FALSE)*VENTAS[[#This Row],[Cantidad]],VENTAS[[#This Row],[Total]])</f>
        <v>15.79</v>
      </c>
      <c r="L1728" s="14">
        <f>VENTAS[[#This Row],[Total]]-VENTAS[[#This Row],[Comisión 10%]]-VENTAS[[#This Row],[Costo SIN Comision]]</f>
        <v>6.71</v>
      </c>
      <c r="M1728" s="48"/>
      <c r="N1728" s="49" t="s">
        <v>4590</v>
      </c>
    </row>
    <row r="1729" s="4" customFormat="1" ht="20" hidden="1" customHeight="1" spans="1:14">
      <c r="A1729" s="46">
        <v>45553</v>
      </c>
      <c r="B1729" s="47"/>
      <c r="C1729" s="47"/>
      <c r="D1729" s="47" t="s">
        <v>4365</v>
      </c>
      <c r="E1729" s="47" t="s">
        <v>2514</v>
      </c>
      <c r="F1729" s="11" t="str">
        <f>IFERROR(VLOOKUP(VENTAS[[#This Row],[Código del producto Vendido]],STOCK[],5,FALSE),"-")</f>
        <v>Camisa elegante de listas</v>
      </c>
      <c r="G1729" s="47">
        <v>1</v>
      </c>
      <c r="H1729" s="48">
        <v>22</v>
      </c>
      <c r="I1729" s="14">
        <f>VENTAS[[#This Row],[Cantidad]]*VENTAS[[#This Row],[Precio Venta]]</f>
        <v>22</v>
      </c>
      <c r="J1729" s="14">
        <f>IF(VENTAS[[#This Row],[Nombre del Gestor]]&gt;1,VENTAS[[#This Row],[Total]]*10%,0)</f>
        <v>2.2</v>
      </c>
      <c r="K1729" s="14">
        <f>IFERROR(VLOOKUP(VENTAS[[#This Row],[Código del producto Vendido]],STOCK[],16,FALSE)*VENTAS[[#This Row],[Cantidad]]+VLOOKUP(VENTAS[[#This Row],[Código del producto Vendido]],STOCK[],19,FALSE)*VENTAS[[#This Row],[Cantidad]],VENTAS[[#This Row],[Total]])</f>
        <v>11.3</v>
      </c>
      <c r="L1729" s="14">
        <f>VENTAS[[#This Row],[Total]]-VENTAS[[#This Row],[Comisión 10%]]-VENTAS[[#This Row],[Costo SIN Comision]]</f>
        <v>8.5</v>
      </c>
      <c r="M1729" s="48"/>
      <c r="N1729" s="49" t="s">
        <v>4591</v>
      </c>
    </row>
    <row r="1730" s="4" customFormat="1" ht="20" hidden="1" customHeight="1" spans="1:14">
      <c r="A1730" s="46">
        <v>45553</v>
      </c>
      <c r="B1730" s="47"/>
      <c r="C1730" s="47"/>
      <c r="D1730" s="47" t="s">
        <v>4241</v>
      </c>
      <c r="E1730" s="47" t="s">
        <v>2485</v>
      </c>
      <c r="F1730" s="11" t="str">
        <f>IFERROR(VLOOKUP(VENTAS[[#This Row],[Código del producto Vendido]],STOCK[],5,FALSE),"-")</f>
        <v>Zapatos elegantes de punta fina negros</v>
      </c>
      <c r="G1730" s="47">
        <v>1</v>
      </c>
      <c r="H1730" s="48">
        <v>40</v>
      </c>
      <c r="I1730" s="14">
        <f>VENTAS[[#This Row],[Cantidad]]*VENTAS[[#This Row],[Precio Venta]]</f>
        <v>40</v>
      </c>
      <c r="J1730" s="14">
        <f>IF(VENTAS[[#This Row],[Nombre del Gestor]]&gt;1,VENTAS[[#This Row],[Total]]*10%,0)</f>
        <v>4</v>
      </c>
      <c r="K1730" s="14">
        <f>IFERROR(VLOOKUP(VENTAS[[#This Row],[Código del producto Vendido]],STOCK[],16,FALSE)*VENTAS[[#This Row],[Cantidad]]+VLOOKUP(VENTAS[[#This Row],[Código del producto Vendido]],STOCK[],19,FALSE)*VENTAS[[#This Row],[Cantidad]],VENTAS[[#This Row],[Total]])</f>
        <v>21.11405</v>
      </c>
      <c r="L1730" s="14">
        <f>VENTAS[[#This Row],[Total]]-VENTAS[[#This Row],[Comisión 10%]]-VENTAS[[#This Row],[Costo SIN Comision]]</f>
        <v>14.88595</v>
      </c>
      <c r="M1730" s="48"/>
      <c r="N1730" s="49" t="s">
        <v>4592</v>
      </c>
    </row>
    <row r="1731" s="4" customFormat="1" ht="20" hidden="1" customHeight="1" spans="1:14">
      <c r="A1731" s="46">
        <v>45553</v>
      </c>
      <c r="B1731" s="47"/>
      <c r="C1731" s="47"/>
      <c r="D1731" s="47" t="s">
        <v>4241</v>
      </c>
      <c r="E1731" s="47" t="s">
        <v>2421</v>
      </c>
      <c r="F1731" s="11" t="str">
        <f>IFERROR(VLOOKUP(VENTAS[[#This Row],[Código del producto Vendido]],STOCK[],5,FALSE),"-")</f>
        <v>Camisa blanca en mezcla de algodón</v>
      </c>
      <c r="G1731" s="47">
        <v>1</v>
      </c>
      <c r="H1731" s="48">
        <v>25</v>
      </c>
      <c r="I1731" s="14">
        <f>VENTAS[[#This Row],[Cantidad]]*VENTAS[[#This Row],[Precio Venta]]</f>
        <v>25</v>
      </c>
      <c r="J1731" s="14">
        <f>IF(VENTAS[[#This Row],[Nombre del Gestor]]&gt;1,VENTAS[[#This Row],[Total]]*10%,0)</f>
        <v>2.5</v>
      </c>
      <c r="K1731" s="14">
        <f>IFERROR(VLOOKUP(VENTAS[[#This Row],[Código del producto Vendido]],STOCK[],16,FALSE)*VENTAS[[#This Row],[Cantidad]]+VLOOKUP(VENTAS[[#This Row],[Código del producto Vendido]],STOCK[],19,FALSE)*VENTAS[[#This Row],[Cantidad]],VENTAS[[#This Row],[Total]])</f>
        <v>17.7808108108108</v>
      </c>
      <c r="L1731" s="14">
        <f>VENTAS[[#This Row],[Total]]-VENTAS[[#This Row],[Comisión 10%]]-VENTAS[[#This Row],[Costo SIN Comision]]</f>
        <v>4.7191891891892</v>
      </c>
      <c r="M1731" s="48"/>
      <c r="N1731" s="49" t="s">
        <v>4593</v>
      </c>
    </row>
    <row r="1732" s="4" customFormat="1" ht="20" hidden="1" customHeight="1" spans="1:14">
      <c r="A1732" s="46">
        <v>45553</v>
      </c>
      <c r="B1732" s="47"/>
      <c r="C1732" s="47"/>
      <c r="D1732" s="47" t="s">
        <v>4272</v>
      </c>
      <c r="E1732" s="47" t="s">
        <v>2762</v>
      </c>
      <c r="F1732" s="11" t="str">
        <f>IFERROR(VLOOKUP(VENTAS[[#This Row],[Código del producto Vendido]],STOCK[],5,FALSE),"-")</f>
        <v>Set de bikini estilo europeo blanco en tendencia</v>
      </c>
      <c r="G1732" s="47">
        <v>1</v>
      </c>
      <c r="H1732" s="48">
        <v>22</v>
      </c>
      <c r="I1732" s="14">
        <f>VENTAS[[#This Row],[Cantidad]]*VENTAS[[#This Row],[Precio Venta]]</f>
        <v>22</v>
      </c>
      <c r="J1732" s="14">
        <f>IF(VENTAS[[#This Row],[Nombre del Gestor]]&gt;1,VENTAS[[#This Row],[Total]]*10%,0)</f>
        <v>2.2</v>
      </c>
      <c r="K1732" s="14">
        <f>IFERROR(VLOOKUP(VENTAS[[#This Row],[Código del producto Vendido]],STOCK[],16,FALSE)*VENTAS[[#This Row],[Cantidad]]+VLOOKUP(VENTAS[[#This Row],[Código del producto Vendido]],STOCK[],19,FALSE)*VENTAS[[#This Row],[Cantidad]],VENTAS[[#This Row],[Total]])</f>
        <v>13.23</v>
      </c>
      <c r="L1732" s="14">
        <f>VENTAS[[#This Row],[Total]]-VENTAS[[#This Row],[Comisión 10%]]-VENTAS[[#This Row],[Costo SIN Comision]]</f>
        <v>6.57</v>
      </c>
      <c r="M1732" s="48"/>
      <c r="N1732" s="49" t="s">
        <v>4594</v>
      </c>
    </row>
    <row r="1733" s="4" customFormat="1" ht="20" hidden="1" customHeight="1" spans="1:14">
      <c r="A1733" s="46">
        <v>45554</v>
      </c>
      <c r="B1733" s="47"/>
      <c r="C1733" s="47"/>
      <c r="D1733" s="47" t="s">
        <v>4427</v>
      </c>
      <c r="E1733" s="47" t="s">
        <v>2114</v>
      </c>
      <c r="F1733" s="11" t="str">
        <f>IFERROR(VLOOKUP(VENTAS[[#This Row],[Código del producto Vendido]],STOCK[],5,FALSE),"-")</f>
        <v>Flor TOTE fashion bag</v>
      </c>
      <c r="G1733" s="47">
        <v>1</v>
      </c>
      <c r="H1733" s="48">
        <v>12</v>
      </c>
      <c r="I1733" s="14">
        <f>VENTAS[[#This Row],[Cantidad]]*VENTAS[[#This Row],[Precio Venta]]</f>
        <v>12</v>
      </c>
      <c r="J1733" s="14">
        <f>IF(VENTAS[[#This Row],[Nombre del Gestor]]&gt;1,VENTAS[[#This Row],[Total]]*10%,0)</f>
        <v>1.2</v>
      </c>
      <c r="K1733" s="14">
        <f>IFERROR(VLOOKUP(VENTAS[[#This Row],[Código del producto Vendido]],STOCK[],16,FALSE)*VENTAS[[#This Row],[Cantidad]]+VLOOKUP(VENTAS[[#This Row],[Código del producto Vendido]],STOCK[],19,FALSE)*VENTAS[[#This Row],[Cantidad]],VENTAS[[#This Row],[Total]])</f>
        <v>3.77</v>
      </c>
      <c r="L1733" s="14">
        <f>VENTAS[[#This Row],[Total]]-VENTAS[[#This Row],[Comisión 10%]]-VENTAS[[#This Row],[Costo SIN Comision]]</f>
        <v>7.03</v>
      </c>
      <c r="M1733" s="48"/>
      <c r="N1733" s="49" t="s">
        <v>4595</v>
      </c>
    </row>
    <row r="1734" s="4" customFormat="1" ht="20" hidden="1" customHeight="1" spans="1:14">
      <c r="A1734" s="46">
        <v>45554</v>
      </c>
      <c r="B1734" s="47"/>
      <c r="C1734" s="47"/>
      <c r="D1734" s="47" t="s">
        <v>4266</v>
      </c>
      <c r="E1734" s="47" t="s">
        <v>1834</v>
      </c>
      <c r="F1734" s="11" t="str">
        <f>IFERROR(VLOOKUP(VENTAS[[#This Row],[Código del producto Vendido]],STOCK[],5,FALSE),"-")</f>
        <v>Pantalón en piel </v>
      </c>
      <c r="G1734" s="47">
        <v>0</v>
      </c>
      <c r="H1734" s="48">
        <v>25</v>
      </c>
      <c r="I1734" s="14">
        <f>VENTAS[[#This Row],[Cantidad]]*VENTAS[[#This Row],[Precio Venta]]</f>
        <v>0</v>
      </c>
      <c r="J1734" s="14">
        <f>IF(VENTAS[[#This Row],[Nombre del Gestor]]&gt;1,VENTAS[[#This Row],[Total]]*10%,0)</f>
        <v>0</v>
      </c>
      <c r="K1734" s="14">
        <f>IFERROR(VLOOKUP(VENTAS[[#This Row],[Código del producto Vendido]],STOCK[],16,FALSE)*VENTAS[[#This Row],[Cantidad]]+VLOOKUP(VENTAS[[#This Row],[Código del producto Vendido]],STOCK[],19,FALSE)*VENTAS[[#This Row],[Cantidad]],VENTAS[[#This Row],[Total]])</f>
        <v>0</v>
      </c>
      <c r="L1734" s="14">
        <f>VENTAS[[#This Row],[Total]]-VENTAS[[#This Row],[Comisión 10%]]-VENTAS[[#This Row],[Costo SIN Comision]]</f>
        <v>0</v>
      </c>
      <c r="M1734" s="48"/>
      <c r="N1734" s="49" t="s">
        <v>4596</v>
      </c>
    </row>
    <row r="1735" s="4" customFormat="1" ht="20" hidden="1" customHeight="1" spans="1:14">
      <c r="A1735" s="46">
        <v>45554</v>
      </c>
      <c r="B1735" s="47"/>
      <c r="C1735" s="47"/>
      <c r="D1735" s="47" t="s">
        <v>4266</v>
      </c>
      <c r="E1735" s="47" t="s">
        <v>587</v>
      </c>
      <c r="F1735" s="11" t="str">
        <f>IFERROR(VLOOKUP(VENTAS[[#This Row],[Código del producto Vendido]],STOCK[],5,FALSE),"-")</f>
        <v>Top cruzado blanco</v>
      </c>
      <c r="G1735" s="47">
        <v>1</v>
      </c>
      <c r="H1735" s="48">
        <v>9</v>
      </c>
      <c r="I1735" s="14">
        <f>VENTAS[[#This Row],[Cantidad]]*VENTAS[[#This Row],[Precio Venta]]</f>
        <v>9</v>
      </c>
      <c r="J1735" s="14">
        <f>IF(VENTAS[[#This Row],[Nombre del Gestor]]&gt;1,VENTAS[[#This Row],[Total]]*10%,0)</f>
        <v>0.9</v>
      </c>
      <c r="K1735" s="14">
        <f>IFERROR(VLOOKUP(VENTAS[[#This Row],[Código del producto Vendido]],STOCK[],16,FALSE)*VENTAS[[#This Row],[Cantidad]]+VLOOKUP(VENTAS[[#This Row],[Código del producto Vendido]],STOCK[],19,FALSE)*VENTAS[[#This Row],[Cantidad]],VENTAS[[#This Row],[Total]])</f>
        <v>5.19333333333333</v>
      </c>
      <c r="L1735" s="14">
        <f>VENTAS[[#This Row],[Total]]-VENTAS[[#This Row],[Comisión 10%]]-VENTAS[[#This Row],[Costo SIN Comision]]</f>
        <v>2.90666666666667</v>
      </c>
      <c r="M1735" s="48"/>
      <c r="N1735" s="49" t="s">
        <v>4597</v>
      </c>
    </row>
    <row r="1736" s="4" customFormat="1" ht="20" hidden="1" customHeight="1" spans="1:14">
      <c r="A1736" s="46">
        <v>45554</v>
      </c>
      <c r="B1736" s="47"/>
      <c r="C1736" s="47"/>
      <c r="D1736" s="47" t="s">
        <v>4266</v>
      </c>
      <c r="E1736" s="47" t="s">
        <v>662</v>
      </c>
      <c r="F1736" s="11" t="str">
        <f>IFERROR(VLOOKUP(VENTAS[[#This Row],[Código del producto Vendido]],STOCK[],5,FALSE),"-")</f>
        <v>Top Cruzado negro</v>
      </c>
      <c r="G1736" s="47">
        <v>1</v>
      </c>
      <c r="H1736" s="48">
        <v>8</v>
      </c>
      <c r="I1736" s="14">
        <f>VENTAS[[#This Row],[Cantidad]]*VENTAS[[#This Row],[Precio Venta]]</f>
        <v>8</v>
      </c>
      <c r="J1736" s="14">
        <f>IF(VENTAS[[#This Row],[Nombre del Gestor]]&gt;1,VENTAS[[#This Row],[Total]]*10%,0)</f>
        <v>0.8</v>
      </c>
      <c r="K1736" s="14">
        <f>IFERROR(VLOOKUP(VENTAS[[#This Row],[Código del producto Vendido]],STOCK[],16,FALSE)*VENTAS[[#This Row],[Cantidad]]+VLOOKUP(VENTAS[[#This Row],[Código del producto Vendido]],STOCK[],19,FALSE)*VENTAS[[#This Row],[Cantidad]],VENTAS[[#This Row],[Total]])</f>
        <v>4.90166666666667</v>
      </c>
      <c r="L1736" s="14">
        <f>VENTAS[[#This Row],[Total]]-VENTAS[[#This Row],[Comisión 10%]]-VENTAS[[#This Row],[Costo SIN Comision]]</f>
        <v>2.29833333333333</v>
      </c>
      <c r="M1736" s="48"/>
      <c r="N1736" s="49" t="s">
        <v>4598</v>
      </c>
    </row>
    <row r="1737" s="4" customFormat="1" ht="20" hidden="1" customHeight="1" spans="1:14">
      <c r="A1737" s="46">
        <v>45559</v>
      </c>
      <c r="B1737" s="47"/>
      <c r="C1737" s="47"/>
      <c r="D1737" s="47" t="s">
        <v>4365</v>
      </c>
      <c r="E1737" s="47" t="s">
        <v>1771</v>
      </c>
      <c r="F1737" s="11" t="str">
        <f>IFERROR(VLOOKUP(VENTAS[[#This Row],[Código del producto Vendido]],STOCK[],5,FALSE),"-")</f>
        <v>Kimono Dazy Elegante</v>
      </c>
      <c r="G1737" s="47">
        <v>1</v>
      </c>
      <c r="H1737" s="48">
        <v>22</v>
      </c>
      <c r="I1737" s="14">
        <f>VENTAS[[#This Row],[Cantidad]]*VENTAS[[#This Row],[Precio Venta]]</f>
        <v>22</v>
      </c>
      <c r="J1737" s="14">
        <f>IF(VENTAS[[#This Row],[Nombre del Gestor]]&gt;1,VENTAS[[#This Row],[Total]]*10%,0)</f>
        <v>2.2</v>
      </c>
      <c r="K1737" s="14">
        <f>IFERROR(VLOOKUP(VENTAS[[#This Row],[Código del producto Vendido]],STOCK[],16,FALSE)*VENTAS[[#This Row],[Cantidad]]+VLOOKUP(VENTAS[[#This Row],[Código del producto Vendido]],STOCK[],19,FALSE)*VENTAS[[#This Row],[Cantidad]],VENTAS[[#This Row],[Total]])</f>
        <v>13.3529411764706</v>
      </c>
      <c r="L1737" s="14">
        <f>VENTAS[[#This Row],[Total]]-VENTAS[[#This Row],[Comisión 10%]]-VENTAS[[#This Row],[Costo SIN Comision]]</f>
        <v>6.44705882352941</v>
      </c>
      <c r="M1737" s="48"/>
      <c r="N1737" s="49" t="s">
        <v>4599</v>
      </c>
    </row>
    <row r="1738" s="4" customFormat="1" ht="20" hidden="1" customHeight="1" spans="1:14">
      <c r="A1738" s="46">
        <v>45560</v>
      </c>
      <c r="B1738" s="47"/>
      <c r="C1738" s="47"/>
      <c r="D1738" s="47" t="s">
        <v>4365</v>
      </c>
      <c r="E1738" s="47" t="s">
        <v>2820</v>
      </c>
      <c r="F1738" s="11" t="str">
        <f>IFERROR(VLOOKUP(VENTAS[[#This Row],[Código del producto Vendido]],STOCK[],5,FALSE),"-")</f>
        <v>Bolso de diario ligero y casual de gran capacidad elegante de cocodrilo</v>
      </c>
      <c r="G1738" s="47">
        <v>1</v>
      </c>
      <c r="H1738" s="48">
        <v>25</v>
      </c>
      <c r="I1738" s="14">
        <f>VENTAS[[#This Row],[Cantidad]]*VENTAS[[#This Row],[Precio Venta]]</f>
        <v>25</v>
      </c>
      <c r="J1738" s="14">
        <f>IF(VENTAS[[#This Row],[Nombre del Gestor]]&gt;1,VENTAS[[#This Row],[Total]]*10%,0)</f>
        <v>2.5</v>
      </c>
      <c r="K1738" s="14">
        <f>IFERROR(VLOOKUP(VENTAS[[#This Row],[Código del producto Vendido]],STOCK[],16,FALSE)*VENTAS[[#This Row],[Cantidad]]+VLOOKUP(VENTAS[[#This Row],[Código del producto Vendido]],STOCK[],19,FALSE)*VENTAS[[#This Row],[Cantidad]],VENTAS[[#This Row],[Total]])</f>
        <v>10.14</v>
      </c>
      <c r="L1738" s="14">
        <f>VENTAS[[#This Row],[Total]]-VENTAS[[#This Row],[Comisión 10%]]-VENTAS[[#This Row],[Costo SIN Comision]]</f>
        <v>12.36</v>
      </c>
      <c r="M1738" s="48"/>
      <c r="N1738" s="49" t="s">
        <v>4600</v>
      </c>
    </row>
    <row r="1739" s="4" customFormat="1" ht="20" hidden="1" customHeight="1" spans="1:14">
      <c r="A1739" s="46">
        <v>45560</v>
      </c>
      <c r="B1739" s="47"/>
      <c r="C1739" s="47"/>
      <c r="D1739" s="47" t="s">
        <v>4241</v>
      </c>
      <c r="E1739" s="47" t="s">
        <v>2857</v>
      </c>
      <c r="F1739" s="11" t="str">
        <f>IFERROR(VLOOKUP(VENTAS[[#This Row],[Código del producto Vendido]],STOCK[],5,FALSE),"-")</f>
        <v>Bolso cuadrado tejido de rafia Tamaño grande Color Carmelita</v>
      </c>
      <c r="G1739" s="47">
        <v>1</v>
      </c>
      <c r="H1739" s="48">
        <v>25</v>
      </c>
      <c r="I1739" s="14">
        <f>VENTAS[[#This Row],[Cantidad]]*VENTAS[[#This Row],[Precio Venta]]</f>
        <v>25</v>
      </c>
      <c r="J1739" s="14">
        <f>IF(VENTAS[[#This Row],[Nombre del Gestor]]&gt;1,VENTAS[[#This Row],[Total]]*10%,0)</f>
        <v>2.5</v>
      </c>
      <c r="K1739" s="14">
        <f>IFERROR(VLOOKUP(VENTAS[[#This Row],[Código del producto Vendido]],STOCK[],16,FALSE)*VENTAS[[#This Row],[Cantidad]]+VLOOKUP(VENTAS[[#This Row],[Código del producto Vendido]],STOCK[],19,FALSE)*VENTAS[[#This Row],[Cantidad]],VENTAS[[#This Row],[Total]])</f>
        <v>14.85</v>
      </c>
      <c r="L1739" s="14">
        <f>VENTAS[[#This Row],[Total]]-VENTAS[[#This Row],[Comisión 10%]]-VENTAS[[#This Row],[Costo SIN Comision]]</f>
        <v>7.65</v>
      </c>
      <c r="M1739" s="48"/>
      <c r="N1739" s="49" t="s">
        <v>4601</v>
      </c>
    </row>
    <row r="1740" s="4" customFormat="1" ht="20" hidden="1" customHeight="1" spans="1:14">
      <c r="A1740" s="46">
        <v>45560</v>
      </c>
      <c r="B1740" s="47"/>
      <c r="C1740" s="47"/>
      <c r="D1740" s="47" t="s">
        <v>4270</v>
      </c>
      <c r="E1740" s="47" t="s">
        <v>2972</v>
      </c>
      <c r="F1740" s="11" t="str">
        <f>IFERROR(VLOOKUP(VENTAS[[#This Row],[Código del producto Vendido]],STOCK[],5,FALSE),"-")</f>
        <v>Vestido de un hombro con abertura trasera color azul celeste</v>
      </c>
      <c r="G1740" s="47">
        <v>1</v>
      </c>
      <c r="H1740" s="48">
        <v>25</v>
      </c>
      <c r="I1740" s="14">
        <f>VENTAS[[#This Row],[Cantidad]]*VENTAS[[#This Row],[Precio Venta]]</f>
        <v>25</v>
      </c>
      <c r="J1740" s="14">
        <f>IF(VENTAS[[#This Row],[Nombre del Gestor]]&gt;1,VENTAS[[#This Row],[Total]]*10%,0)</f>
        <v>2.5</v>
      </c>
      <c r="K1740" s="14">
        <f>IFERROR(VLOOKUP(VENTAS[[#This Row],[Código del producto Vendido]],STOCK[],16,FALSE)*VENTAS[[#This Row],[Cantidad]]+VLOOKUP(VENTAS[[#This Row],[Código del producto Vendido]],STOCK[],19,FALSE)*VENTAS[[#This Row],[Cantidad]],VENTAS[[#This Row],[Total]])</f>
        <v>12.32</v>
      </c>
      <c r="L1740" s="14">
        <f>VENTAS[[#This Row],[Total]]-VENTAS[[#This Row],[Comisión 10%]]-VENTAS[[#This Row],[Costo SIN Comision]]</f>
        <v>10.18</v>
      </c>
      <c r="M1740" s="48"/>
      <c r="N1740" s="49" t="s">
        <v>4602</v>
      </c>
    </row>
    <row r="1741" s="4" customFormat="1" ht="20" hidden="1" customHeight="1" spans="1:14">
      <c r="A1741" s="46">
        <v>45560</v>
      </c>
      <c r="B1741" s="47"/>
      <c r="C1741" s="47"/>
      <c r="D1741" s="47" t="s">
        <v>4241</v>
      </c>
      <c r="E1741" s="47" t="s">
        <v>2815</v>
      </c>
      <c r="F1741" s="11" t="str">
        <f>IFERROR(VLOOKUP(VENTAS[[#This Row],[Código del producto Vendido]],STOCK[],5,FALSE),"-")</f>
        <v>Bolso de ratán de Moda para vacaciones tamaño mediano con diseño de listas negras</v>
      </c>
      <c r="G1741" s="47">
        <v>1</v>
      </c>
      <c r="H1741" s="48">
        <v>22</v>
      </c>
      <c r="I1741" s="14">
        <f>VENTAS[[#This Row],[Cantidad]]*VENTAS[[#This Row],[Precio Venta]]</f>
        <v>22</v>
      </c>
      <c r="J1741" s="14">
        <f>IF(VENTAS[[#This Row],[Nombre del Gestor]]&gt;1,VENTAS[[#This Row],[Total]]*10%,0)</f>
        <v>2.2</v>
      </c>
      <c r="K1741" s="14">
        <f>IFERROR(VLOOKUP(VENTAS[[#This Row],[Código del producto Vendido]],STOCK[],16,FALSE)*VENTAS[[#This Row],[Cantidad]]+VLOOKUP(VENTAS[[#This Row],[Código del producto Vendido]],STOCK[],19,FALSE)*VENTAS[[#This Row],[Cantidad]],VENTAS[[#This Row],[Total]])</f>
        <v>12.17</v>
      </c>
      <c r="L1741" s="14">
        <f>VENTAS[[#This Row],[Total]]-VENTAS[[#This Row],[Comisión 10%]]-VENTAS[[#This Row],[Costo SIN Comision]]</f>
        <v>7.63</v>
      </c>
      <c r="M1741" s="48"/>
      <c r="N1741" s="49" t="s">
        <v>4603</v>
      </c>
    </row>
    <row r="1742" s="4" customFormat="1" ht="20" hidden="1" customHeight="1" spans="1:14">
      <c r="A1742" s="46">
        <v>45560</v>
      </c>
      <c r="B1742" s="47"/>
      <c r="C1742" s="47"/>
      <c r="D1742" s="47" t="s">
        <v>4604</v>
      </c>
      <c r="E1742" s="47" t="s">
        <v>2733</v>
      </c>
      <c r="F1742" s="11" t="str">
        <f>IFERROR(VLOOKUP(VENTAS[[#This Row],[Código del producto Vendido]],STOCK[],5,FALSE),"-")</f>
        <v>Traje de baño sexy de una sola pieza negro</v>
      </c>
      <c r="G1742" s="47">
        <v>1</v>
      </c>
      <c r="H1742" s="48">
        <v>20</v>
      </c>
      <c r="I1742" s="14">
        <f>VENTAS[[#This Row],[Cantidad]]*VENTAS[[#This Row],[Precio Venta]]</f>
        <v>20</v>
      </c>
      <c r="J1742" s="14">
        <f>IF(VENTAS[[#This Row],[Nombre del Gestor]]&gt;1,VENTAS[[#This Row],[Total]]*10%,0)</f>
        <v>2</v>
      </c>
      <c r="K1742" s="14">
        <f>IFERROR(VLOOKUP(VENTAS[[#This Row],[Código del producto Vendido]],STOCK[],16,FALSE)*VENTAS[[#This Row],[Cantidad]]+VLOOKUP(VENTAS[[#This Row],[Código del producto Vendido]],STOCK[],19,FALSE)*VENTAS[[#This Row],[Cantidad]],VENTAS[[#This Row],[Total]])</f>
        <v>11.06</v>
      </c>
      <c r="L1742" s="14">
        <f>VENTAS[[#This Row],[Total]]-VENTAS[[#This Row],[Comisión 10%]]-VENTAS[[#This Row],[Costo SIN Comision]]</f>
        <v>6.94</v>
      </c>
      <c r="M1742" s="48"/>
      <c r="N1742" s="49" t="s">
        <v>4605</v>
      </c>
    </row>
    <row r="1743" s="4" customFormat="1" ht="20" hidden="1" customHeight="1" spans="1:14">
      <c r="A1743" s="46">
        <v>45560</v>
      </c>
      <c r="B1743" s="47"/>
      <c r="C1743" s="47"/>
      <c r="D1743" s="47" t="s">
        <v>4272</v>
      </c>
      <c r="E1743" s="47" t="s">
        <v>2815</v>
      </c>
      <c r="F1743" s="11" t="str">
        <f>IFERROR(VLOOKUP(VENTAS[[#This Row],[Código del producto Vendido]],STOCK[],5,FALSE),"-")</f>
        <v>Bolso de ratán de Moda para vacaciones tamaño mediano con diseño de listas negras</v>
      </c>
      <c r="G1743" s="47">
        <v>2</v>
      </c>
      <c r="H1743" s="48">
        <v>22</v>
      </c>
      <c r="I1743" s="14">
        <f>VENTAS[[#This Row],[Cantidad]]*VENTAS[[#This Row],[Precio Venta]]</f>
        <v>44</v>
      </c>
      <c r="J1743" s="14">
        <f>IF(VENTAS[[#This Row],[Nombre del Gestor]]&gt;1,VENTAS[[#This Row],[Total]]*10%,0)</f>
        <v>4.4</v>
      </c>
      <c r="K1743" s="14">
        <f>IFERROR(VLOOKUP(VENTAS[[#This Row],[Código del producto Vendido]],STOCK[],16,FALSE)*VENTAS[[#This Row],[Cantidad]]+VLOOKUP(VENTAS[[#This Row],[Código del producto Vendido]],STOCK[],19,FALSE)*VENTAS[[#This Row],[Cantidad]],VENTAS[[#This Row],[Total]])</f>
        <v>24.34</v>
      </c>
      <c r="L1743" s="14">
        <f>VENTAS[[#This Row],[Total]]-VENTAS[[#This Row],[Comisión 10%]]-VENTAS[[#This Row],[Costo SIN Comision]]</f>
        <v>15.26</v>
      </c>
      <c r="M1743" s="48"/>
      <c r="N1743" s="49" t="s">
        <v>4606</v>
      </c>
    </row>
    <row r="1744" s="4" customFormat="1" ht="20" hidden="1" customHeight="1" spans="1:14">
      <c r="A1744" s="46">
        <v>45561</v>
      </c>
      <c r="B1744" s="47"/>
      <c r="C1744" s="47"/>
      <c r="D1744" s="47" t="s">
        <v>4266</v>
      </c>
      <c r="E1744" s="47" t="s">
        <v>1696</v>
      </c>
      <c r="F1744" s="11" t="str">
        <f>IFERROR(VLOOKUP(VENTAS[[#This Row],[Código del producto Vendido]],STOCK[],5,FALSE),"-")</f>
        <v>Jean Mom con bajo descosido</v>
      </c>
      <c r="G1744" s="47">
        <v>1</v>
      </c>
      <c r="H1744" s="48">
        <v>30</v>
      </c>
      <c r="I1744" s="14">
        <f>VENTAS[[#This Row],[Cantidad]]*VENTAS[[#This Row],[Precio Venta]]</f>
        <v>30</v>
      </c>
      <c r="J1744" s="14">
        <f>IF(VENTAS[[#This Row],[Nombre del Gestor]]&gt;1,VENTAS[[#This Row],[Total]]*10%,0)</f>
        <v>3</v>
      </c>
      <c r="K1744" s="14">
        <f>IFERROR(VLOOKUP(VENTAS[[#This Row],[Código del producto Vendido]],STOCK[],16,FALSE)*VENTAS[[#This Row],[Cantidad]]+VLOOKUP(VENTAS[[#This Row],[Código del producto Vendido]],STOCK[],19,FALSE)*VENTAS[[#This Row],[Cantidad]],VENTAS[[#This Row],[Total]])</f>
        <v>20.5</v>
      </c>
      <c r="L1744" s="14">
        <f>VENTAS[[#This Row],[Total]]-VENTAS[[#This Row],[Comisión 10%]]-VENTAS[[#This Row],[Costo SIN Comision]]</f>
        <v>6.5</v>
      </c>
      <c r="M1744" s="48"/>
      <c r="N1744" s="49" t="s">
        <v>4607</v>
      </c>
    </row>
    <row r="1745" s="4" customFormat="1" ht="20" hidden="1" customHeight="1" spans="1:14">
      <c r="A1745" s="46">
        <v>45561</v>
      </c>
      <c r="B1745" s="47"/>
      <c r="C1745" s="47"/>
      <c r="D1745" s="47" t="s">
        <v>4266</v>
      </c>
      <c r="E1745" s="47" t="s">
        <v>2436</v>
      </c>
      <c r="F1745" s="11" t="str">
        <f>IFERROR(VLOOKUP(VENTAS[[#This Row],[Código del producto Vendido]],STOCK[],5,FALSE),"-")</f>
        <v>Pantalón cigarrette ajustado elegante</v>
      </c>
      <c r="G1745" s="47">
        <v>1</v>
      </c>
      <c r="H1745" s="48">
        <v>35</v>
      </c>
      <c r="I1745" s="14">
        <f>VENTAS[[#This Row],[Cantidad]]*VENTAS[[#This Row],[Precio Venta]]</f>
        <v>35</v>
      </c>
      <c r="J1745" s="14">
        <f>IF(VENTAS[[#This Row],[Nombre del Gestor]]&gt;1,VENTAS[[#This Row],[Total]]*10%,0)</f>
        <v>3.5</v>
      </c>
      <c r="K1745" s="14">
        <f>IFERROR(VLOOKUP(VENTAS[[#This Row],[Código del producto Vendido]],STOCK[],16,FALSE)*VENTAS[[#This Row],[Cantidad]]+VLOOKUP(VENTAS[[#This Row],[Código del producto Vendido]],STOCK[],19,FALSE)*VENTAS[[#This Row],[Cantidad]],VENTAS[[#This Row],[Total]])</f>
        <v>16.1944418331375</v>
      </c>
      <c r="L1745" s="14">
        <f>VENTAS[[#This Row],[Total]]-VENTAS[[#This Row],[Comisión 10%]]-VENTAS[[#This Row],[Costo SIN Comision]]</f>
        <v>15.3055581668625</v>
      </c>
      <c r="M1745" s="48"/>
      <c r="N1745" s="49" t="s">
        <v>4608</v>
      </c>
    </row>
    <row r="1746" s="4" customFormat="1" ht="20" hidden="1" customHeight="1" spans="1:14">
      <c r="A1746" s="46">
        <v>45561</v>
      </c>
      <c r="B1746" s="47"/>
      <c r="C1746" s="47"/>
      <c r="D1746" s="47" t="s">
        <v>4376</v>
      </c>
      <c r="E1746" s="47" t="s">
        <v>1100</v>
      </c>
      <c r="F1746" s="11" t="str">
        <f>IFERROR(VLOOKUP(VENTAS[[#This Row],[Código del producto Vendido]],STOCK[],5,FALSE),"-")</f>
        <v>Sandalias crema</v>
      </c>
      <c r="G1746" s="47">
        <v>1</v>
      </c>
      <c r="H1746" s="48">
        <v>35</v>
      </c>
      <c r="I1746" s="14">
        <f>VENTAS[[#This Row],[Cantidad]]*VENTAS[[#This Row],[Precio Venta]]</f>
        <v>35</v>
      </c>
      <c r="J1746" s="14">
        <f>IF(VENTAS[[#This Row],[Nombre del Gestor]]&gt;1,VENTAS[[#This Row],[Total]]*10%,0)</f>
        <v>3.5</v>
      </c>
      <c r="K1746" s="14">
        <f>IFERROR(VLOOKUP(VENTAS[[#This Row],[Código del producto Vendido]],STOCK[],16,FALSE)*VENTAS[[#This Row],[Cantidad]]+VLOOKUP(VENTAS[[#This Row],[Código del producto Vendido]],STOCK[],19,FALSE)*VENTAS[[#This Row],[Cantidad]],VENTAS[[#This Row],[Total]])</f>
        <v>26.8529411764706</v>
      </c>
      <c r="L1746" s="14">
        <f>VENTAS[[#This Row],[Total]]-VENTAS[[#This Row],[Comisión 10%]]-VENTAS[[#This Row],[Costo SIN Comision]]</f>
        <v>4.6470588235294</v>
      </c>
      <c r="M1746" s="48"/>
      <c r="N1746" s="49" t="s">
        <v>4609</v>
      </c>
    </row>
    <row r="1747" s="4" customFormat="1" ht="20" hidden="1" customHeight="1" spans="1:14">
      <c r="A1747" s="46">
        <v>45561</v>
      </c>
      <c r="B1747" s="47"/>
      <c r="C1747" s="47"/>
      <c r="D1747" s="47" t="s">
        <v>4272</v>
      </c>
      <c r="E1747" s="47" t="s">
        <v>2774</v>
      </c>
      <c r="F1747" s="11" t="str">
        <f>IFERROR(VLOOKUP(VENTAS[[#This Row],[Código del producto Vendido]],STOCK[],5,FALSE),"-")</f>
        <v>Sandalias de plataforma de rafia natural</v>
      </c>
      <c r="G1747" s="47">
        <v>1</v>
      </c>
      <c r="H1747" s="48">
        <v>45</v>
      </c>
      <c r="I1747" s="14">
        <f>VENTAS[[#This Row],[Cantidad]]*VENTAS[[#This Row],[Precio Venta]]</f>
        <v>45</v>
      </c>
      <c r="J1747" s="14">
        <f>IF(VENTAS[[#This Row],[Nombre del Gestor]]&gt;1,VENTAS[[#This Row],[Total]]*10%,0)</f>
        <v>4.5</v>
      </c>
      <c r="K1747" s="14">
        <f>IFERROR(VLOOKUP(VENTAS[[#This Row],[Código del producto Vendido]],STOCK[],16,FALSE)*VENTAS[[#This Row],[Cantidad]]+VLOOKUP(VENTAS[[#This Row],[Código del producto Vendido]],STOCK[],19,FALSE)*VENTAS[[#This Row],[Cantidad]],VENTAS[[#This Row],[Total]])</f>
        <v>19.65</v>
      </c>
      <c r="L1747" s="14">
        <f>VENTAS[[#This Row],[Total]]-VENTAS[[#This Row],[Comisión 10%]]-VENTAS[[#This Row],[Costo SIN Comision]]</f>
        <v>20.85</v>
      </c>
      <c r="M1747" s="48"/>
      <c r="N1747" s="49" t="s">
        <v>4610</v>
      </c>
    </row>
    <row r="1748" s="4" customFormat="1" ht="20" hidden="1" customHeight="1" spans="1:14">
      <c r="A1748" s="46">
        <v>45561</v>
      </c>
      <c r="B1748" s="47"/>
      <c r="C1748" s="47"/>
      <c r="D1748" s="47" t="s">
        <v>4270</v>
      </c>
      <c r="E1748" s="47" t="s">
        <v>2972</v>
      </c>
      <c r="F1748" s="11" t="str">
        <f>IFERROR(VLOOKUP(VENTAS[[#This Row],[Código del producto Vendido]],STOCK[],5,FALSE),"-")</f>
        <v>Vestido de un hombro con abertura trasera color azul celeste</v>
      </c>
      <c r="G1748" s="47">
        <v>1</v>
      </c>
      <c r="H1748" s="48">
        <v>25</v>
      </c>
      <c r="I1748" s="14">
        <f>VENTAS[[#This Row],[Cantidad]]*VENTAS[[#This Row],[Precio Venta]]</f>
        <v>25</v>
      </c>
      <c r="J1748" s="14">
        <f>IF(VENTAS[[#This Row],[Nombre del Gestor]]&gt;1,VENTAS[[#This Row],[Total]]*10%,0)</f>
        <v>2.5</v>
      </c>
      <c r="K1748" s="14">
        <f>IFERROR(VLOOKUP(VENTAS[[#This Row],[Código del producto Vendido]],STOCK[],16,FALSE)*VENTAS[[#This Row],[Cantidad]]+VLOOKUP(VENTAS[[#This Row],[Código del producto Vendido]],STOCK[],19,FALSE)*VENTAS[[#This Row],[Cantidad]],VENTAS[[#This Row],[Total]])</f>
        <v>12.32</v>
      </c>
      <c r="L1748" s="14">
        <f>VENTAS[[#This Row],[Total]]-VENTAS[[#This Row],[Comisión 10%]]-VENTAS[[#This Row],[Costo SIN Comision]]</f>
        <v>10.18</v>
      </c>
      <c r="M1748" s="48"/>
      <c r="N1748" s="49" t="s">
        <v>4611</v>
      </c>
    </row>
    <row r="1749" s="4" customFormat="1" ht="20" hidden="1" customHeight="1" spans="1:14">
      <c r="A1749" s="46">
        <v>45562</v>
      </c>
      <c r="B1749" s="47"/>
      <c r="C1749" s="47"/>
      <c r="D1749" s="47" t="s">
        <v>4266</v>
      </c>
      <c r="E1749" s="47" t="s">
        <v>2857</v>
      </c>
      <c r="F1749" s="11" t="str">
        <f>IFERROR(VLOOKUP(VENTAS[[#This Row],[Código del producto Vendido]],STOCK[],5,FALSE),"-")</f>
        <v>Bolso cuadrado tejido de rafia Tamaño grande Color Carmelita</v>
      </c>
      <c r="G1749" s="47">
        <v>1</v>
      </c>
      <c r="H1749" s="48">
        <v>25</v>
      </c>
      <c r="I1749" s="14">
        <f>VENTAS[[#This Row],[Cantidad]]*VENTAS[[#This Row],[Precio Venta]]</f>
        <v>25</v>
      </c>
      <c r="J1749" s="14">
        <f>IF(VENTAS[[#This Row],[Nombre del Gestor]]&gt;1,VENTAS[[#This Row],[Total]]*10%,0)</f>
        <v>2.5</v>
      </c>
      <c r="K1749" s="14">
        <f>IFERROR(VLOOKUP(VENTAS[[#This Row],[Código del producto Vendido]],STOCK[],16,FALSE)*VENTAS[[#This Row],[Cantidad]]+VLOOKUP(VENTAS[[#This Row],[Código del producto Vendido]],STOCK[],19,FALSE)*VENTAS[[#This Row],[Cantidad]],VENTAS[[#This Row],[Total]])</f>
        <v>14.85</v>
      </c>
      <c r="L1749" s="14">
        <f>VENTAS[[#This Row],[Total]]-VENTAS[[#This Row],[Comisión 10%]]-VENTAS[[#This Row],[Costo SIN Comision]]</f>
        <v>7.65</v>
      </c>
      <c r="M1749" s="48"/>
      <c r="N1749" s="49" t="s">
        <v>4612</v>
      </c>
    </row>
    <row r="1750" s="4" customFormat="1" ht="20" hidden="1" customHeight="1" spans="1:14">
      <c r="A1750" s="46">
        <v>45562</v>
      </c>
      <c r="B1750" s="47"/>
      <c r="C1750" s="47"/>
      <c r="D1750" s="47" t="s">
        <v>4587</v>
      </c>
      <c r="E1750" s="47" t="s">
        <v>2867</v>
      </c>
      <c r="F1750" s="11" t="str">
        <f>IFERROR(VLOOKUP(VENTAS[[#This Row],[Código del producto Vendido]],STOCK[],5,FALSE),"-")</f>
        <v>Blusa corta de mangas abombadas de lazos delanteros color rojo</v>
      </c>
      <c r="G1750" s="47">
        <v>1</v>
      </c>
      <c r="H1750" s="48">
        <v>18</v>
      </c>
      <c r="I1750" s="14">
        <f>VENTAS[[#This Row],[Cantidad]]*VENTAS[[#This Row],[Precio Venta]]</f>
        <v>18</v>
      </c>
      <c r="J1750" s="14">
        <f>IF(VENTAS[[#This Row],[Nombre del Gestor]]&gt;1,VENTAS[[#This Row],[Total]]*10%,0)</f>
        <v>1.8</v>
      </c>
      <c r="K1750" s="14">
        <f>IFERROR(VLOOKUP(VENTAS[[#This Row],[Código del producto Vendido]],STOCK[],16,FALSE)*VENTAS[[#This Row],[Cantidad]]+VLOOKUP(VENTAS[[#This Row],[Código del producto Vendido]],STOCK[],19,FALSE)*VENTAS[[#This Row],[Cantidad]],VENTAS[[#This Row],[Total]])</f>
        <v>10.18</v>
      </c>
      <c r="L1750" s="14">
        <f>VENTAS[[#This Row],[Total]]-VENTAS[[#This Row],[Comisión 10%]]-VENTAS[[#This Row],[Costo SIN Comision]]</f>
        <v>6.02</v>
      </c>
      <c r="M1750" s="48"/>
      <c r="N1750" s="49" t="s">
        <v>4613</v>
      </c>
    </row>
    <row r="1751" s="4" customFormat="1" ht="20" hidden="1" customHeight="1" spans="1:14">
      <c r="A1751" s="46">
        <v>45562</v>
      </c>
      <c r="B1751" s="47"/>
      <c r="C1751" s="47"/>
      <c r="D1751" s="47" t="s">
        <v>4376</v>
      </c>
      <c r="E1751" s="47" t="s">
        <v>2969</v>
      </c>
      <c r="F1751" s="11" t="str">
        <f>IFERROR(VLOOKUP(VENTAS[[#This Row],[Código del producto Vendido]],STOCK[],5,FALSE),"-")</f>
        <v>Conjunto de dos prendas elegante-casual color blanco</v>
      </c>
      <c r="G1751" s="47">
        <v>1</v>
      </c>
      <c r="H1751" s="48">
        <v>20</v>
      </c>
      <c r="I1751" s="14">
        <f>VENTAS[[#This Row],[Cantidad]]*VENTAS[[#This Row],[Precio Venta]]</f>
        <v>20</v>
      </c>
      <c r="J1751" s="14">
        <f>IF(VENTAS[[#This Row],[Nombre del Gestor]]&gt;1,VENTAS[[#This Row],[Total]]*10%,0)</f>
        <v>2</v>
      </c>
      <c r="K1751" s="14">
        <f>IFERROR(VLOOKUP(VENTAS[[#This Row],[Código del producto Vendido]],STOCK[],16,FALSE)*VENTAS[[#This Row],[Cantidad]]+VLOOKUP(VENTAS[[#This Row],[Código del producto Vendido]],STOCK[],19,FALSE)*VENTAS[[#This Row],[Cantidad]],VENTAS[[#This Row],[Total]])</f>
        <v>14.57</v>
      </c>
      <c r="L1751" s="14">
        <f>VENTAS[[#This Row],[Total]]-VENTAS[[#This Row],[Comisión 10%]]-VENTAS[[#This Row],[Costo SIN Comision]]</f>
        <v>3.43</v>
      </c>
      <c r="M1751" s="48"/>
      <c r="N1751" s="49" t="s">
        <v>4614</v>
      </c>
    </row>
    <row r="1752" s="4" customFormat="1" ht="20" hidden="1" customHeight="1" spans="1:14">
      <c r="A1752" s="46">
        <v>45562</v>
      </c>
      <c r="B1752" s="47"/>
      <c r="C1752" s="47"/>
      <c r="D1752" s="47" t="s">
        <v>4241</v>
      </c>
      <c r="E1752" s="47" t="s">
        <v>2827</v>
      </c>
      <c r="F1752" s="11" t="str">
        <f>IFERROR(VLOOKUP(VENTAS[[#This Row],[Código del producto Vendido]],STOCK[],5,FALSE),"-")</f>
        <v>Bolso tejido redondo de gran capacidad Carmelita</v>
      </c>
      <c r="G1752" s="47">
        <v>1</v>
      </c>
      <c r="H1752" s="48">
        <v>25</v>
      </c>
      <c r="I1752" s="14">
        <f>VENTAS[[#This Row],[Cantidad]]*VENTAS[[#This Row],[Precio Venta]]</f>
        <v>25</v>
      </c>
      <c r="J1752" s="14">
        <f>IF(VENTAS[[#This Row],[Nombre del Gestor]]&gt;1,VENTAS[[#This Row],[Total]]*10%,0)</f>
        <v>2.5</v>
      </c>
      <c r="K1752" s="14">
        <f>IFERROR(VLOOKUP(VENTAS[[#This Row],[Código del producto Vendido]],STOCK[],16,FALSE)*VENTAS[[#This Row],[Cantidad]]+VLOOKUP(VENTAS[[#This Row],[Código del producto Vendido]],STOCK[],19,FALSE)*VENTAS[[#This Row],[Cantidad]],VENTAS[[#This Row],[Total]])</f>
        <v>13.31</v>
      </c>
      <c r="L1752" s="14">
        <f>VENTAS[[#This Row],[Total]]-VENTAS[[#This Row],[Comisión 10%]]-VENTAS[[#This Row],[Costo SIN Comision]]</f>
        <v>9.19</v>
      </c>
      <c r="M1752" s="48"/>
      <c r="N1752" s="49" t="s">
        <v>4615</v>
      </c>
    </row>
    <row r="1753" s="4" customFormat="1" ht="20" hidden="1" customHeight="1" spans="1:14">
      <c r="A1753" s="46">
        <v>45563</v>
      </c>
      <c r="B1753" s="47"/>
      <c r="C1753" s="47"/>
      <c r="D1753" s="47" t="s">
        <v>4222</v>
      </c>
      <c r="E1753" s="47" t="s">
        <v>2797</v>
      </c>
      <c r="F1753" s="11" t="str">
        <f>IFERROR(VLOOKUP(VENTAS[[#This Row],[Código del producto Vendido]],STOCK[],5,FALSE),"-")</f>
        <v>Sandalias estilo chunky de suela gruesa en contraste de color</v>
      </c>
      <c r="G1753" s="47">
        <v>1</v>
      </c>
      <c r="H1753" s="48">
        <v>35</v>
      </c>
      <c r="I1753" s="14">
        <f>VENTAS[[#This Row],[Cantidad]]*VENTAS[[#This Row],[Precio Venta]]</f>
        <v>35</v>
      </c>
      <c r="J1753" s="14">
        <f>IF(VENTAS[[#This Row],[Nombre del Gestor]]&gt;1,VENTAS[[#This Row],[Total]]*10%,0)</f>
        <v>3.5</v>
      </c>
      <c r="K1753" s="14">
        <f>IFERROR(VLOOKUP(VENTAS[[#This Row],[Código del producto Vendido]],STOCK[],16,FALSE)*VENTAS[[#This Row],[Cantidad]]+VLOOKUP(VENTAS[[#This Row],[Código del producto Vendido]],STOCK[],19,FALSE)*VENTAS[[#This Row],[Cantidad]],VENTAS[[#This Row],[Total]])</f>
        <v>19.65</v>
      </c>
      <c r="L1753" s="14">
        <f>VENTAS[[#This Row],[Total]]-VENTAS[[#This Row],[Comisión 10%]]-VENTAS[[#This Row],[Costo SIN Comision]]</f>
        <v>11.85</v>
      </c>
      <c r="M1753" s="48"/>
      <c r="N1753" s="49" t="s">
        <v>4616</v>
      </c>
    </row>
    <row r="1754" s="4" customFormat="1" ht="20" hidden="1" customHeight="1" spans="1:14">
      <c r="A1754" s="46">
        <v>45563</v>
      </c>
      <c r="B1754" s="47"/>
      <c r="C1754" s="47"/>
      <c r="D1754" s="47" t="s">
        <v>4076</v>
      </c>
      <c r="E1754" s="47" t="s">
        <v>2793</v>
      </c>
      <c r="F1754" s="11" t="str">
        <f>IFERROR(VLOOKUP(VENTAS[[#This Row],[Código del producto Vendido]],STOCK[],5,FALSE),"-")</f>
        <v>Sandalias estilo chunky de suela gruesa en contraste de color</v>
      </c>
      <c r="G1754" s="47">
        <v>1</v>
      </c>
      <c r="H1754" s="48">
        <v>35</v>
      </c>
      <c r="I1754" s="14">
        <f>VENTAS[[#This Row],[Cantidad]]*VENTAS[[#This Row],[Precio Venta]]</f>
        <v>35</v>
      </c>
      <c r="J1754" s="14">
        <f>IF(VENTAS[[#This Row],[Nombre del Gestor]]&gt;1,VENTAS[[#This Row],[Total]]*10%,0)</f>
        <v>3.5</v>
      </c>
      <c r="K1754" s="14">
        <f>IFERROR(VLOOKUP(VENTAS[[#This Row],[Código del producto Vendido]],STOCK[],16,FALSE)*VENTAS[[#This Row],[Cantidad]]+VLOOKUP(VENTAS[[#This Row],[Código del producto Vendido]],STOCK[],19,FALSE)*VENTAS[[#This Row],[Cantidad]],VENTAS[[#This Row],[Total]])</f>
        <v>13.4</v>
      </c>
      <c r="L1754" s="14">
        <f>VENTAS[[#This Row],[Total]]-VENTAS[[#This Row],[Comisión 10%]]-VENTAS[[#This Row],[Costo SIN Comision]]</f>
        <v>18.1</v>
      </c>
      <c r="M1754" s="48"/>
      <c r="N1754" s="49" t="s">
        <v>4617</v>
      </c>
    </row>
    <row r="1755" s="4" customFormat="1" ht="20" hidden="1" customHeight="1" spans="1:14">
      <c r="A1755" s="46">
        <v>45563</v>
      </c>
      <c r="B1755" s="47"/>
      <c r="C1755" s="47"/>
      <c r="D1755" s="47" t="s">
        <v>4076</v>
      </c>
      <c r="E1755" s="47" t="s">
        <v>2795</v>
      </c>
      <c r="F1755" s="11" t="str">
        <f>IFERROR(VLOOKUP(VENTAS[[#This Row],[Código del producto Vendido]],STOCK[],5,FALSE),"-")</f>
        <v>Sandalias estilo chunky de suela gruesa en contraste de color</v>
      </c>
      <c r="G1755" s="47">
        <v>1</v>
      </c>
      <c r="H1755" s="48">
        <v>35</v>
      </c>
      <c r="I1755" s="14">
        <f>VENTAS[[#This Row],[Cantidad]]*VENTAS[[#This Row],[Precio Venta]]</f>
        <v>35</v>
      </c>
      <c r="J1755" s="14">
        <f>IF(VENTAS[[#This Row],[Nombre del Gestor]]&gt;1,VENTAS[[#This Row],[Total]]*10%,0)</f>
        <v>3.5</v>
      </c>
      <c r="K1755" s="14">
        <f>IFERROR(VLOOKUP(VENTAS[[#This Row],[Código del producto Vendido]],STOCK[],16,FALSE)*VENTAS[[#This Row],[Cantidad]]+VLOOKUP(VENTAS[[#This Row],[Código del producto Vendido]],STOCK[],19,FALSE)*VENTAS[[#This Row],[Cantidad]],VENTAS[[#This Row],[Total]])</f>
        <v>11.4</v>
      </c>
      <c r="L1755" s="14">
        <f>VENTAS[[#This Row],[Total]]-VENTAS[[#This Row],[Comisión 10%]]-VENTAS[[#This Row],[Costo SIN Comision]]</f>
        <v>20.1</v>
      </c>
      <c r="M1755" s="48"/>
      <c r="N1755" s="49" t="s">
        <v>4618</v>
      </c>
    </row>
    <row r="1756" s="4" customFormat="1" ht="20" hidden="1" customHeight="1" spans="1:14">
      <c r="A1756" s="46">
        <v>45563</v>
      </c>
      <c r="B1756" s="47"/>
      <c r="C1756" s="47"/>
      <c r="D1756" s="47" t="s">
        <v>4376</v>
      </c>
      <c r="E1756" s="47" t="s">
        <v>2982</v>
      </c>
      <c r="F1756" s="11" t="str">
        <f>IFERROR(VLOOKUP(VENTAS[[#This Row],[Código del producto Vendido]],STOCK[],5,FALSE),"-")</f>
        <v>Vestido largo de algodón elegante con adorno delantero</v>
      </c>
      <c r="G1756" s="47">
        <v>1</v>
      </c>
      <c r="H1756" s="48">
        <v>35</v>
      </c>
      <c r="I1756" s="14">
        <f>VENTAS[[#This Row],[Cantidad]]*VENTAS[[#This Row],[Precio Venta]]</f>
        <v>35</v>
      </c>
      <c r="J1756" s="14">
        <f>IF(VENTAS[[#This Row],[Nombre del Gestor]]&gt;1,VENTAS[[#This Row],[Total]]*10%,0)</f>
        <v>3.5</v>
      </c>
      <c r="K1756" s="14">
        <f>IFERROR(VLOOKUP(VENTAS[[#This Row],[Código del producto Vendido]],STOCK[],16,FALSE)*VENTAS[[#This Row],[Cantidad]]+VLOOKUP(VENTAS[[#This Row],[Código del producto Vendido]],STOCK[],19,FALSE)*VENTAS[[#This Row],[Cantidad]],VENTAS[[#This Row],[Total]])</f>
        <v>12.35</v>
      </c>
      <c r="L1756" s="14">
        <f>VENTAS[[#This Row],[Total]]-VENTAS[[#This Row],[Comisión 10%]]-VENTAS[[#This Row],[Costo SIN Comision]]</f>
        <v>19.15</v>
      </c>
      <c r="M1756" s="48"/>
      <c r="N1756" s="49" t="s">
        <v>4619</v>
      </c>
    </row>
    <row r="1757" s="4" customFormat="1" ht="20" hidden="1" customHeight="1" spans="1:14">
      <c r="A1757" s="46">
        <v>45563</v>
      </c>
      <c r="B1757" s="47"/>
      <c r="C1757" s="47"/>
      <c r="D1757" s="47" t="s">
        <v>4376</v>
      </c>
      <c r="E1757" s="47" t="s">
        <v>2441</v>
      </c>
      <c r="F1757" s="11" t="str">
        <f>IFERROR(VLOOKUP(VENTAS[[#This Row],[Código del producto Vendido]],STOCK[],5,FALSE),"-")</f>
        <v>Pantalón de vestir de viscosa y lino negro</v>
      </c>
      <c r="G1757" s="47">
        <v>1</v>
      </c>
      <c r="H1757" s="48">
        <v>35</v>
      </c>
      <c r="I1757" s="14">
        <f>VENTAS[[#This Row],[Cantidad]]*VENTAS[[#This Row],[Precio Venta]]</f>
        <v>35</v>
      </c>
      <c r="J1757" s="14">
        <f>IF(VENTAS[[#This Row],[Nombre del Gestor]]&gt;1,VENTAS[[#This Row],[Total]]*10%,0)</f>
        <v>3.5</v>
      </c>
      <c r="K1757" s="14">
        <f>IFERROR(VLOOKUP(VENTAS[[#This Row],[Código del producto Vendido]],STOCK[],16,FALSE)*VENTAS[[#This Row],[Cantidad]]+VLOOKUP(VENTAS[[#This Row],[Código del producto Vendido]],STOCK[],19,FALSE)*VENTAS[[#This Row],[Cantidad]],VENTAS[[#This Row],[Total]])</f>
        <v>15.2820211515864</v>
      </c>
      <c r="L1757" s="14">
        <f>VENTAS[[#This Row],[Total]]-VENTAS[[#This Row],[Comisión 10%]]-VENTAS[[#This Row],[Costo SIN Comision]]</f>
        <v>16.2179788484136</v>
      </c>
      <c r="M1757" s="48"/>
      <c r="N1757" s="49" t="s">
        <v>4620</v>
      </c>
    </row>
    <row r="1758" s="4" customFormat="1" ht="20" hidden="1" customHeight="1" spans="1:14">
      <c r="A1758" s="46">
        <v>45563</v>
      </c>
      <c r="B1758" s="47"/>
      <c r="C1758" s="47"/>
      <c r="D1758" s="47" t="s">
        <v>4376</v>
      </c>
      <c r="E1758" s="47" t="s">
        <v>1802</v>
      </c>
      <c r="F1758" s="11" t="str">
        <f>IFERROR(VLOOKUP(VENTAS[[#This Row],[Código del producto Vendido]],STOCK[],5,FALSE),"-")</f>
        <v>Camisa blanca estampado de ave</v>
      </c>
      <c r="G1758" s="47">
        <v>1</v>
      </c>
      <c r="H1758" s="48">
        <v>25</v>
      </c>
      <c r="I1758" s="14">
        <f>VENTAS[[#This Row],[Cantidad]]*VENTAS[[#This Row],[Precio Venta]]</f>
        <v>25</v>
      </c>
      <c r="J1758" s="14">
        <f>IF(VENTAS[[#This Row],[Nombre del Gestor]]&gt;1,VENTAS[[#This Row],[Total]]*10%,0)</f>
        <v>2.5</v>
      </c>
      <c r="K1758" s="14">
        <f>IFERROR(VLOOKUP(VENTAS[[#This Row],[Código del producto Vendido]],STOCK[],16,FALSE)*VENTAS[[#This Row],[Cantidad]]+VLOOKUP(VENTAS[[#This Row],[Código del producto Vendido]],STOCK[],19,FALSE)*VENTAS[[#This Row],[Cantidad]],VENTAS[[#This Row],[Total]])</f>
        <v>12.9411764705882</v>
      </c>
      <c r="L1758" s="14">
        <f>VENTAS[[#This Row],[Total]]-VENTAS[[#This Row],[Comisión 10%]]-VENTAS[[#This Row],[Costo SIN Comision]]</f>
        <v>9.55882352941176</v>
      </c>
      <c r="M1758" s="48"/>
      <c r="N1758" s="49" t="s">
        <v>4621</v>
      </c>
    </row>
    <row r="1759" s="4" customFormat="1" ht="20" hidden="1" customHeight="1" spans="1:14">
      <c r="A1759" s="46">
        <v>45563</v>
      </c>
      <c r="B1759" s="47"/>
      <c r="C1759" s="47"/>
      <c r="D1759" s="47" t="s">
        <v>4463</v>
      </c>
      <c r="E1759" s="47" t="s">
        <v>3013</v>
      </c>
      <c r="F1759" s="11" t="str">
        <f>IFERROR(VLOOKUP(VENTAS[[#This Row],[Código del producto Vendido]],STOCK[],5,FALSE),"-")</f>
        <v>Pantalón alto de pierna ancha color caramelo</v>
      </c>
      <c r="G1759" s="47">
        <v>1</v>
      </c>
      <c r="H1759" s="48">
        <v>30</v>
      </c>
      <c r="I1759" s="14">
        <f>VENTAS[[#This Row],[Cantidad]]*VENTAS[[#This Row],[Precio Venta]]</f>
        <v>30</v>
      </c>
      <c r="J1759" s="14">
        <f>IF(VENTAS[[#This Row],[Nombre del Gestor]]&gt;1,VENTAS[[#This Row],[Total]]*10%,0)</f>
        <v>3</v>
      </c>
      <c r="K1759" s="14">
        <f>IFERROR(VLOOKUP(VENTAS[[#This Row],[Código del producto Vendido]],STOCK[],16,FALSE)*VENTAS[[#This Row],[Cantidad]]+VLOOKUP(VENTAS[[#This Row],[Código del producto Vendido]],STOCK[],19,FALSE)*VENTAS[[#This Row],[Cantidad]],VENTAS[[#This Row],[Total]])</f>
        <v>12.63</v>
      </c>
      <c r="L1759" s="14">
        <f>VENTAS[[#This Row],[Total]]-VENTAS[[#This Row],[Comisión 10%]]-VENTAS[[#This Row],[Costo SIN Comision]]</f>
        <v>14.37</v>
      </c>
      <c r="M1759" s="48"/>
      <c r="N1759" s="49" t="s">
        <v>4622</v>
      </c>
    </row>
    <row r="1760" s="4" customFormat="1" ht="20" hidden="1" customHeight="1" spans="1:14">
      <c r="A1760" s="46">
        <v>45563</v>
      </c>
      <c r="B1760" s="47"/>
      <c r="C1760" s="47"/>
      <c r="D1760" s="47" t="s">
        <v>4463</v>
      </c>
      <c r="E1760" s="47" t="s">
        <v>3014</v>
      </c>
      <c r="F1760" s="11" t="str">
        <f>IFERROR(VLOOKUP(VENTAS[[#This Row],[Código del producto Vendido]],STOCK[],5,FALSE),"-")</f>
        <v>Pantalón alto de pierna ancha color caramelo</v>
      </c>
      <c r="G1760" s="47">
        <v>1</v>
      </c>
      <c r="H1760" s="48">
        <v>30</v>
      </c>
      <c r="I1760" s="14">
        <f>VENTAS[[#This Row],[Cantidad]]*VENTAS[[#This Row],[Precio Venta]]</f>
        <v>30</v>
      </c>
      <c r="J1760" s="14">
        <f>IF(VENTAS[[#This Row],[Nombre del Gestor]]&gt;1,VENTAS[[#This Row],[Total]]*10%,0)</f>
        <v>3</v>
      </c>
      <c r="K1760" s="14">
        <f>IFERROR(VLOOKUP(VENTAS[[#This Row],[Código del producto Vendido]],STOCK[],16,FALSE)*VENTAS[[#This Row],[Cantidad]]+VLOOKUP(VENTAS[[#This Row],[Código del producto Vendido]],STOCK[],19,FALSE)*VENTAS[[#This Row],[Cantidad]],VENTAS[[#This Row],[Total]])</f>
        <v>12.63</v>
      </c>
      <c r="L1760" s="14">
        <f>VENTAS[[#This Row],[Total]]-VENTAS[[#This Row],[Comisión 10%]]-VENTAS[[#This Row],[Costo SIN Comision]]</f>
        <v>14.37</v>
      </c>
      <c r="M1760" s="48"/>
      <c r="N1760" s="49" t="s">
        <v>4623</v>
      </c>
    </row>
    <row r="1761" s="4" customFormat="1" ht="20" hidden="1" customHeight="1" spans="1:14">
      <c r="A1761" s="46">
        <v>45563</v>
      </c>
      <c r="B1761" s="47"/>
      <c r="C1761" s="47"/>
      <c r="D1761" s="47" t="s">
        <v>4420</v>
      </c>
      <c r="E1761" s="47" t="s">
        <v>1493</v>
      </c>
      <c r="F1761" s="11" t="str">
        <f>IFERROR(VLOOKUP(VENTAS[[#This Row],[Código del producto Vendido]],STOCK[],5,FALSE),"-")</f>
        <v>Blusa corta Blanca bordada Girasol</v>
      </c>
      <c r="G1761" s="47">
        <v>1</v>
      </c>
      <c r="H1761" s="48">
        <v>12</v>
      </c>
      <c r="I1761" s="14">
        <f>VENTAS[[#This Row],[Cantidad]]*VENTAS[[#This Row],[Precio Venta]]</f>
        <v>12</v>
      </c>
      <c r="J1761" s="14">
        <f>IF(VENTAS[[#This Row],[Nombre del Gestor]]&gt;1,VENTAS[[#This Row],[Total]]*10%,0)</f>
        <v>1.2</v>
      </c>
      <c r="K1761" s="14">
        <f>IFERROR(VLOOKUP(VENTAS[[#This Row],[Código del producto Vendido]],STOCK[],16,FALSE)*VENTAS[[#This Row],[Cantidad]]+VLOOKUP(VENTAS[[#This Row],[Código del producto Vendido]],STOCK[],19,FALSE)*VENTAS[[#This Row],[Cantidad]],VENTAS[[#This Row],[Total]])</f>
        <v>6.5</v>
      </c>
      <c r="L1761" s="14">
        <f>VENTAS[[#This Row],[Total]]-VENTAS[[#This Row],[Comisión 10%]]-VENTAS[[#This Row],[Costo SIN Comision]]</f>
        <v>4.3</v>
      </c>
      <c r="M1761" s="48"/>
      <c r="N1761" s="49" t="s">
        <v>4624</v>
      </c>
    </row>
    <row r="1762" s="4" customFormat="1" ht="20" hidden="1" customHeight="1" spans="1:14">
      <c r="A1762" s="46">
        <v>45563</v>
      </c>
      <c r="B1762" s="47"/>
      <c r="C1762" s="47"/>
      <c r="D1762" s="47" t="s">
        <v>4365</v>
      </c>
      <c r="E1762" s="47" t="s">
        <v>2798</v>
      </c>
      <c r="F1762" s="11" t="str">
        <f>IFERROR(VLOOKUP(VENTAS[[#This Row],[Código del producto Vendido]],STOCK[],5,FALSE),"-")</f>
        <v>Sandalias estilo chunky de suela gruesa en contraste de color</v>
      </c>
      <c r="G1762" s="47">
        <v>1</v>
      </c>
      <c r="H1762" s="48">
        <v>35</v>
      </c>
      <c r="I1762" s="14">
        <f>VENTAS[[#This Row],[Cantidad]]*VENTAS[[#This Row],[Precio Venta]]</f>
        <v>35</v>
      </c>
      <c r="J1762" s="14">
        <f>IF(VENTAS[[#This Row],[Nombre del Gestor]]&gt;1,VENTAS[[#This Row],[Total]]*10%,0)</f>
        <v>3.5</v>
      </c>
      <c r="K1762" s="14">
        <f>IFERROR(VLOOKUP(VENTAS[[#This Row],[Código del producto Vendido]],STOCK[],16,FALSE)*VENTAS[[#This Row],[Cantidad]]+VLOOKUP(VENTAS[[#This Row],[Código del producto Vendido]],STOCK[],19,FALSE)*VENTAS[[#This Row],[Cantidad]],VENTAS[[#This Row],[Total]])</f>
        <v>13.4</v>
      </c>
      <c r="L1762" s="14">
        <f>VENTAS[[#This Row],[Total]]-VENTAS[[#This Row],[Comisión 10%]]-VENTAS[[#This Row],[Costo SIN Comision]]</f>
        <v>18.1</v>
      </c>
      <c r="M1762" s="48"/>
      <c r="N1762" s="49" t="s">
        <v>4625</v>
      </c>
    </row>
    <row r="1763" s="4" customFormat="1" ht="20" hidden="1" customHeight="1" spans="1:14">
      <c r="A1763" s="46">
        <v>45563</v>
      </c>
      <c r="B1763" s="47"/>
      <c r="C1763" s="47"/>
      <c r="D1763" s="47" t="s">
        <v>4420</v>
      </c>
      <c r="E1763" s="47" t="s">
        <v>2974</v>
      </c>
      <c r="F1763" s="11" t="str">
        <f>IFERROR(VLOOKUP(VENTAS[[#This Row],[Código del producto Vendido]],STOCK[],5,FALSE),"-")</f>
        <v>Vestido de un hombro con abertura trasera color azul celeste</v>
      </c>
      <c r="G1763" s="47">
        <v>1</v>
      </c>
      <c r="H1763" s="48">
        <v>25</v>
      </c>
      <c r="I1763" s="14">
        <f>VENTAS[[#This Row],[Cantidad]]*VENTAS[[#This Row],[Precio Venta]]</f>
        <v>25</v>
      </c>
      <c r="J1763" s="14">
        <f>IF(VENTAS[[#This Row],[Nombre del Gestor]]&gt;1,VENTAS[[#This Row],[Total]]*10%,0)</f>
        <v>2.5</v>
      </c>
      <c r="K1763" s="14">
        <f>IFERROR(VLOOKUP(VENTAS[[#This Row],[Código del producto Vendido]],STOCK[],16,FALSE)*VENTAS[[#This Row],[Cantidad]]+VLOOKUP(VENTAS[[#This Row],[Código del producto Vendido]],STOCK[],19,FALSE)*VENTAS[[#This Row],[Cantidad]],VENTAS[[#This Row],[Total]])</f>
        <v>12.32</v>
      </c>
      <c r="L1763" s="14">
        <f>VENTAS[[#This Row],[Total]]-VENTAS[[#This Row],[Comisión 10%]]-VENTAS[[#This Row],[Costo SIN Comision]]</f>
        <v>10.18</v>
      </c>
      <c r="M1763" s="48"/>
      <c r="N1763" s="49" t="s">
        <v>4626</v>
      </c>
    </row>
    <row r="1764" s="4" customFormat="1" ht="20" hidden="1" customHeight="1" spans="1:14">
      <c r="A1764" s="46">
        <v>45563</v>
      </c>
      <c r="B1764" s="47"/>
      <c r="C1764" s="47"/>
      <c r="D1764" s="47" t="s">
        <v>4463</v>
      </c>
      <c r="E1764" s="47" t="s">
        <v>2576</v>
      </c>
      <c r="F1764" s="11" t="str">
        <f>IFERROR(VLOOKUP(VENTAS[[#This Row],[Código del producto Vendido]],STOCK[],5,FALSE),"-")</f>
        <v>Vestido Largo con cinturón fruncido</v>
      </c>
      <c r="G1764" s="47">
        <v>1</v>
      </c>
      <c r="H1764" s="48">
        <v>30</v>
      </c>
      <c r="I1764" s="14">
        <f>VENTAS[[#This Row],[Cantidad]]*VENTAS[[#This Row],[Precio Venta]]</f>
        <v>30</v>
      </c>
      <c r="J1764" s="14">
        <f>IF(VENTAS[[#This Row],[Nombre del Gestor]]&gt;1,VENTAS[[#This Row],[Total]]*10%,0)</f>
        <v>3</v>
      </c>
      <c r="K1764" s="14">
        <f>IFERROR(VLOOKUP(VENTAS[[#This Row],[Código del producto Vendido]],STOCK[],16,FALSE)*VENTAS[[#This Row],[Cantidad]]+VLOOKUP(VENTAS[[#This Row],[Código del producto Vendido]],STOCK[],19,FALSE)*VENTAS[[#This Row],[Cantidad]],VENTAS[[#This Row],[Total]])</f>
        <v>13.66</v>
      </c>
      <c r="L1764" s="14">
        <f>VENTAS[[#This Row],[Total]]-VENTAS[[#This Row],[Comisión 10%]]-VENTAS[[#This Row],[Costo SIN Comision]]</f>
        <v>13.34</v>
      </c>
      <c r="M1764" s="48"/>
      <c r="N1764" s="49" t="s">
        <v>4627</v>
      </c>
    </row>
    <row r="1765" s="4" customFormat="1" ht="20" hidden="1" customHeight="1" spans="1:14">
      <c r="A1765" s="46">
        <v>45563</v>
      </c>
      <c r="B1765" s="47"/>
      <c r="C1765" s="47"/>
      <c r="D1765" s="47" t="s">
        <v>4241</v>
      </c>
      <c r="E1765" s="47" t="s">
        <v>2804</v>
      </c>
      <c r="F1765" s="11" t="str">
        <f>IFERROR(VLOOKUP(VENTAS[[#This Row],[Código del producto Vendido]],STOCK[],5,FALSE),"-")</f>
        <v>Sandalias espadriles de cuña de correas transparentes</v>
      </c>
      <c r="G1765" s="47">
        <v>1</v>
      </c>
      <c r="H1765" s="48">
        <v>40</v>
      </c>
      <c r="I1765" s="14">
        <f>VENTAS[[#This Row],[Cantidad]]*VENTAS[[#This Row],[Precio Venta]]</f>
        <v>40</v>
      </c>
      <c r="J1765" s="14">
        <f>IF(VENTAS[[#This Row],[Nombre del Gestor]]&gt;1,VENTAS[[#This Row],[Total]]*10%,0)</f>
        <v>4</v>
      </c>
      <c r="K1765" s="14">
        <f>IFERROR(VLOOKUP(VENTAS[[#This Row],[Código del producto Vendido]],STOCK[],16,FALSE)*VENTAS[[#This Row],[Cantidad]]+VLOOKUP(VENTAS[[#This Row],[Código del producto Vendido]],STOCK[],19,FALSE)*VENTAS[[#This Row],[Cantidad]],VENTAS[[#This Row],[Total]])</f>
        <v>13.01</v>
      </c>
      <c r="L1765" s="14">
        <f>VENTAS[[#This Row],[Total]]-VENTAS[[#This Row],[Comisión 10%]]-VENTAS[[#This Row],[Costo SIN Comision]]</f>
        <v>22.99</v>
      </c>
      <c r="M1765" s="48"/>
      <c r="N1765" s="49" t="s">
        <v>4628</v>
      </c>
    </row>
    <row r="1766" s="4" customFormat="1" ht="20" hidden="1" customHeight="1" spans="1:14">
      <c r="A1766" s="46">
        <v>45563</v>
      </c>
      <c r="B1766" s="47"/>
      <c r="C1766" s="47"/>
      <c r="D1766" s="47" t="s">
        <v>4266</v>
      </c>
      <c r="E1766" s="47" t="s">
        <v>2974</v>
      </c>
      <c r="F1766" s="11" t="str">
        <f>IFERROR(VLOOKUP(VENTAS[[#This Row],[Código del producto Vendido]],STOCK[],5,FALSE),"-")</f>
        <v>Vestido de un hombro con abertura trasera color azul celeste</v>
      </c>
      <c r="G1766" s="47">
        <v>1</v>
      </c>
      <c r="H1766" s="48">
        <v>25</v>
      </c>
      <c r="I1766" s="14">
        <f>VENTAS[[#This Row],[Cantidad]]*VENTAS[[#This Row],[Precio Venta]]</f>
        <v>25</v>
      </c>
      <c r="J1766" s="14">
        <f>IF(VENTAS[[#This Row],[Nombre del Gestor]]&gt;1,VENTAS[[#This Row],[Total]]*10%,0)</f>
        <v>2.5</v>
      </c>
      <c r="K1766" s="14">
        <f>IFERROR(VLOOKUP(VENTAS[[#This Row],[Código del producto Vendido]],STOCK[],16,FALSE)*VENTAS[[#This Row],[Cantidad]]+VLOOKUP(VENTAS[[#This Row],[Código del producto Vendido]],STOCK[],19,FALSE)*VENTAS[[#This Row],[Cantidad]],VENTAS[[#This Row],[Total]])</f>
        <v>12.32</v>
      </c>
      <c r="L1766" s="14">
        <f>VENTAS[[#This Row],[Total]]-VENTAS[[#This Row],[Comisión 10%]]-VENTAS[[#This Row],[Costo SIN Comision]]</f>
        <v>10.18</v>
      </c>
      <c r="M1766" s="48"/>
      <c r="N1766" s="49" t="s">
        <v>4629</v>
      </c>
    </row>
    <row r="1767" s="4" customFormat="1" ht="20" hidden="1" customHeight="1" spans="1:14">
      <c r="A1767" s="46">
        <v>45563</v>
      </c>
      <c r="B1767" s="47"/>
      <c r="C1767" s="47"/>
      <c r="D1767" s="47" t="s">
        <v>4222</v>
      </c>
      <c r="E1767" s="47" t="s">
        <v>2798</v>
      </c>
      <c r="F1767" s="11" t="str">
        <f>IFERROR(VLOOKUP(VENTAS[[#This Row],[Código del producto Vendido]],STOCK[],5,FALSE),"-")</f>
        <v>Sandalias estilo chunky de suela gruesa en contraste de color</v>
      </c>
      <c r="G1767" s="47">
        <v>1</v>
      </c>
      <c r="H1767" s="48">
        <v>35</v>
      </c>
      <c r="I1767" s="14">
        <f>VENTAS[[#This Row],[Cantidad]]*VENTAS[[#This Row],[Precio Venta]]</f>
        <v>35</v>
      </c>
      <c r="J1767" s="14">
        <f>IF(VENTAS[[#This Row],[Nombre del Gestor]]&gt;1,VENTAS[[#This Row],[Total]]*10%,0)</f>
        <v>3.5</v>
      </c>
      <c r="K1767" s="14">
        <f>IFERROR(VLOOKUP(VENTAS[[#This Row],[Código del producto Vendido]],STOCK[],16,FALSE)*VENTAS[[#This Row],[Cantidad]]+VLOOKUP(VENTAS[[#This Row],[Código del producto Vendido]],STOCK[],19,FALSE)*VENTAS[[#This Row],[Cantidad]],VENTAS[[#This Row],[Total]])</f>
        <v>13.4</v>
      </c>
      <c r="L1767" s="14">
        <f>VENTAS[[#This Row],[Total]]-VENTAS[[#This Row],[Comisión 10%]]-VENTAS[[#This Row],[Costo SIN Comision]]</f>
        <v>18.1</v>
      </c>
      <c r="M1767" s="48"/>
      <c r="N1767" s="49" t="s">
        <v>4630</v>
      </c>
    </row>
    <row r="1768" s="4" customFormat="1" ht="20" hidden="1" customHeight="1" spans="1:14">
      <c r="A1768" s="46">
        <v>45563</v>
      </c>
      <c r="B1768" s="47"/>
      <c r="C1768" s="47"/>
      <c r="D1768" s="47" t="s">
        <v>4272</v>
      </c>
      <c r="E1768" s="47" t="s">
        <v>2698</v>
      </c>
      <c r="F1768" s="11" t="str">
        <f>IFERROR(VLOOKUP(VENTAS[[#This Row],[Código del producto Vendido]],STOCK[],5,FALSE),"-")</f>
        <v>Set de Splash y crema de Victoria Secret (Original) Love Spell</v>
      </c>
      <c r="G1768" s="47">
        <v>1</v>
      </c>
      <c r="H1768" s="48">
        <v>40</v>
      </c>
      <c r="I1768" s="14">
        <f>VENTAS[[#This Row],[Cantidad]]*VENTAS[[#This Row],[Precio Venta]]</f>
        <v>40</v>
      </c>
      <c r="J1768" s="14">
        <f>IF(VENTAS[[#This Row],[Nombre del Gestor]]&gt;1,VENTAS[[#This Row],[Total]]*10%,0)</f>
        <v>4</v>
      </c>
      <c r="K1768" s="14">
        <f>IFERROR(VLOOKUP(VENTAS[[#This Row],[Código del producto Vendido]],STOCK[],16,FALSE)*VENTAS[[#This Row],[Cantidad]]+VLOOKUP(VENTAS[[#This Row],[Código del producto Vendido]],STOCK[],19,FALSE)*VENTAS[[#This Row],[Cantidad]],VENTAS[[#This Row],[Total]])</f>
        <v>16.37</v>
      </c>
      <c r="L1768" s="14">
        <f>VENTAS[[#This Row],[Total]]-VENTAS[[#This Row],[Comisión 10%]]-VENTAS[[#This Row],[Costo SIN Comision]]</f>
        <v>19.63</v>
      </c>
      <c r="M1768" s="48"/>
      <c r="N1768" s="49" t="s">
        <v>4631</v>
      </c>
    </row>
    <row r="1769" s="4" customFormat="1" ht="20" hidden="1" customHeight="1" spans="1:14">
      <c r="A1769" s="46">
        <v>45563</v>
      </c>
      <c r="B1769" s="47"/>
      <c r="C1769" s="47"/>
      <c r="D1769" s="47" t="s">
        <v>4212</v>
      </c>
      <c r="E1769" s="47" t="s">
        <v>2842</v>
      </c>
      <c r="F1769" s="11" t="str">
        <f>IFERROR(VLOOKUP(VENTAS[[#This Row],[Código del producto Vendido]],STOCK[],5,FALSE),"-")</f>
        <v>Bolso de ratán unicolor con ribete negro</v>
      </c>
      <c r="G1769" s="47">
        <v>1</v>
      </c>
      <c r="H1769" s="48">
        <v>30</v>
      </c>
      <c r="I1769" s="14">
        <f>VENTAS[[#This Row],[Cantidad]]*VENTAS[[#This Row],[Precio Venta]]</f>
        <v>30</v>
      </c>
      <c r="J1769" s="14">
        <f>IF(VENTAS[[#This Row],[Nombre del Gestor]]&gt;1,VENTAS[[#This Row],[Total]]*10%,0)</f>
        <v>3</v>
      </c>
      <c r="K1769" s="14">
        <f>IFERROR(VLOOKUP(VENTAS[[#This Row],[Código del producto Vendido]],STOCK[],16,FALSE)*VENTAS[[#This Row],[Cantidad]]+VLOOKUP(VENTAS[[#This Row],[Código del producto Vendido]],STOCK[],19,FALSE)*VENTAS[[#This Row],[Cantidad]],VENTAS[[#This Row],[Total]])</f>
        <v>15.59</v>
      </c>
      <c r="L1769" s="14">
        <f>VENTAS[[#This Row],[Total]]-VENTAS[[#This Row],[Comisión 10%]]-VENTAS[[#This Row],[Costo SIN Comision]]</f>
        <v>11.41</v>
      </c>
      <c r="M1769" s="48"/>
      <c r="N1769" s="49" t="s">
        <v>4632</v>
      </c>
    </row>
    <row r="1770" s="4" customFormat="1" ht="20" hidden="1" customHeight="1" spans="1:14">
      <c r="A1770" s="46">
        <v>45563</v>
      </c>
      <c r="B1770" s="47"/>
      <c r="C1770" s="47"/>
      <c r="D1770" s="47" t="s">
        <v>4463</v>
      </c>
      <c r="E1770" s="47" t="s">
        <v>2106</v>
      </c>
      <c r="F1770" s="11" t="str">
        <f>IFERROR(VLOOKUP(VENTAS[[#This Row],[Código del producto Vendido]],STOCK[],5,FALSE),"-")</f>
        <v>Fashion TOTE bag tamaño de gran capacidad</v>
      </c>
      <c r="G1770" s="47">
        <v>1</v>
      </c>
      <c r="H1770" s="48">
        <v>18</v>
      </c>
      <c r="I1770" s="14">
        <f>VENTAS[[#This Row],[Cantidad]]*VENTAS[[#This Row],[Precio Venta]]</f>
        <v>18</v>
      </c>
      <c r="J1770" s="14">
        <f>IF(VENTAS[[#This Row],[Nombre del Gestor]]&gt;1,VENTAS[[#This Row],[Total]]*10%,0)</f>
        <v>1.8</v>
      </c>
      <c r="K1770" s="14">
        <f>IFERROR(VLOOKUP(VENTAS[[#This Row],[Código del producto Vendido]],STOCK[],16,FALSE)*VENTAS[[#This Row],[Cantidad]]+VLOOKUP(VENTAS[[#This Row],[Código del producto Vendido]],STOCK[],19,FALSE)*VENTAS[[#This Row],[Cantidad]],VENTAS[[#This Row],[Total]])</f>
        <v>7.59</v>
      </c>
      <c r="L1770" s="14">
        <f>VENTAS[[#This Row],[Total]]-VENTAS[[#This Row],[Comisión 10%]]-VENTAS[[#This Row],[Costo SIN Comision]]</f>
        <v>8.61</v>
      </c>
      <c r="M1770" s="48"/>
      <c r="N1770" s="49" t="s">
        <v>4633</v>
      </c>
    </row>
    <row r="1771" s="4" customFormat="1" ht="20" hidden="1" customHeight="1" spans="1:14">
      <c r="A1771" s="46">
        <v>45563</v>
      </c>
      <c r="B1771" s="47"/>
      <c r="C1771" s="47"/>
      <c r="D1771" s="47" t="s">
        <v>4222</v>
      </c>
      <c r="E1771" s="47" t="s">
        <v>2285</v>
      </c>
      <c r="F1771" s="11" t="str">
        <f>IFERROR(VLOOKUP(VENTAS[[#This Row],[Código del producto Vendido]],STOCK[],5,FALSE),"-")</f>
        <v>Bolso de lienzo estampado de corazón</v>
      </c>
      <c r="G1771" s="47">
        <v>0</v>
      </c>
      <c r="H1771" s="48">
        <v>12</v>
      </c>
      <c r="I1771" s="14">
        <f>VENTAS[[#This Row],[Cantidad]]*VENTAS[[#This Row],[Precio Venta]]</f>
        <v>0</v>
      </c>
      <c r="J1771" s="14">
        <f>IF(VENTAS[[#This Row],[Nombre del Gestor]]&gt;1,VENTAS[[#This Row],[Total]]*10%,0)</f>
        <v>0</v>
      </c>
      <c r="K1771" s="14">
        <f>IFERROR(VLOOKUP(VENTAS[[#This Row],[Código del producto Vendido]],STOCK[],16,FALSE)*VENTAS[[#This Row],[Cantidad]]+VLOOKUP(VENTAS[[#This Row],[Código del producto Vendido]],STOCK[],19,FALSE)*VENTAS[[#This Row],[Cantidad]],VENTAS[[#This Row],[Total]])</f>
        <v>0</v>
      </c>
      <c r="L1771" s="14">
        <f>VENTAS[[#This Row],[Total]]-VENTAS[[#This Row],[Comisión 10%]]-VENTAS[[#This Row],[Costo SIN Comision]]</f>
        <v>0</v>
      </c>
      <c r="M1771" s="48"/>
      <c r="N1771" s="49" t="s">
        <v>4634</v>
      </c>
    </row>
    <row r="1772" s="4" customFormat="1" ht="20" hidden="1" customHeight="1" spans="1:14">
      <c r="A1772" s="46">
        <v>45563</v>
      </c>
      <c r="B1772" s="47"/>
      <c r="C1772" s="47"/>
      <c r="D1772" s="47" t="s">
        <v>4272</v>
      </c>
      <c r="E1772" s="47" t="s">
        <v>2813</v>
      </c>
      <c r="F1772" s="11" t="str">
        <f>IFERROR(VLOOKUP(VENTAS[[#This Row],[Código del producto Vendido]],STOCK[],5,FALSE),"-")</f>
        <v>Bolso elegante de estilo sillín</v>
      </c>
      <c r="G1772" s="47">
        <v>1</v>
      </c>
      <c r="H1772" s="48">
        <v>22</v>
      </c>
      <c r="I1772" s="14">
        <f>VENTAS[[#This Row],[Cantidad]]*VENTAS[[#This Row],[Precio Venta]]</f>
        <v>22</v>
      </c>
      <c r="J1772" s="14">
        <f>IF(VENTAS[[#This Row],[Nombre del Gestor]]&gt;1,VENTAS[[#This Row],[Total]]*10%,0)</f>
        <v>2.2</v>
      </c>
      <c r="K1772" s="14">
        <f>IFERROR(VLOOKUP(VENTAS[[#This Row],[Código del producto Vendido]],STOCK[],16,FALSE)*VENTAS[[#This Row],[Cantidad]]+VLOOKUP(VENTAS[[#This Row],[Código del producto Vendido]],STOCK[],19,FALSE)*VENTAS[[#This Row],[Cantidad]],VENTAS[[#This Row],[Total]])</f>
        <v>10.28</v>
      </c>
      <c r="L1772" s="14">
        <f>VENTAS[[#This Row],[Total]]-VENTAS[[#This Row],[Comisión 10%]]-VENTAS[[#This Row],[Costo SIN Comision]]</f>
        <v>9.52</v>
      </c>
      <c r="M1772" s="48"/>
      <c r="N1772" s="49" t="s">
        <v>4635</v>
      </c>
    </row>
    <row r="1773" s="4" customFormat="1" ht="20" hidden="1" customHeight="1" spans="1:14">
      <c r="A1773" s="46">
        <v>45563</v>
      </c>
      <c r="B1773" s="47"/>
      <c r="C1773" s="47"/>
      <c r="D1773" s="47" t="s">
        <v>4463</v>
      </c>
      <c r="E1773" s="47" t="s">
        <v>198</v>
      </c>
      <c r="F1773" s="11" t="str">
        <f>IFERROR(VLOOKUP(VENTAS[[#This Row],[Código del producto Vendido]],STOCK[],5,FALSE),"-")</f>
        <v>Falda de trabajo entallada</v>
      </c>
      <c r="G1773" s="47">
        <v>1</v>
      </c>
      <c r="H1773" s="48">
        <v>12</v>
      </c>
      <c r="I1773" s="14">
        <f>VENTAS[[#This Row],[Cantidad]]*VENTAS[[#This Row],[Precio Venta]]</f>
        <v>12</v>
      </c>
      <c r="J1773" s="14">
        <f>IF(VENTAS[[#This Row],[Nombre del Gestor]]&gt;1,VENTAS[[#This Row],[Total]]*10%,0)</f>
        <v>1.2</v>
      </c>
      <c r="K1773" s="14">
        <f>IFERROR(VLOOKUP(VENTAS[[#This Row],[Código del producto Vendido]],STOCK[],16,FALSE)*VENTAS[[#This Row],[Cantidad]]+VLOOKUP(VENTAS[[#This Row],[Código del producto Vendido]],STOCK[],19,FALSE)*VENTAS[[#This Row],[Cantidad]],VENTAS[[#This Row],[Total]])</f>
        <v>7.27333333333333</v>
      </c>
      <c r="L1773" s="14">
        <f>VENTAS[[#This Row],[Total]]-VENTAS[[#This Row],[Comisión 10%]]-VENTAS[[#This Row],[Costo SIN Comision]]</f>
        <v>3.52666666666667</v>
      </c>
      <c r="M1773" s="48"/>
      <c r="N1773" s="49" t="s">
        <v>4636</v>
      </c>
    </row>
    <row r="1774" s="4" customFormat="1" ht="20" hidden="1" customHeight="1" spans="1:14">
      <c r="A1774" s="46">
        <v>45564</v>
      </c>
      <c r="B1774" s="47"/>
      <c r="C1774" s="47"/>
      <c r="D1774" s="47" t="s">
        <v>4581</v>
      </c>
      <c r="E1774" s="47" t="s">
        <v>2795</v>
      </c>
      <c r="F1774" s="11" t="str">
        <f>IFERROR(VLOOKUP(VENTAS[[#This Row],[Código del producto Vendido]],STOCK[],5,FALSE),"-")</f>
        <v>Sandalias estilo chunky de suela gruesa en contraste de color</v>
      </c>
      <c r="G1774" s="47">
        <v>1</v>
      </c>
      <c r="H1774" s="48">
        <v>35</v>
      </c>
      <c r="I1774" s="14">
        <f>VENTAS[[#This Row],[Cantidad]]*VENTAS[[#This Row],[Precio Venta]]</f>
        <v>35</v>
      </c>
      <c r="J1774" s="14">
        <f>IF(VENTAS[[#This Row],[Nombre del Gestor]]&gt;1,VENTAS[[#This Row],[Total]]*10%,0)</f>
        <v>3.5</v>
      </c>
      <c r="K1774" s="14">
        <f>IFERROR(VLOOKUP(VENTAS[[#This Row],[Código del producto Vendido]],STOCK[],16,FALSE)*VENTAS[[#This Row],[Cantidad]]+VLOOKUP(VENTAS[[#This Row],[Código del producto Vendido]],STOCK[],19,FALSE)*VENTAS[[#This Row],[Cantidad]],VENTAS[[#This Row],[Total]])</f>
        <v>11.4</v>
      </c>
      <c r="L1774" s="14">
        <f>VENTAS[[#This Row],[Total]]-VENTAS[[#This Row],[Comisión 10%]]-VENTAS[[#This Row],[Costo SIN Comision]]</f>
        <v>20.1</v>
      </c>
      <c r="M1774" s="48"/>
      <c r="N1774" s="49" t="s">
        <v>4637</v>
      </c>
    </row>
    <row r="1775" s="4" customFormat="1" ht="20" hidden="1" customHeight="1" spans="1:14">
      <c r="A1775" s="46">
        <v>45564</v>
      </c>
      <c r="B1775" s="47"/>
      <c r="C1775" s="47"/>
      <c r="D1775" s="47" t="s">
        <v>4241</v>
      </c>
      <c r="E1775" s="47" t="s">
        <v>2820</v>
      </c>
      <c r="F1775" s="11" t="str">
        <f>IFERROR(VLOOKUP(VENTAS[[#This Row],[Código del producto Vendido]],STOCK[],5,FALSE),"-")</f>
        <v>Bolso de diario ligero y casual de gran capacidad elegante de cocodrilo</v>
      </c>
      <c r="G1775" s="47">
        <v>1</v>
      </c>
      <c r="H1775" s="48">
        <v>25</v>
      </c>
      <c r="I1775" s="14">
        <f>VENTAS[[#This Row],[Cantidad]]*VENTAS[[#This Row],[Precio Venta]]</f>
        <v>25</v>
      </c>
      <c r="J1775" s="14">
        <f>IF(VENTAS[[#This Row],[Nombre del Gestor]]&gt;1,VENTAS[[#This Row],[Total]]*10%,0)</f>
        <v>2.5</v>
      </c>
      <c r="K1775" s="14">
        <f>IFERROR(VLOOKUP(VENTAS[[#This Row],[Código del producto Vendido]],STOCK[],16,FALSE)*VENTAS[[#This Row],[Cantidad]]+VLOOKUP(VENTAS[[#This Row],[Código del producto Vendido]],STOCK[],19,FALSE)*VENTAS[[#This Row],[Cantidad]],VENTAS[[#This Row],[Total]])</f>
        <v>10.14</v>
      </c>
      <c r="L1775" s="14">
        <f>VENTAS[[#This Row],[Total]]-VENTAS[[#This Row],[Comisión 10%]]-VENTAS[[#This Row],[Costo SIN Comision]]</f>
        <v>12.36</v>
      </c>
      <c r="M1775" s="48"/>
      <c r="N1775" s="49" t="s">
        <v>4638</v>
      </c>
    </row>
    <row r="1776" s="4" customFormat="1" ht="20" hidden="1" customHeight="1" spans="1:14">
      <c r="A1776" s="46">
        <v>45564</v>
      </c>
      <c r="B1776" s="47"/>
      <c r="C1776" s="47"/>
      <c r="D1776" s="47" t="s">
        <v>4266</v>
      </c>
      <c r="E1776" s="47" t="s">
        <v>2833</v>
      </c>
      <c r="F1776" s="11" t="str">
        <f>IFERROR(VLOOKUP(VENTAS[[#This Row],[Código del producto Vendido]],STOCK[],5,FALSE),"-")</f>
        <v>Vestido elegante de crochet de de cuello profundo y espalda cruzada</v>
      </c>
      <c r="G1776" s="47">
        <v>1</v>
      </c>
      <c r="H1776" s="48">
        <v>30</v>
      </c>
      <c r="I1776" s="14">
        <f>VENTAS[[#This Row],[Cantidad]]*VENTAS[[#This Row],[Precio Venta]]</f>
        <v>30</v>
      </c>
      <c r="J1776" s="14">
        <f>IF(VENTAS[[#This Row],[Nombre del Gestor]]&gt;1,VENTAS[[#This Row],[Total]]*10%,0)</f>
        <v>3</v>
      </c>
      <c r="K1776" s="14">
        <f>IFERROR(VLOOKUP(VENTAS[[#This Row],[Código del producto Vendido]],STOCK[],16,FALSE)*VENTAS[[#This Row],[Cantidad]]+VLOOKUP(VENTAS[[#This Row],[Código del producto Vendido]],STOCK[],19,FALSE)*VENTAS[[#This Row],[Cantidad]],VENTAS[[#This Row],[Total]])</f>
        <v>13.5</v>
      </c>
      <c r="L1776" s="14">
        <f>VENTAS[[#This Row],[Total]]-VENTAS[[#This Row],[Comisión 10%]]-VENTAS[[#This Row],[Costo SIN Comision]]</f>
        <v>13.5</v>
      </c>
      <c r="M1776" s="48"/>
      <c r="N1776" s="49" t="s">
        <v>4639</v>
      </c>
    </row>
    <row r="1777" s="4" customFormat="1" ht="20" hidden="1" customHeight="1" spans="1:14">
      <c r="A1777" s="46">
        <v>45564</v>
      </c>
      <c r="B1777" s="47"/>
      <c r="C1777" s="47"/>
      <c r="D1777" s="47" t="s">
        <v>4266</v>
      </c>
      <c r="E1777" s="47" t="s">
        <v>2836</v>
      </c>
      <c r="F1777" s="11" t="str">
        <f>IFERROR(VLOOKUP(VENTAS[[#This Row],[Código del producto Vendido]],STOCK[],5,FALSE),"-")</f>
        <v>Vestido elegante de crochet de de cuello profundo y espalda cruzada</v>
      </c>
      <c r="G1777" s="47">
        <v>1</v>
      </c>
      <c r="H1777" s="48">
        <v>30</v>
      </c>
      <c r="I1777" s="14">
        <f>VENTAS[[#This Row],[Cantidad]]*VENTAS[[#This Row],[Precio Venta]]</f>
        <v>30</v>
      </c>
      <c r="J1777" s="14">
        <f>IF(VENTAS[[#This Row],[Nombre del Gestor]]&gt;1,VENTAS[[#This Row],[Total]]*10%,0)</f>
        <v>3</v>
      </c>
      <c r="K1777" s="14">
        <f>IFERROR(VLOOKUP(VENTAS[[#This Row],[Código del producto Vendido]],STOCK[],16,FALSE)*VENTAS[[#This Row],[Cantidad]]+VLOOKUP(VENTAS[[#This Row],[Código del producto Vendido]],STOCK[],19,FALSE)*VENTAS[[#This Row],[Cantidad]],VENTAS[[#This Row],[Total]])</f>
        <v>13.5</v>
      </c>
      <c r="L1777" s="14">
        <f>VENTAS[[#This Row],[Total]]-VENTAS[[#This Row],[Comisión 10%]]-VENTAS[[#This Row],[Costo SIN Comision]]</f>
        <v>13.5</v>
      </c>
      <c r="M1777" s="48"/>
      <c r="N1777" s="49" t="s">
        <v>4640</v>
      </c>
    </row>
    <row r="1778" s="4" customFormat="1" ht="20" hidden="1" customHeight="1" spans="1:14">
      <c r="A1778" s="46">
        <v>45564</v>
      </c>
      <c r="B1778" s="47"/>
      <c r="C1778" s="47"/>
      <c r="D1778" s="47" t="s">
        <v>4212</v>
      </c>
      <c r="E1778" s="47" t="s">
        <v>2786</v>
      </c>
      <c r="F1778" s="11" t="str">
        <f>IFERROR(VLOOKUP(VENTAS[[#This Row],[Código del producto Vendido]],STOCK[],5,FALSE),"-")</f>
        <v>Sandalias doradas de tiras anchas para toda ocasión</v>
      </c>
      <c r="G1778" s="47">
        <v>1</v>
      </c>
      <c r="H1778" s="48">
        <v>20</v>
      </c>
      <c r="I1778" s="14">
        <f>VENTAS[[#This Row],[Cantidad]]*VENTAS[[#This Row],[Precio Venta]]</f>
        <v>20</v>
      </c>
      <c r="J1778" s="14">
        <f>IF(VENTAS[[#This Row],[Nombre del Gestor]]&gt;1,VENTAS[[#This Row],[Total]]*10%,0)</f>
        <v>2</v>
      </c>
      <c r="K1778" s="14">
        <f>IFERROR(VLOOKUP(VENTAS[[#This Row],[Código del producto Vendido]],STOCK[],16,FALSE)*VENTAS[[#This Row],[Cantidad]]+VLOOKUP(VENTAS[[#This Row],[Código del producto Vendido]],STOCK[],19,FALSE)*VENTAS[[#This Row],[Cantidad]],VENTAS[[#This Row],[Total]])</f>
        <v>6.65</v>
      </c>
      <c r="L1778" s="14">
        <f>VENTAS[[#This Row],[Total]]-VENTAS[[#This Row],[Comisión 10%]]-VENTAS[[#This Row],[Costo SIN Comision]]</f>
        <v>11.35</v>
      </c>
      <c r="M1778" s="48"/>
      <c r="N1778" s="49" t="s">
        <v>4641</v>
      </c>
    </row>
    <row r="1779" s="4" customFormat="1" ht="20" hidden="1" customHeight="1" spans="1:14">
      <c r="A1779" s="46">
        <v>45565</v>
      </c>
      <c r="B1779" s="47"/>
      <c r="C1779" s="47"/>
      <c r="D1779" s="47" t="s">
        <v>4642</v>
      </c>
      <c r="E1779" s="47" t="s">
        <v>2815</v>
      </c>
      <c r="F1779" s="11" t="str">
        <f>IFERROR(VLOOKUP(VENTAS[[#This Row],[Código del producto Vendido]],STOCK[],5,FALSE),"-")</f>
        <v>Bolso de ratán de Moda para vacaciones tamaño mediano con diseño de listas negras</v>
      </c>
      <c r="G1779" s="47">
        <v>1</v>
      </c>
      <c r="H1779" s="48">
        <v>22</v>
      </c>
      <c r="I1779" s="14">
        <f>VENTAS[[#This Row],[Cantidad]]*VENTAS[[#This Row],[Precio Venta]]</f>
        <v>22</v>
      </c>
      <c r="J1779" s="14">
        <f>IF(VENTAS[[#This Row],[Nombre del Gestor]]&gt;1,VENTAS[[#This Row],[Total]]*10%,0)</f>
        <v>2.2</v>
      </c>
      <c r="K1779" s="14">
        <f>IFERROR(VLOOKUP(VENTAS[[#This Row],[Código del producto Vendido]],STOCK[],16,FALSE)*VENTAS[[#This Row],[Cantidad]]+VLOOKUP(VENTAS[[#This Row],[Código del producto Vendido]],STOCK[],19,FALSE)*VENTAS[[#This Row],[Cantidad]],VENTAS[[#This Row],[Total]])</f>
        <v>12.17</v>
      </c>
      <c r="L1779" s="14">
        <f>VENTAS[[#This Row],[Total]]-VENTAS[[#This Row],[Comisión 10%]]-VENTAS[[#This Row],[Costo SIN Comision]]</f>
        <v>7.63</v>
      </c>
      <c r="M1779" s="48"/>
      <c r="N1779" s="49" t="s">
        <v>4643</v>
      </c>
    </row>
    <row r="1780" s="4" customFormat="1" ht="20" hidden="1" customHeight="1" spans="1:14">
      <c r="A1780" s="46">
        <v>45567</v>
      </c>
      <c r="B1780" s="47"/>
      <c r="C1780" s="47"/>
      <c r="D1780" s="47" t="s">
        <v>4365</v>
      </c>
      <c r="E1780" s="47" t="s">
        <v>2961</v>
      </c>
      <c r="F1780" s="11" t="str">
        <f>IFERROR(VLOOKUP(VENTAS[[#This Row],[Código del producto Vendido]],STOCK[],5,FALSE),"-")</f>
        <v>Vestido largo Sexy y elegante de espalda corrida en degradado de color</v>
      </c>
      <c r="G1780" s="47">
        <v>1</v>
      </c>
      <c r="H1780" s="48">
        <v>25</v>
      </c>
      <c r="I1780" s="14">
        <f>VENTAS[[#This Row],[Cantidad]]*VENTAS[[#This Row],[Precio Venta]]</f>
        <v>25</v>
      </c>
      <c r="J1780" s="14">
        <f>IF(VENTAS[[#This Row],[Nombre del Gestor]]&gt;1,VENTAS[[#This Row],[Total]]*10%,0)</f>
        <v>2.5</v>
      </c>
      <c r="K1780" s="14">
        <f>IFERROR(VLOOKUP(VENTAS[[#This Row],[Código del producto Vendido]],STOCK[],16,FALSE)*VENTAS[[#This Row],[Cantidad]]+VLOOKUP(VENTAS[[#This Row],[Código del producto Vendido]],STOCK[],19,FALSE)*VENTAS[[#This Row],[Cantidad]],VENTAS[[#This Row],[Total]])</f>
        <v>13.63</v>
      </c>
      <c r="L1780" s="14">
        <f>VENTAS[[#This Row],[Total]]-VENTAS[[#This Row],[Comisión 10%]]-VENTAS[[#This Row],[Costo SIN Comision]]</f>
        <v>8.87</v>
      </c>
      <c r="M1780" s="48"/>
      <c r="N1780" s="49" t="s">
        <v>4644</v>
      </c>
    </row>
    <row r="1781" s="4" customFormat="1" ht="20" hidden="1" customHeight="1" spans="1:14">
      <c r="A1781" s="46">
        <v>45567</v>
      </c>
      <c r="B1781" s="47"/>
      <c r="C1781" s="47"/>
      <c r="D1781" s="47" t="s">
        <v>4266</v>
      </c>
      <c r="E1781" s="47" t="s">
        <v>2823</v>
      </c>
      <c r="F1781" s="11" t="str">
        <f>IFERROR(VLOOKUP(VENTAS[[#This Row],[Código del producto Vendido]],STOCK[],5,FALSE),"-")</f>
        <v>Bolso de playa en bloque de color tejido en algodón</v>
      </c>
      <c r="G1781" s="47">
        <v>1</v>
      </c>
      <c r="H1781" s="48">
        <v>25</v>
      </c>
      <c r="I1781" s="14">
        <f>VENTAS[[#This Row],[Cantidad]]*VENTAS[[#This Row],[Precio Venta]]</f>
        <v>25</v>
      </c>
      <c r="J1781" s="14">
        <f>IF(VENTAS[[#This Row],[Nombre del Gestor]]&gt;1,VENTAS[[#This Row],[Total]]*10%,0)</f>
        <v>2.5</v>
      </c>
      <c r="K1781" s="14">
        <f>IFERROR(VLOOKUP(VENTAS[[#This Row],[Código del producto Vendido]],STOCK[],16,FALSE)*VENTAS[[#This Row],[Cantidad]]+VLOOKUP(VENTAS[[#This Row],[Código del producto Vendido]],STOCK[],19,FALSE)*VENTAS[[#This Row],[Cantidad]],VENTAS[[#This Row],[Total]])</f>
        <v>13.35</v>
      </c>
      <c r="L1781" s="14">
        <f>VENTAS[[#This Row],[Total]]-VENTAS[[#This Row],[Comisión 10%]]-VENTAS[[#This Row],[Costo SIN Comision]]</f>
        <v>9.15</v>
      </c>
      <c r="M1781" s="48"/>
      <c r="N1781" s="49" t="s">
        <v>4645</v>
      </c>
    </row>
    <row r="1782" s="4" customFormat="1" ht="20" hidden="1" customHeight="1" spans="1:14">
      <c r="A1782" s="46">
        <v>45567</v>
      </c>
      <c r="B1782" s="47"/>
      <c r="C1782" s="47"/>
      <c r="D1782" s="47" t="s">
        <v>4365</v>
      </c>
      <c r="E1782" s="47" t="s">
        <v>2989</v>
      </c>
      <c r="F1782" s="11" t="str">
        <f>IFERROR(VLOOKUP(VENTAS[[#This Row],[Código del producto Vendido]],STOCK[],5,FALSE),"-")</f>
        <v>Traje de baño casual con ajustes laterales</v>
      </c>
      <c r="G1782" s="47">
        <v>1</v>
      </c>
      <c r="H1782" s="48">
        <v>20</v>
      </c>
      <c r="I1782" s="14">
        <f>VENTAS[[#This Row],[Cantidad]]*VENTAS[[#This Row],[Precio Venta]]</f>
        <v>20</v>
      </c>
      <c r="J1782" s="14">
        <f>IF(VENTAS[[#This Row],[Nombre del Gestor]]&gt;1,VENTAS[[#This Row],[Total]]*10%,0)</f>
        <v>2</v>
      </c>
      <c r="K1782" s="14">
        <f>IFERROR(VLOOKUP(VENTAS[[#This Row],[Código del producto Vendido]],STOCK[],16,FALSE)*VENTAS[[#This Row],[Cantidad]]+VLOOKUP(VENTAS[[#This Row],[Código del producto Vendido]],STOCK[],19,FALSE)*VENTAS[[#This Row],[Cantidad]],VENTAS[[#This Row],[Total]])</f>
        <v>10.62</v>
      </c>
      <c r="L1782" s="14">
        <f>VENTAS[[#This Row],[Total]]-VENTAS[[#This Row],[Comisión 10%]]-VENTAS[[#This Row],[Costo SIN Comision]]</f>
        <v>7.38</v>
      </c>
      <c r="M1782" s="48"/>
      <c r="N1782" s="49" t="s">
        <v>4646</v>
      </c>
    </row>
    <row r="1783" s="4" customFormat="1" ht="20" hidden="1" customHeight="1" spans="1:14">
      <c r="A1783" s="46">
        <v>45567</v>
      </c>
      <c r="B1783" s="47"/>
      <c r="C1783" s="47"/>
      <c r="D1783" s="47" t="s">
        <v>4241</v>
      </c>
      <c r="E1783" s="47" t="s">
        <v>2559</v>
      </c>
      <c r="F1783" s="11" t="str">
        <f>IFERROR(VLOOKUP(VENTAS[[#This Row],[Código del producto Vendido]],STOCK[],5,FALSE),"-")</f>
        <v>Maxi vestido de algodón cruzado con estampado floral vibrante</v>
      </c>
      <c r="G1783" s="47">
        <v>1</v>
      </c>
      <c r="H1783" s="48">
        <v>35</v>
      </c>
      <c r="I1783" s="14">
        <f>VENTAS[[#This Row],[Cantidad]]*VENTAS[[#This Row],[Precio Venta]]</f>
        <v>35</v>
      </c>
      <c r="J1783" s="14">
        <f>IF(VENTAS[[#This Row],[Nombre del Gestor]]&gt;1,VENTAS[[#This Row],[Total]]*10%,0)</f>
        <v>3.5</v>
      </c>
      <c r="K1783" s="14">
        <f>IFERROR(VLOOKUP(VENTAS[[#This Row],[Código del producto Vendido]],STOCK[],16,FALSE)*VENTAS[[#This Row],[Cantidad]]+VLOOKUP(VENTAS[[#This Row],[Código del producto Vendido]],STOCK[],19,FALSE)*VENTAS[[#This Row],[Cantidad]],VENTAS[[#This Row],[Total]])</f>
        <v>18.26</v>
      </c>
      <c r="L1783" s="14">
        <f>VENTAS[[#This Row],[Total]]-VENTAS[[#This Row],[Comisión 10%]]-VENTAS[[#This Row],[Costo SIN Comision]]</f>
        <v>13.24</v>
      </c>
      <c r="M1783" s="48"/>
      <c r="N1783" s="49" t="s">
        <v>4647</v>
      </c>
    </row>
    <row r="1784" s="4" customFormat="1" ht="20" hidden="1" customHeight="1" spans="1:14">
      <c r="A1784" s="46">
        <v>45567</v>
      </c>
      <c r="B1784" s="47"/>
      <c r="C1784" s="47"/>
      <c r="D1784" s="47" t="s">
        <v>4241</v>
      </c>
      <c r="E1784" s="47" t="s">
        <v>2878</v>
      </c>
      <c r="F1784" s="11" t="str">
        <f>IFERROR(VLOOKUP(VENTAS[[#This Row],[Código del producto Vendido]],STOCK[],5,FALSE),"-")</f>
        <v>Mono Sailor con botón delantero y cinturón naranja quemada</v>
      </c>
      <c r="G1784" s="47">
        <v>1</v>
      </c>
      <c r="H1784" s="48">
        <v>35</v>
      </c>
      <c r="I1784" s="14">
        <f>VENTAS[[#This Row],[Cantidad]]*VENTAS[[#This Row],[Precio Venta]]</f>
        <v>35</v>
      </c>
      <c r="J1784" s="14">
        <f>IF(VENTAS[[#This Row],[Nombre del Gestor]]&gt;1,VENTAS[[#This Row],[Total]]*10%,0)</f>
        <v>3.5</v>
      </c>
      <c r="K1784" s="14">
        <f>IFERROR(VLOOKUP(VENTAS[[#This Row],[Código del producto Vendido]],STOCK[],16,FALSE)*VENTAS[[#This Row],[Cantidad]]+VLOOKUP(VENTAS[[#This Row],[Código del producto Vendido]],STOCK[],19,FALSE)*VENTAS[[#This Row],[Cantidad]],VENTAS[[#This Row],[Total]])</f>
        <v>11.57</v>
      </c>
      <c r="L1784" s="14">
        <f>VENTAS[[#This Row],[Total]]-VENTAS[[#This Row],[Comisión 10%]]-VENTAS[[#This Row],[Costo SIN Comision]]</f>
        <v>19.93</v>
      </c>
      <c r="M1784" s="48"/>
      <c r="N1784" s="49" t="s">
        <v>4648</v>
      </c>
    </row>
    <row r="1785" s="4" customFormat="1" ht="20" hidden="1" customHeight="1" spans="1:14">
      <c r="A1785" s="46">
        <v>45567</v>
      </c>
      <c r="B1785" s="47"/>
      <c r="C1785" s="47"/>
      <c r="D1785" s="47" t="s">
        <v>4649</v>
      </c>
      <c r="E1785" s="47" t="s">
        <v>2823</v>
      </c>
      <c r="F1785" s="11" t="str">
        <f>IFERROR(VLOOKUP(VENTAS[[#This Row],[Código del producto Vendido]],STOCK[],5,FALSE),"-")</f>
        <v>Bolso de playa en bloque de color tejido en algodón</v>
      </c>
      <c r="G1785" s="47">
        <v>1</v>
      </c>
      <c r="H1785" s="48">
        <v>25</v>
      </c>
      <c r="I1785" s="14">
        <f>VENTAS[[#This Row],[Cantidad]]*VENTAS[[#This Row],[Precio Venta]]</f>
        <v>25</v>
      </c>
      <c r="J1785" s="14">
        <f>IF(VENTAS[[#This Row],[Nombre del Gestor]]&gt;1,VENTAS[[#This Row],[Total]]*10%,0)</f>
        <v>2.5</v>
      </c>
      <c r="K1785" s="14">
        <f>IFERROR(VLOOKUP(VENTAS[[#This Row],[Código del producto Vendido]],STOCK[],16,FALSE)*VENTAS[[#This Row],[Cantidad]]+VLOOKUP(VENTAS[[#This Row],[Código del producto Vendido]],STOCK[],19,FALSE)*VENTAS[[#This Row],[Cantidad]],VENTAS[[#This Row],[Total]])</f>
        <v>13.35</v>
      </c>
      <c r="L1785" s="14">
        <f>VENTAS[[#This Row],[Total]]-VENTAS[[#This Row],[Comisión 10%]]-VENTAS[[#This Row],[Costo SIN Comision]]</f>
        <v>9.15</v>
      </c>
      <c r="M1785" s="48"/>
      <c r="N1785" s="49" t="s">
        <v>4650</v>
      </c>
    </row>
    <row r="1786" s="4" customFormat="1" ht="20" hidden="1" customHeight="1" spans="1:14">
      <c r="A1786" s="46">
        <v>45567</v>
      </c>
      <c r="B1786" s="47"/>
      <c r="C1786" s="47"/>
      <c r="D1786" s="47" t="s">
        <v>4266</v>
      </c>
      <c r="E1786" s="47" t="s">
        <v>2823</v>
      </c>
      <c r="F1786" s="11" t="str">
        <f>IFERROR(VLOOKUP(VENTAS[[#This Row],[Código del producto Vendido]],STOCK[],5,FALSE),"-")</f>
        <v>Bolso de playa en bloque de color tejido en algodón</v>
      </c>
      <c r="G1786" s="47">
        <v>1</v>
      </c>
      <c r="H1786" s="48">
        <v>25</v>
      </c>
      <c r="I1786" s="14">
        <f>VENTAS[[#This Row],[Cantidad]]*VENTAS[[#This Row],[Precio Venta]]</f>
        <v>25</v>
      </c>
      <c r="J1786" s="14">
        <f>IF(VENTAS[[#This Row],[Nombre del Gestor]]&gt;1,VENTAS[[#This Row],[Total]]*10%,0)</f>
        <v>2.5</v>
      </c>
      <c r="K1786" s="14">
        <f>IFERROR(VLOOKUP(VENTAS[[#This Row],[Código del producto Vendido]],STOCK[],16,FALSE)*VENTAS[[#This Row],[Cantidad]]+VLOOKUP(VENTAS[[#This Row],[Código del producto Vendido]],STOCK[],19,FALSE)*VENTAS[[#This Row],[Cantidad]],VENTAS[[#This Row],[Total]])</f>
        <v>13.35</v>
      </c>
      <c r="L1786" s="14">
        <f>VENTAS[[#This Row],[Total]]-VENTAS[[#This Row],[Comisión 10%]]-VENTAS[[#This Row],[Costo SIN Comision]]</f>
        <v>9.15</v>
      </c>
      <c r="M1786" s="48"/>
      <c r="N1786" s="49" t="s">
        <v>4651</v>
      </c>
    </row>
    <row r="1787" s="4" customFormat="1" ht="20" hidden="1" customHeight="1" spans="1:14">
      <c r="A1787" s="46">
        <v>45567</v>
      </c>
      <c r="B1787" s="47"/>
      <c r="C1787" s="47"/>
      <c r="D1787" s="47" t="s">
        <v>4365</v>
      </c>
      <c r="E1787" s="47" t="s">
        <v>2849</v>
      </c>
      <c r="F1787" s="11" t="str">
        <f>IFERROR(VLOOKUP(VENTAS[[#This Row],[Código del producto Vendido]],STOCK[],5,FALSE),"-")</f>
        <v>Pantalones largros rayados de moda de gran comodidad</v>
      </c>
      <c r="G1787" s="47">
        <v>1</v>
      </c>
      <c r="H1787" s="48">
        <v>22</v>
      </c>
      <c r="I1787" s="14">
        <f>VENTAS[[#This Row],[Cantidad]]*VENTAS[[#This Row],[Precio Venta]]</f>
        <v>22</v>
      </c>
      <c r="J1787" s="14">
        <f>IF(VENTAS[[#This Row],[Nombre del Gestor]]&gt;1,VENTAS[[#This Row],[Total]]*10%,0)</f>
        <v>2.2</v>
      </c>
      <c r="K1787" s="14">
        <f>IFERROR(VLOOKUP(VENTAS[[#This Row],[Código del producto Vendido]],STOCK[],16,FALSE)*VENTAS[[#This Row],[Cantidad]]+VLOOKUP(VENTAS[[#This Row],[Código del producto Vendido]],STOCK[],19,FALSE)*VENTAS[[#This Row],[Cantidad]],VENTAS[[#This Row],[Total]])</f>
        <v>10.52</v>
      </c>
      <c r="L1787" s="14">
        <f>VENTAS[[#This Row],[Total]]-VENTAS[[#This Row],[Comisión 10%]]-VENTAS[[#This Row],[Costo SIN Comision]]</f>
        <v>9.28</v>
      </c>
      <c r="M1787" s="48"/>
      <c r="N1787" s="49" t="s">
        <v>4652</v>
      </c>
    </row>
    <row r="1788" s="4" customFormat="1" ht="20" hidden="1" customHeight="1" spans="1:14">
      <c r="A1788" s="46">
        <v>45568</v>
      </c>
      <c r="B1788" s="47"/>
      <c r="C1788" s="47"/>
      <c r="D1788" s="47" t="s">
        <v>4642</v>
      </c>
      <c r="E1788" s="47" t="s">
        <v>3008</v>
      </c>
      <c r="F1788" s="11" t="str">
        <f>IFERROR(VLOOKUP(VENTAS[[#This Row],[Código del producto Vendido]],STOCK[],5,FALSE),"-")</f>
        <v>Conjunto de dos prendas elegante-casual color Beis</v>
      </c>
      <c r="G1788" s="47">
        <v>1</v>
      </c>
      <c r="H1788" s="48">
        <v>40</v>
      </c>
      <c r="I1788" s="14">
        <f>VENTAS[[#This Row],[Cantidad]]*VENTAS[[#This Row],[Precio Venta]]</f>
        <v>40</v>
      </c>
      <c r="J1788" s="14">
        <f>IF(VENTAS[[#This Row],[Nombre del Gestor]]&gt;1,VENTAS[[#This Row],[Total]]*10%,0)</f>
        <v>4</v>
      </c>
      <c r="K1788" s="14">
        <f>IFERROR(VLOOKUP(VENTAS[[#This Row],[Código del producto Vendido]],STOCK[],16,FALSE)*VENTAS[[#This Row],[Cantidad]]+VLOOKUP(VENTAS[[#This Row],[Código del producto Vendido]],STOCK[],19,FALSE)*VENTAS[[#This Row],[Cantidad]],VENTAS[[#This Row],[Total]])</f>
        <v>13.47</v>
      </c>
      <c r="L1788" s="14">
        <f>VENTAS[[#This Row],[Total]]-VENTAS[[#This Row],[Comisión 10%]]-VENTAS[[#This Row],[Costo SIN Comision]]</f>
        <v>22.53</v>
      </c>
      <c r="M1788" s="48"/>
      <c r="N1788" s="49" t="s">
        <v>4653</v>
      </c>
    </row>
    <row r="1789" s="4" customFormat="1" ht="20" hidden="1" customHeight="1" spans="1:14">
      <c r="A1789" s="46">
        <v>45569</v>
      </c>
      <c r="B1789" s="47"/>
      <c r="C1789" s="47"/>
      <c r="D1789" s="47"/>
      <c r="E1789" s="47" t="s">
        <v>3327</v>
      </c>
      <c r="F1789" s="11" t="str">
        <f>IFERROR(VLOOKUP(VENTAS[[#This Row],[Código del producto Vendido]],STOCK[],5,FALSE),"-")</f>
        <v>Careta Anonimous</v>
      </c>
      <c r="G1789" s="47">
        <v>1</v>
      </c>
      <c r="H1789" s="48">
        <v>7</v>
      </c>
      <c r="I1789" s="14">
        <f>VENTAS[[#This Row],[Cantidad]]*VENTAS[[#This Row],[Precio Venta]]</f>
        <v>7</v>
      </c>
      <c r="J1789" s="14">
        <f>IF(VENTAS[[#This Row],[Nombre del Gestor]]&gt;1,VENTAS[[#This Row],[Total]]*10%,0)</f>
        <v>0</v>
      </c>
      <c r="K1789" s="14">
        <f>IFERROR(VLOOKUP(VENTAS[[#This Row],[Código del producto Vendido]],STOCK[],16,FALSE)*VENTAS[[#This Row],[Cantidad]]+VLOOKUP(VENTAS[[#This Row],[Código del producto Vendido]],STOCK[],19,FALSE)*VENTAS[[#This Row],[Cantidad]],VENTAS[[#This Row],[Total]])</f>
        <v>0</v>
      </c>
      <c r="L1789" s="14">
        <f>VENTAS[[#This Row],[Total]]-VENTAS[[#This Row],[Comisión 10%]]-VENTAS[[#This Row],[Costo SIN Comision]]</f>
        <v>7</v>
      </c>
      <c r="M1789" s="48"/>
      <c r="N1789" s="49" t="s">
        <v>4654</v>
      </c>
    </row>
    <row r="1790" s="4" customFormat="1" ht="20" hidden="1" customHeight="1" spans="1:14">
      <c r="A1790" s="46">
        <v>45569</v>
      </c>
      <c r="B1790" s="47"/>
      <c r="C1790" s="47"/>
      <c r="D1790" s="47"/>
      <c r="E1790" s="47" t="s">
        <v>3327</v>
      </c>
      <c r="F1790" s="11" t="str">
        <f>IFERROR(VLOOKUP(VENTAS[[#This Row],[Código del producto Vendido]],STOCK[],5,FALSE),"-")</f>
        <v>Careta Anonimous</v>
      </c>
      <c r="G1790" s="47">
        <v>1</v>
      </c>
      <c r="H1790" s="48">
        <v>7</v>
      </c>
      <c r="I1790" s="14">
        <f>VENTAS[[#This Row],[Cantidad]]*VENTAS[[#This Row],[Precio Venta]]</f>
        <v>7</v>
      </c>
      <c r="J1790" s="14">
        <f>IF(VENTAS[[#This Row],[Nombre del Gestor]]&gt;1,VENTAS[[#This Row],[Total]]*10%,0)</f>
        <v>0</v>
      </c>
      <c r="K1790" s="14">
        <f>IFERROR(VLOOKUP(VENTAS[[#This Row],[Código del producto Vendido]],STOCK[],16,FALSE)*VENTAS[[#This Row],[Cantidad]]+VLOOKUP(VENTAS[[#This Row],[Código del producto Vendido]],STOCK[],19,FALSE)*VENTAS[[#This Row],[Cantidad]],VENTAS[[#This Row],[Total]])</f>
        <v>0</v>
      </c>
      <c r="L1790" s="14">
        <f>VENTAS[[#This Row],[Total]]-VENTAS[[#This Row],[Comisión 10%]]-VENTAS[[#This Row],[Costo SIN Comision]]</f>
        <v>7</v>
      </c>
      <c r="M1790" s="48"/>
      <c r="N1790" s="49" t="s">
        <v>4655</v>
      </c>
    </row>
    <row r="1791" s="4" customFormat="1" ht="20" hidden="1" customHeight="1" spans="1:14">
      <c r="A1791" s="46">
        <v>45569</v>
      </c>
      <c r="B1791" s="47"/>
      <c r="C1791" s="47"/>
      <c r="D1791" s="47" t="s">
        <v>4167</v>
      </c>
      <c r="E1791" s="47" t="s">
        <v>3327</v>
      </c>
      <c r="F1791" s="11" t="str">
        <f>IFERROR(VLOOKUP(VENTAS[[#This Row],[Código del producto Vendido]],STOCK[],5,FALSE),"-")</f>
        <v>Careta Anonimous</v>
      </c>
      <c r="G1791" s="47">
        <v>1</v>
      </c>
      <c r="H1791" s="48">
        <v>7</v>
      </c>
      <c r="I1791" s="14">
        <f>VENTAS[[#This Row],[Cantidad]]*VENTAS[[#This Row],[Precio Venta]]</f>
        <v>7</v>
      </c>
      <c r="J1791" s="14">
        <f>IF(VENTAS[[#This Row],[Nombre del Gestor]]&gt;1,VENTAS[[#This Row],[Total]]*10%,0)</f>
        <v>0.7</v>
      </c>
      <c r="K1791" s="14">
        <f>IFERROR(VLOOKUP(VENTAS[[#This Row],[Código del producto Vendido]],STOCK[],16,FALSE)*VENTAS[[#This Row],[Cantidad]]+VLOOKUP(VENTAS[[#This Row],[Código del producto Vendido]],STOCK[],19,FALSE)*VENTAS[[#This Row],[Cantidad]],VENTAS[[#This Row],[Total]])</f>
        <v>0</v>
      </c>
      <c r="L1791" s="14">
        <f>VENTAS[[#This Row],[Total]]-VENTAS[[#This Row],[Comisión 10%]]-VENTAS[[#This Row],[Costo SIN Comision]]</f>
        <v>6.3</v>
      </c>
      <c r="M1791" s="48"/>
      <c r="N1791" s="49" t="s">
        <v>4656</v>
      </c>
    </row>
    <row r="1792" s="4" customFormat="1" ht="20" hidden="1" customHeight="1" spans="1:14">
      <c r="A1792" s="46">
        <v>45570</v>
      </c>
      <c r="B1792" s="47"/>
      <c r="C1792" s="47"/>
      <c r="D1792" s="47" t="s">
        <v>4167</v>
      </c>
      <c r="E1792" s="47" t="s">
        <v>3334</v>
      </c>
      <c r="F1792" s="11" t="str">
        <f>IFERROR(VLOOKUP(VENTAS[[#This Row],[Código del producto Vendido]],STOCK[],5,FALSE),"-")</f>
        <v>Diadema minimalista de diablito</v>
      </c>
      <c r="G1792" s="47">
        <v>1</v>
      </c>
      <c r="H1792" s="48">
        <v>5</v>
      </c>
      <c r="I1792" s="14">
        <f>VENTAS[[#This Row],[Cantidad]]*VENTAS[[#This Row],[Precio Venta]]</f>
        <v>5</v>
      </c>
      <c r="J1792" s="14">
        <f>IF(VENTAS[[#This Row],[Nombre del Gestor]]&gt;1,VENTAS[[#This Row],[Total]]*10%,0)</f>
        <v>0.5</v>
      </c>
      <c r="K1792" s="14">
        <f>IFERROR(VLOOKUP(VENTAS[[#This Row],[Código del producto Vendido]],STOCK[],16,FALSE)*VENTAS[[#This Row],[Cantidad]]+VLOOKUP(VENTAS[[#This Row],[Código del producto Vendido]],STOCK[],19,FALSE)*VENTAS[[#This Row],[Cantidad]],VENTAS[[#This Row],[Total]])</f>
        <v>0</v>
      </c>
      <c r="L1792" s="14">
        <f>VENTAS[[#This Row],[Total]]-VENTAS[[#This Row],[Comisión 10%]]-VENTAS[[#This Row],[Costo SIN Comision]]</f>
        <v>4.5</v>
      </c>
      <c r="M1792" s="48"/>
      <c r="N1792" s="49" t="s">
        <v>4657</v>
      </c>
    </row>
    <row r="1793" s="4" customFormat="1" ht="20" hidden="1" customHeight="1" spans="1:14">
      <c r="A1793" s="46">
        <v>45570</v>
      </c>
      <c r="B1793" s="47"/>
      <c r="C1793" s="47"/>
      <c r="D1793" s="47" t="s">
        <v>4167</v>
      </c>
      <c r="E1793" s="47" t="s">
        <v>3325</v>
      </c>
      <c r="F1793" s="11" t="str">
        <f>IFERROR(VLOOKUP(VENTAS[[#This Row],[Código del producto Vendido]],STOCK[],5,FALSE),"-")</f>
        <v>Máscara de bruja realista con peluca incluída</v>
      </c>
      <c r="G1793" s="47">
        <v>1</v>
      </c>
      <c r="H1793" s="48">
        <v>22</v>
      </c>
      <c r="I1793" s="14">
        <f>VENTAS[[#This Row],[Cantidad]]*VENTAS[[#This Row],[Precio Venta]]</f>
        <v>22</v>
      </c>
      <c r="J1793" s="14">
        <f>IF(VENTAS[[#This Row],[Nombre del Gestor]]&gt;1,VENTAS[[#This Row],[Total]]*10%,0)</f>
        <v>2.2</v>
      </c>
      <c r="K1793" s="14">
        <f>IFERROR(VLOOKUP(VENTAS[[#This Row],[Código del producto Vendido]],STOCK[],16,FALSE)*VENTAS[[#This Row],[Cantidad]]+VLOOKUP(VENTAS[[#This Row],[Código del producto Vendido]],STOCK[],19,FALSE)*VENTAS[[#This Row],[Cantidad]],VENTAS[[#This Row],[Total]])</f>
        <v>0</v>
      </c>
      <c r="L1793" s="14">
        <f>VENTAS[[#This Row],[Total]]-VENTAS[[#This Row],[Comisión 10%]]-VENTAS[[#This Row],[Costo SIN Comision]]</f>
        <v>19.8</v>
      </c>
      <c r="M1793" s="48"/>
      <c r="N1793" s="49" t="s">
        <v>4658</v>
      </c>
    </row>
    <row r="1794" s="4" customFormat="1" ht="20" hidden="1" customHeight="1" spans="1:14">
      <c r="A1794" s="46">
        <v>45570</v>
      </c>
      <c r="B1794" s="47"/>
      <c r="C1794" s="47"/>
      <c r="D1794" s="47"/>
      <c r="E1794" s="47" t="s">
        <v>3380</v>
      </c>
      <c r="F1794" s="11" t="str">
        <f>IFERROR(VLOOKUP(VENTAS[[#This Row],[Código del producto Vendido]],STOCK[],5,FALSE),"-")</f>
        <v>Máscaras led verde de baterías</v>
      </c>
      <c r="G1794" s="47">
        <v>1</v>
      </c>
      <c r="H1794" s="48">
        <v>15</v>
      </c>
      <c r="I1794" s="14">
        <f>VENTAS[[#This Row],[Cantidad]]*VENTAS[[#This Row],[Precio Venta]]</f>
        <v>15</v>
      </c>
      <c r="J1794" s="14">
        <f>IF(VENTAS[[#This Row],[Nombre del Gestor]]&gt;1,VENTAS[[#This Row],[Total]]*10%,0)</f>
        <v>0</v>
      </c>
      <c r="K1794" s="14">
        <f>IFERROR(VLOOKUP(VENTAS[[#This Row],[Código del producto Vendido]],STOCK[],16,FALSE)*VENTAS[[#This Row],[Cantidad]]+VLOOKUP(VENTAS[[#This Row],[Código del producto Vendido]],STOCK[],19,FALSE)*VENTAS[[#This Row],[Cantidad]],VENTAS[[#This Row],[Total]])</f>
        <v>0</v>
      </c>
      <c r="L1794" s="14">
        <f>VENTAS[[#This Row],[Total]]-VENTAS[[#This Row],[Comisión 10%]]-VENTAS[[#This Row],[Costo SIN Comision]]</f>
        <v>15</v>
      </c>
      <c r="M1794" s="48"/>
      <c r="N1794" s="49" t="s">
        <v>4659</v>
      </c>
    </row>
    <row r="1795" s="4" customFormat="1" ht="20" hidden="1" customHeight="1" spans="1:14">
      <c r="A1795" s="46">
        <v>45570</v>
      </c>
      <c r="B1795" s="47"/>
      <c r="C1795" s="47"/>
      <c r="D1795" s="47"/>
      <c r="E1795" s="47" t="s">
        <v>3417</v>
      </c>
      <c r="F1795" s="11" t="str">
        <f>IFERROR(VLOOKUP(VENTAS[[#This Row],[Código del producto Vendido]],STOCK[],5,FALSE),"-")</f>
        <v>Barbas negras</v>
      </c>
      <c r="G1795" s="47">
        <v>1</v>
      </c>
      <c r="H1795" s="48">
        <v>4</v>
      </c>
      <c r="I1795" s="14">
        <f>VENTAS[[#This Row],[Cantidad]]*VENTAS[[#This Row],[Precio Venta]]</f>
        <v>4</v>
      </c>
      <c r="J1795" s="14">
        <f>IF(VENTAS[[#This Row],[Nombre del Gestor]]&gt;1,VENTAS[[#This Row],[Total]]*10%,0)</f>
        <v>0</v>
      </c>
      <c r="K1795" s="14">
        <f>IFERROR(VLOOKUP(VENTAS[[#This Row],[Código del producto Vendido]],STOCK[],16,FALSE)*VENTAS[[#This Row],[Cantidad]]+VLOOKUP(VENTAS[[#This Row],[Código del producto Vendido]],STOCK[],19,FALSE)*VENTAS[[#This Row],[Cantidad]],VENTAS[[#This Row],[Total]])</f>
        <v>0</v>
      </c>
      <c r="L1795" s="14">
        <f>VENTAS[[#This Row],[Total]]-VENTAS[[#This Row],[Comisión 10%]]-VENTAS[[#This Row],[Costo SIN Comision]]</f>
        <v>4</v>
      </c>
      <c r="M1795" s="48"/>
      <c r="N1795" s="49" t="s">
        <v>4660</v>
      </c>
    </row>
    <row r="1796" s="4" customFormat="1" ht="20" hidden="1" customHeight="1" spans="1:14">
      <c r="A1796" s="46">
        <v>45570</v>
      </c>
      <c r="B1796" s="47"/>
      <c r="C1796" s="47"/>
      <c r="D1796" s="47"/>
      <c r="E1796" s="47" t="s">
        <v>3437</v>
      </c>
      <c r="F1796" s="11" t="str">
        <f>IFERROR(VLOOKUP(VENTAS[[#This Row],[Código del producto Vendido]],STOCK[],5,FALSE),"-")</f>
        <v>Sombrero grande de bruja</v>
      </c>
      <c r="G1796" s="47">
        <v>3</v>
      </c>
      <c r="H1796" s="48">
        <v>15</v>
      </c>
      <c r="I1796" s="14">
        <f>VENTAS[[#This Row],[Cantidad]]*VENTAS[[#This Row],[Precio Venta]]</f>
        <v>45</v>
      </c>
      <c r="J1796" s="14">
        <f>IF(VENTAS[[#This Row],[Nombre del Gestor]]&gt;1,VENTAS[[#This Row],[Total]]*10%,0)</f>
        <v>0</v>
      </c>
      <c r="K1796" s="14">
        <f>IFERROR(VLOOKUP(VENTAS[[#This Row],[Código del producto Vendido]],STOCK[],16,FALSE)*VENTAS[[#This Row],[Cantidad]]+VLOOKUP(VENTAS[[#This Row],[Código del producto Vendido]],STOCK[],19,FALSE)*VENTAS[[#This Row],[Cantidad]],VENTAS[[#This Row],[Total]])</f>
        <v>0</v>
      </c>
      <c r="L1796" s="14">
        <f>VENTAS[[#This Row],[Total]]-VENTAS[[#This Row],[Comisión 10%]]-VENTAS[[#This Row],[Costo SIN Comision]]</f>
        <v>45</v>
      </c>
      <c r="M1796" s="48"/>
      <c r="N1796" s="49" t="s">
        <v>4661</v>
      </c>
    </row>
    <row r="1797" s="4" customFormat="1" ht="20" hidden="1" customHeight="1" spans="1:14">
      <c r="A1797" s="46">
        <v>45570</v>
      </c>
      <c r="B1797" s="47"/>
      <c r="C1797" s="47"/>
      <c r="D1797" s="47"/>
      <c r="E1797" s="47" t="s">
        <v>3423</v>
      </c>
      <c r="F1797" s="11" t="str">
        <f>IFERROR(VLOOKUP(VENTAS[[#This Row],[Código del producto Vendido]],STOCK[],5,FALSE),"-")</f>
        <v>Aretes de fantasmitas</v>
      </c>
      <c r="G1797" s="47">
        <v>3</v>
      </c>
      <c r="H1797" s="48">
        <v>1.5</v>
      </c>
      <c r="I1797" s="14">
        <f>VENTAS[[#This Row],[Cantidad]]*VENTAS[[#This Row],[Precio Venta]]</f>
        <v>4.5</v>
      </c>
      <c r="J1797" s="14">
        <f>IF(VENTAS[[#This Row],[Nombre del Gestor]]&gt;1,VENTAS[[#This Row],[Total]]*10%,0)</f>
        <v>0</v>
      </c>
      <c r="K1797" s="14">
        <f>IFERROR(VLOOKUP(VENTAS[[#This Row],[Código del producto Vendido]],STOCK[],16,FALSE)*VENTAS[[#This Row],[Cantidad]]+VLOOKUP(VENTAS[[#This Row],[Código del producto Vendido]],STOCK[],19,FALSE)*VENTAS[[#This Row],[Cantidad]],VENTAS[[#This Row],[Total]])</f>
        <v>0</v>
      </c>
      <c r="L1797" s="14">
        <f>VENTAS[[#This Row],[Total]]-VENTAS[[#This Row],[Comisión 10%]]-VENTAS[[#This Row],[Costo SIN Comision]]</f>
        <v>4.5</v>
      </c>
      <c r="M1797" s="48"/>
      <c r="N1797" s="49" t="s">
        <v>4662</v>
      </c>
    </row>
    <row r="1798" s="4" customFormat="1" ht="20" hidden="1" customHeight="1" spans="1:14">
      <c r="A1798" s="46">
        <v>45570</v>
      </c>
      <c r="B1798" s="47"/>
      <c r="C1798" s="47"/>
      <c r="D1798" s="47"/>
      <c r="E1798" s="47" t="s">
        <v>3411</v>
      </c>
      <c r="F1798" s="11" t="str">
        <f>IFERROR(VLOOKUP(VENTAS[[#This Row],[Código del producto Vendido]],STOCK[],5,FALSE),"-")</f>
        <v>Peluca de Cruella De Vill</v>
      </c>
      <c r="G1798" s="47">
        <v>1</v>
      </c>
      <c r="H1798" s="48">
        <v>25</v>
      </c>
      <c r="I1798" s="14">
        <f>VENTAS[[#This Row],[Cantidad]]*VENTAS[[#This Row],[Precio Venta]]</f>
        <v>25</v>
      </c>
      <c r="J1798" s="14">
        <f>IF(VENTAS[[#This Row],[Nombre del Gestor]]&gt;1,VENTAS[[#This Row],[Total]]*10%,0)</f>
        <v>0</v>
      </c>
      <c r="K1798" s="14">
        <f>IFERROR(VLOOKUP(VENTAS[[#This Row],[Código del producto Vendido]],STOCK[],16,FALSE)*VENTAS[[#This Row],[Cantidad]]+VLOOKUP(VENTAS[[#This Row],[Código del producto Vendido]],STOCK[],19,FALSE)*VENTAS[[#This Row],[Cantidad]],VENTAS[[#This Row],[Total]])</f>
        <v>0</v>
      </c>
      <c r="L1798" s="14">
        <f>VENTAS[[#This Row],[Total]]-VENTAS[[#This Row],[Comisión 10%]]-VENTAS[[#This Row],[Costo SIN Comision]]</f>
        <v>25</v>
      </c>
      <c r="M1798" s="48"/>
      <c r="N1798" s="49" t="s">
        <v>4663</v>
      </c>
    </row>
    <row r="1799" s="4" customFormat="1" ht="20" hidden="1" customHeight="1" spans="1:14">
      <c r="A1799" s="46">
        <v>45570</v>
      </c>
      <c r="B1799" s="47"/>
      <c r="C1799" s="47"/>
      <c r="D1799" s="47"/>
      <c r="E1799" s="47" t="s">
        <v>3447</v>
      </c>
      <c r="F1799" s="11" t="str">
        <f>IFERROR(VLOOKUP(VENTAS[[#This Row],[Código del producto Vendido]],STOCK[],5,FALSE),"-")</f>
        <v>Antifaz bordado</v>
      </c>
      <c r="G1799" s="47">
        <v>1</v>
      </c>
      <c r="H1799" s="48">
        <v>4</v>
      </c>
      <c r="I1799" s="14">
        <f>VENTAS[[#This Row],[Cantidad]]*VENTAS[[#This Row],[Precio Venta]]</f>
        <v>4</v>
      </c>
      <c r="J1799" s="14">
        <f>IF(VENTAS[[#This Row],[Nombre del Gestor]]&gt;1,VENTAS[[#This Row],[Total]]*10%,0)</f>
        <v>0</v>
      </c>
      <c r="K1799" s="14">
        <f>IFERROR(VLOOKUP(VENTAS[[#This Row],[Código del producto Vendido]],STOCK[],16,FALSE)*VENTAS[[#This Row],[Cantidad]]+VLOOKUP(VENTAS[[#This Row],[Código del producto Vendido]],STOCK[],19,FALSE)*VENTAS[[#This Row],[Cantidad]],VENTAS[[#This Row],[Total]])</f>
        <v>0</v>
      </c>
      <c r="L1799" s="14">
        <f>VENTAS[[#This Row],[Total]]-VENTAS[[#This Row],[Comisión 10%]]-VENTAS[[#This Row],[Costo SIN Comision]]</f>
        <v>4</v>
      </c>
      <c r="M1799" s="48"/>
      <c r="N1799" s="49" t="s">
        <v>4664</v>
      </c>
    </row>
    <row r="1800" s="4" customFormat="1" ht="20" hidden="1" customHeight="1" spans="1:14">
      <c r="A1800" s="46">
        <v>45570</v>
      </c>
      <c r="B1800" s="47"/>
      <c r="C1800" s="47"/>
      <c r="D1800" s="47"/>
      <c r="E1800" s="47" t="s">
        <v>3325</v>
      </c>
      <c r="F1800" s="11" t="str">
        <f>IFERROR(VLOOKUP(VENTAS[[#This Row],[Código del producto Vendido]],STOCK[],5,FALSE),"-")</f>
        <v>Máscara de bruja realista con peluca incluída</v>
      </c>
      <c r="G1800" s="47">
        <v>1</v>
      </c>
      <c r="H1800" s="48">
        <v>22</v>
      </c>
      <c r="I1800" s="14">
        <f>VENTAS[[#This Row],[Cantidad]]*VENTAS[[#This Row],[Precio Venta]]</f>
        <v>22</v>
      </c>
      <c r="J1800" s="14">
        <f>IF(VENTAS[[#This Row],[Nombre del Gestor]]&gt;1,VENTAS[[#This Row],[Total]]*10%,0)</f>
        <v>0</v>
      </c>
      <c r="K1800" s="14">
        <f>IFERROR(VLOOKUP(VENTAS[[#This Row],[Código del producto Vendido]],STOCK[],16,FALSE)*VENTAS[[#This Row],[Cantidad]]+VLOOKUP(VENTAS[[#This Row],[Código del producto Vendido]],STOCK[],19,FALSE)*VENTAS[[#This Row],[Cantidad]],VENTAS[[#This Row],[Total]])</f>
        <v>0</v>
      </c>
      <c r="L1800" s="14">
        <f>VENTAS[[#This Row],[Total]]-VENTAS[[#This Row],[Comisión 10%]]-VENTAS[[#This Row],[Costo SIN Comision]]</f>
        <v>22</v>
      </c>
      <c r="M1800" s="48"/>
      <c r="N1800" s="49" t="s">
        <v>4665</v>
      </c>
    </row>
    <row r="1801" s="4" customFormat="1" ht="20" hidden="1" customHeight="1" spans="1:14">
      <c r="A1801" s="46">
        <v>45570</v>
      </c>
      <c r="B1801" s="47"/>
      <c r="C1801" s="47"/>
      <c r="D1801" s="47"/>
      <c r="E1801" s="47" t="s">
        <v>3392</v>
      </c>
      <c r="F1801" s="11" t="str">
        <f>IFERROR(VLOOKUP(VENTAS[[#This Row],[Código del producto Vendido]],STOCK[],5,FALSE),"-")</f>
        <v>Disfraz de Barbie para niñas</v>
      </c>
      <c r="G1801" s="47">
        <v>1</v>
      </c>
      <c r="H1801" s="48">
        <v>20</v>
      </c>
      <c r="I1801" s="14">
        <f>VENTAS[[#This Row],[Cantidad]]*VENTAS[[#This Row],[Precio Venta]]</f>
        <v>20</v>
      </c>
      <c r="J1801" s="14">
        <f>IF(VENTAS[[#This Row],[Nombre del Gestor]]&gt;1,VENTAS[[#This Row],[Total]]*10%,0)</f>
        <v>0</v>
      </c>
      <c r="K1801" s="14">
        <f>IFERROR(VLOOKUP(VENTAS[[#This Row],[Código del producto Vendido]],STOCK[],16,FALSE)*VENTAS[[#This Row],[Cantidad]]+VLOOKUP(VENTAS[[#This Row],[Código del producto Vendido]],STOCK[],19,FALSE)*VENTAS[[#This Row],[Cantidad]],VENTAS[[#This Row],[Total]])</f>
        <v>0</v>
      </c>
      <c r="L1801" s="14">
        <f>VENTAS[[#This Row],[Total]]-VENTAS[[#This Row],[Comisión 10%]]-VENTAS[[#This Row],[Costo SIN Comision]]</f>
        <v>20</v>
      </c>
      <c r="M1801" s="48"/>
      <c r="N1801" s="49" t="s">
        <v>4666</v>
      </c>
    </row>
    <row r="1802" s="4" customFormat="1" ht="20" hidden="1" customHeight="1" spans="1:14">
      <c r="A1802" s="46">
        <v>45570</v>
      </c>
      <c r="B1802" s="47"/>
      <c r="C1802" s="47"/>
      <c r="D1802" s="47"/>
      <c r="E1802" s="47" t="s">
        <v>3449</v>
      </c>
      <c r="F1802" s="11" t="str">
        <f>IFERROR(VLOOKUP(VENTAS[[#This Row],[Código del producto Vendido]],STOCK[],5,FALSE),"-")</f>
        <v>Cuchillo bromista</v>
      </c>
      <c r="G1802" s="47">
        <v>2</v>
      </c>
      <c r="H1802" s="48">
        <v>5</v>
      </c>
      <c r="I1802" s="14">
        <f>VENTAS[[#This Row],[Cantidad]]*VENTAS[[#This Row],[Precio Venta]]</f>
        <v>10</v>
      </c>
      <c r="J1802" s="14">
        <f>IF(VENTAS[[#This Row],[Nombre del Gestor]]&gt;1,VENTAS[[#This Row],[Total]]*10%,0)</f>
        <v>0</v>
      </c>
      <c r="K1802" s="14">
        <f>IFERROR(VLOOKUP(VENTAS[[#This Row],[Código del producto Vendido]],STOCK[],16,FALSE)*VENTAS[[#This Row],[Cantidad]]+VLOOKUP(VENTAS[[#This Row],[Código del producto Vendido]],STOCK[],19,FALSE)*VENTAS[[#This Row],[Cantidad]],VENTAS[[#This Row],[Total]])</f>
        <v>0</v>
      </c>
      <c r="L1802" s="14">
        <f>VENTAS[[#This Row],[Total]]-VENTAS[[#This Row],[Comisión 10%]]-VENTAS[[#This Row],[Costo SIN Comision]]</f>
        <v>10</v>
      </c>
      <c r="M1802" s="48"/>
      <c r="N1802" s="49" t="s">
        <v>4667</v>
      </c>
    </row>
    <row r="1803" s="4" customFormat="1" ht="20" hidden="1" customHeight="1" spans="1:14">
      <c r="A1803" s="46">
        <v>45570</v>
      </c>
      <c r="B1803" s="47"/>
      <c r="C1803" s="47"/>
      <c r="D1803" s="47"/>
      <c r="E1803" s="47" t="s">
        <v>3461</v>
      </c>
      <c r="F1803" s="11" t="str">
        <f>IFERROR(VLOOKUP(VENTAS[[#This Row],[Código del producto Vendido]],STOCK[],5,FALSE),"-")</f>
        <v>Diadema rosas blancas</v>
      </c>
      <c r="G1803" s="47">
        <v>1</v>
      </c>
      <c r="H1803" s="48">
        <v>5</v>
      </c>
      <c r="I1803" s="14">
        <f>VENTAS[[#This Row],[Cantidad]]*VENTAS[[#This Row],[Precio Venta]]</f>
        <v>5</v>
      </c>
      <c r="J1803" s="14">
        <f>IF(VENTAS[[#This Row],[Nombre del Gestor]]&gt;1,VENTAS[[#This Row],[Total]]*10%,0)</f>
        <v>0</v>
      </c>
      <c r="K1803" s="14">
        <f>IFERROR(VLOOKUP(VENTAS[[#This Row],[Código del producto Vendido]],STOCK[],16,FALSE)*VENTAS[[#This Row],[Cantidad]]+VLOOKUP(VENTAS[[#This Row],[Código del producto Vendido]],STOCK[],19,FALSE)*VENTAS[[#This Row],[Cantidad]],VENTAS[[#This Row],[Total]])</f>
        <v>0</v>
      </c>
      <c r="L1803" s="14">
        <f>VENTAS[[#This Row],[Total]]-VENTAS[[#This Row],[Comisión 10%]]-VENTAS[[#This Row],[Costo SIN Comision]]</f>
        <v>5</v>
      </c>
      <c r="M1803" s="48"/>
      <c r="N1803" s="49" t="s">
        <v>4668</v>
      </c>
    </row>
    <row r="1804" s="4" customFormat="1" ht="20" hidden="1" customHeight="1" spans="1:14">
      <c r="A1804" s="46">
        <v>45570</v>
      </c>
      <c r="B1804" s="47"/>
      <c r="C1804" s="47"/>
      <c r="D1804" s="47"/>
      <c r="E1804" s="47" t="s">
        <v>3334</v>
      </c>
      <c r="F1804" s="11" t="str">
        <f>IFERROR(VLOOKUP(VENTAS[[#This Row],[Código del producto Vendido]],STOCK[],5,FALSE),"-")</f>
        <v>Diadema minimalista de diablito</v>
      </c>
      <c r="G1804" s="47">
        <v>1</v>
      </c>
      <c r="H1804" s="48">
        <v>5</v>
      </c>
      <c r="I1804" s="14">
        <f>VENTAS[[#This Row],[Cantidad]]*VENTAS[[#This Row],[Precio Venta]]</f>
        <v>5</v>
      </c>
      <c r="J1804" s="14">
        <f>IF(VENTAS[[#This Row],[Nombre del Gestor]]&gt;1,VENTAS[[#This Row],[Total]]*10%,0)</f>
        <v>0</v>
      </c>
      <c r="K1804" s="14">
        <f>IFERROR(VLOOKUP(VENTAS[[#This Row],[Código del producto Vendido]],STOCK[],16,FALSE)*VENTAS[[#This Row],[Cantidad]]+VLOOKUP(VENTAS[[#This Row],[Código del producto Vendido]],STOCK[],19,FALSE)*VENTAS[[#This Row],[Cantidad]],VENTAS[[#This Row],[Total]])</f>
        <v>0</v>
      </c>
      <c r="L1804" s="14">
        <f>VENTAS[[#This Row],[Total]]-VENTAS[[#This Row],[Comisión 10%]]-VENTAS[[#This Row],[Costo SIN Comision]]</f>
        <v>5</v>
      </c>
      <c r="M1804" s="48"/>
      <c r="N1804" s="49" t="s">
        <v>4669</v>
      </c>
    </row>
    <row r="1805" s="4" customFormat="1" ht="20" hidden="1" customHeight="1" spans="1:14">
      <c r="A1805" s="46">
        <v>45570</v>
      </c>
      <c r="B1805" s="47"/>
      <c r="C1805" s="47"/>
      <c r="D1805" s="47"/>
      <c r="E1805" s="47" t="s">
        <v>3334</v>
      </c>
      <c r="F1805" s="11" t="str">
        <f>IFERROR(VLOOKUP(VENTAS[[#This Row],[Código del producto Vendido]],STOCK[],5,FALSE),"-")</f>
        <v>Diadema minimalista de diablito</v>
      </c>
      <c r="G1805" s="47">
        <v>1</v>
      </c>
      <c r="H1805" s="48">
        <v>5</v>
      </c>
      <c r="I1805" s="14">
        <f>VENTAS[[#This Row],[Cantidad]]*VENTAS[[#This Row],[Precio Venta]]</f>
        <v>5</v>
      </c>
      <c r="J1805" s="14">
        <f>IF(VENTAS[[#This Row],[Nombre del Gestor]]&gt;1,VENTAS[[#This Row],[Total]]*10%,0)</f>
        <v>0</v>
      </c>
      <c r="K1805" s="14">
        <f>IFERROR(VLOOKUP(VENTAS[[#This Row],[Código del producto Vendido]],STOCK[],16,FALSE)*VENTAS[[#This Row],[Cantidad]]+VLOOKUP(VENTAS[[#This Row],[Código del producto Vendido]],STOCK[],19,FALSE)*VENTAS[[#This Row],[Cantidad]],VENTAS[[#This Row],[Total]])</f>
        <v>0</v>
      </c>
      <c r="L1805" s="14">
        <f>VENTAS[[#This Row],[Total]]-VENTAS[[#This Row],[Comisión 10%]]-VENTAS[[#This Row],[Costo SIN Comision]]</f>
        <v>5</v>
      </c>
      <c r="M1805" s="48"/>
      <c r="N1805" s="49" t="s">
        <v>4670</v>
      </c>
    </row>
    <row r="1806" s="4" customFormat="1" ht="20" hidden="1" customHeight="1" spans="1:14">
      <c r="A1806" s="46">
        <v>45571</v>
      </c>
      <c r="B1806" s="47"/>
      <c r="C1806" s="47"/>
      <c r="D1806" s="47"/>
      <c r="E1806" s="47" t="s">
        <v>3413</v>
      </c>
      <c r="F1806" s="11" t="str">
        <f>IFERROR(VLOOKUP(VENTAS[[#This Row],[Código del producto Vendido]],STOCK[],5,FALSE),"-")</f>
        <v>Tatuajes faciales de catrina</v>
      </c>
      <c r="G1806" s="47">
        <v>6</v>
      </c>
      <c r="H1806" s="48">
        <v>2</v>
      </c>
      <c r="I1806" s="14">
        <f>VENTAS[[#This Row],[Cantidad]]*VENTAS[[#This Row],[Precio Venta]]</f>
        <v>12</v>
      </c>
      <c r="J1806" s="14">
        <f>IF(VENTAS[[#This Row],[Nombre del Gestor]]&gt;1,VENTAS[[#This Row],[Total]]*10%,0)</f>
        <v>0</v>
      </c>
      <c r="K1806" s="14">
        <f>IFERROR(VLOOKUP(VENTAS[[#This Row],[Código del producto Vendido]],STOCK[],16,FALSE)*VENTAS[[#This Row],[Cantidad]]+VLOOKUP(VENTAS[[#This Row],[Código del producto Vendido]],STOCK[],19,FALSE)*VENTAS[[#This Row],[Cantidad]],VENTAS[[#This Row],[Total]])</f>
        <v>0</v>
      </c>
      <c r="L1806" s="14">
        <f>VENTAS[[#This Row],[Total]]-VENTAS[[#This Row],[Comisión 10%]]-VENTAS[[#This Row],[Costo SIN Comision]]</f>
        <v>12</v>
      </c>
      <c r="M1806" s="48"/>
      <c r="N1806" s="49" t="s">
        <v>4671</v>
      </c>
    </row>
    <row r="1807" s="4" customFormat="1" ht="20" hidden="1" customHeight="1" spans="1:14">
      <c r="A1807" s="46">
        <v>45571</v>
      </c>
      <c r="B1807" s="47"/>
      <c r="C1807" s="47"/>
      <c r="D1807" s="47" t="s">
        <v>4272</v>
      </c>
      <c r="E1807" s="47" t="s">
        <v>2996</v>
      </c>
      <c r="F1807" s="11" t="str">
        <f>IFERROR(VLOOKUP(VENTAS[[#This Row],[Código del producto Vendido]],STOCK[],5,FALSE),"-")</f>
        <v>Camiseta de moda con estampado de cereza</v>
      </c>
      <c r="G1807" s="47">
        <v>1</v>
      </c>
      <c r="H1807" s="48">
        <v>15</v>
      </c>
      <c r="I1807" s="14">
        <f>VENTAS[[#This Row],[Cantidad]]*VENTAS[[#This Row],[Precio Venta]]</f>
        <v>15</v>
      </c>
      <c r="J1807" s="14">
        <f>IF(VENTAS[[#This Row],[Nombre del Gestor]]&gt;1,VENTAS[[#This Row],[Total]]*10%,0)</f>
        <v>1.5</v>
      </c>
      <c r="K1807" s="14">
        <f>IFERROR(VLOOKUP(VENTAS[[#This Row],[Código del producto Vendido]],STOCK[],16,FALSE)*VENTAS[[#This Row],[Cantidad]]+VLOOKUP(VENTAS[[#This Row],[Código del producto Vendido]],STOCK[],19,FALSE)*VENTAS[[#This Row],[Cantidad]],VENTAS[[#This Row],[Total]])</f>
        <v>5.92</v>
      </c>
      <c r="L1807" s="14">
        <f>VENTAS[[#This Row],[Total]]-VENTAS[[#This Row],[Comisión 10%]]-VENTAS[[#This Row],[Costo SIN Comision]]</f>
        <v>7.58</v>
      </c>
      <c r="M1807" s="48"/>
      <c r="N1807" s="49" t="s">
        <v>4672</v>
      </c>
    </row>
    <row r="1808" s="4" customFormat="1" ht="20" hidden="1" customHeight="1" spans="1:14">
      <c r="A1808" s="46">
        <v>45572</v>
      </c>
      <c r="B1808" s="47"/>
      <c r="C1808" s="47"/>
      <c r="D1808" s="47" t="s">
        <v>4272</v>
      </c>
      <c r="E1808" s="47" t="s">
        <v>2825</v>
      </c>
      <c r="F1808" s="11" t="str">
        <f>IFERROR(VLOOKUP(VENTAS[[#This Row],[Código del producto Vendido]],STOCK[],5,FALSE),"-")</f>
        <v>Bolso tejido redondo de gran capacidad Beis</v>
      </c>
      <c r="G1808" s="47">
        <v>1</v>
      </c>
      <c r="H1808" s="48">
        <v>25</v>
      </c>
      <c r="I1808" s="14">
        <f>VENTAS[[#This Row],[Cantidad]]*VENTAS[[#This Row],[Precio Venta]]</f>
        <v>25</v>
      </c>
      <c r="J1808" s="14">
        <f>IF(VENTAS[[#This Row],[Nombre del Gestor]]&gt;1,VENTAS[[#This Row],[Total]]*10%,0)</f>
        <v>2.5</v>
      </c>
      <c r="K1808" s="14">
        <f>IFERROR(VLOOKUP(VENTAS[[#This Row],[Código del producto Vendido]],STOCK[],16,FALSE)*VENTAS[[#This Row],[Cantidad]]+VLOOKUP(VENTAS[[#This Row],[Código del producto Vendido]],STOCK[],19,FALSE)*VENTAS[[#This Row],[Cantidad]],VENTAS[[#This Row],[Total]])</f>
        <v>12.74</v>
      </c>
      <c r="L1808" s="14">
        <f>VENTAS[[#This Row],[Total]]-VENTAS[[#This Row],[Comisión 10%]]-VENTAS[[#This Row],[Costo SIN Comision]]</f>
        <v>9.76</v>
      </c>
      <c r="M1808" s="48"/>
      <c r="N1808" s="49" t="s">
        <v>4673</v>
      </c>
    </row>
    <row r="1809" s="4" customFormat="1" ht="20" hidden="1" customHeight="1" spans="1:14">
      <c r="A1809" s="46">
        <v>45572</v>
      </c>
      <c r="B1809" s="47"/>
      <c r="C1809" s="47"/>
      <c r="D1809" s="47" t="s">
        <v>4272</v>
      </c>
      <c r="E1809" s="47" t="s">
        <v>2806</v>
      </c>
      <c r="F1809" s="11" t="str">
        <f>IFERROR(VLOOKUP(VENTAS[[#This Row],[Código del producto Vendido]],STOCK[],5,FALSE),"-")</f>
        <v>Sandalias espadriles de cuña de correas transparentes</v>
      </c>
      <c r="G1809" s="47">
        <v>1</v>
      </c>
      <c r="H1809" s="48">
        <v>40</v>
      </c>
      <c r="I1809" s="14">
        <f>VENTAS[[#This Row],[Cantidad]]*VENTAS[[#This Row],[Precio Venta]]</f>
        <v>40</v>
      </c>
      <c r="J1809" s="14">
        <f>IF(VENTAS[[#This Row],[Nombre del Gestor]]&gt;1,VENTAS[[#This Row],[Total]]*10%,0)</f>
        <v>4</v>
      </c>
      <c r="K1809" s="14">
        <f>IFERROR(VLOOKUP(VENTAS[[#This Row],[Código del producto Vendido]],STOCK[],16,FALSE)*VENTAS[[#This Row],[Cantidad]]+VLOOKUP(VENTAS[[#This Row],[Código del producto Vendido]],STOCK[],19,FALSE)*VENTAS[[#This Row],[Cantidad]],VENTAS[[#This Row],[Total]])</f>
        <v>13.01</v>
      </c>
      <c r="L1809" s="14">
        <f>VENTAS[[#This Row],[Total]]-VENTAS[[#This Row],[Comisión 10%]]-VENTAS[[#This Row],[Costo SIN Comision]]</f>
        <v>22.99</v>
      </c>
      <c r="M1809" s="48"/>
      <c r="N1809" s="49" t="s">
        <v>4674</v>
      </c>
    </row>
    <row r="1810" s="4" customFormat="1" ht="20" hidden="1" customHeight="1" spans="1:14">
      <c r="A1810" s="46">
        <v>45572</v>
      </c>
      <c r="B1810" s="47"/>
      <c r="C1810" s="47"/>
      <c r="D1810" s="47" t="s">
        <v>4241</v>
      </c>
      <c r="E1810" s="47" t="s">
        <v>2837</v>
      </c>
      <c r="F1810" s="11" t="str">
        <f>IFERROR(VLOOKUP(VENTAS[[#This Row],[Código del producto Vendido]],STOCK[],5,FALSE),"-")</f>
        <v>Vestido elegante de crochet de de cuello profundo y espalda cruzada</v>
      </c>
      <c r="G1810" s="47">
        <v>1</v>
      </c>
      <c r="H1810" s="48">
        <v>30</v>
      </c>
      <c r="I1810" s="14">
        <f>VENTAS[[#This Row],[Cantidad]]*VENTAS[[#This Row],[Precio Venta]]</f>
        <v>30</v>
      </c>
      <c r="J1810" s="14">
        <f>IF(VENTAS[[#This Row],[Nombre del Gestor]]&gt;1,VENTAS[[#This Row],[Total]]*10%,0)</f>
        <v>3</v>
      </c>
      <c r="K1810" s="14">
        <f>IFERROR(VLOOKUP(VENTAS[[#This Row],[Código del producto Vendido]],STOCK[],16,FALSE)*VENTAS[[#This Row],[Cantidad]]+VLOOKUP(VENTAS[[#This Row],[Código del producto Vendido]],STOCK[],19,FALSE)*VENTAS[[#This Row],[Cantidad]],VENTAS[[#This Row],[Total]])</f>
        <v>13.5</v>
      </c>
      <c r="L1810" s="14">
        <f>VENTAS[[#This Row],[Total]]-VENTAS[[#This Row],[Comisión 10%]]-VENTAS[[#This Row],[Costo SIN Comision]]</f>
        <v>13.5</v>
      </c>
      <c r="M1810" s="48"/>
      <c r="N1810" s="49" t="s">
        <v>4675</v>
      </c>
    </row>
    <row r="1811" s="4" customFormat="1" ht="20" hidden="1" customHeight="1" spans="1:14">
      <c r="A1811" s="46">
        <v>45572</v>
      </c>
      <c r="B1811" s="47"/>
      <c r="C1811" s="47"/>
      <c r="D1811" s="47" t="s">
        <v>4676</v>
      </c>
      <c r="E1811" s="47" t="s">
        <v>2878</v>
      </c>
      <c r="F1811" s="11" t="str">
        <f>IFERROR(VLOOKUP(VENTAS[[#This Row],[Código del producto Vendido]],STOCK[],5,FALSE),"-")</f>
        <v>Mono Sailor con botón delantero y cinturón naranja quemada</v>
      </c>
      <c r="G1811" s="47">
        <v>1</v>
      </c>
      <c r="H1811" s="48">
        <v>35</v>
      </c>
      <c r="I1811" s="14">
        <f>VENTAS[[#This Row],[Cantidad]]*VENTAS[[#This Row],[Precio Venta]]</f>
        <v>35</v>
      </c>
      <c r="J1811" s="14">
        <f>IF(VENTAS[[#This Row],[Nombre del Gestor]]&gt;1,VENTAS[[#This Row],[Total]]*10%,0)</f>
        <v>3.5</v>
      </c>
      <c r="K1811" s="14">
        <f>IFERROR(VLOOKUP(VENTAS[[#This Row],[Código del producto Vendido]],STOCK[],16,FALSE)*VENTAS[[#This Row],[Cantidad]]+VLOOKUP(VENTAS[[#This Row],[Código del producto Vendido]],STOCK[],19,FALSE)*VENTAS[[#This Row],[Cantidad]],VENTAS[[#This Row],[Total]])</f>
        <v>11.57</v>
      </c>
      <c r="L1811" s="14">
        <f>VENTAS[[#This Row],[Total]]-VENTAS[[#This Row],[Comisión 10%]]-VENTAS[[#This Row],[Costo SIN Comision]]</f>
        <v>19.93</v>
      </c>
      <c r="M1811" s="48"/>
      <c r="N1811" s="49" t="s">
        <v>4677</v>
      </c>
    </row>
    <row r="1812" s="4" customFormat="1" ht="20" hidden="1" customHeight="1" spans="1:14">
      <c r="A1812" s="46">
        <v>45572</v>
      </c>
      <c r="B1812" s="47"/>
      <c r="C1812" s="47"/>
      <c r="D1812" s="47" t="s">
        <v>4222</v>
      </c>
      <c r="E1812" s="47" t="s">
        <v>1900</v>
      </c>
      <c r="F1812" s="11" t="str">
        <f>IFERROR(VLOOKUP(VENTAS[[#This Row],[Código del producto Vendido]],STOCK[],5,FALSE),"-")</f>
        <v>Bolso mochila Rojo</v>
      </c>
      <c r="G1812" s="47">
        <v>1</v>
      </c>
      <c r="H1812" s="48">
        <v>25</v>
      </c>
      <c r="I1812" s="14">
        <f>VENTAS[[#This Row],[Cantidad]]*VENTAS[[#This Row],[Precio Venta]]</f>
        <v>25</v>
      </c>
      <c r="J1812" s="14">
        <f>IF(VENTAS[[#This Row],[Nombre del Gestor]]&gt;1,VENTAS[[#This Row],[Total]]*10%,0)</f>
        <v>2.5</v>
      </c>
      <c r="K1812" s="14">
        <f>IFERROR(VLOOKUP(VENTAS[[#This Row],[Código del producto Vendido]],STOCK[],16,FALSE)*VENTAS[[#This Row],[Cantidad]]+VLOOKUP(VENTAS[[#This Row],[Código del producto Vendido]],STOCK[],19,FALSE)*VENTAS[[#This Row],[Cantidad]],VENTAS[[#This Row],[Total]])</f>
        <v>11.77</v>
      </c>
      <c r="L1812" s="14">
        <f>VENTAS[[#This Row],[Total]]-VENTAS[[#This Row],[Comisión 10%]]-VENTAS[[#This Row],[Costo SIN Comision]]</f>
        <v>10.73</v>
      </c>
      <c r="M1812" s="48"/>
      <c r="N1812" s="49" t="s">
        <v>4678</v>
      </c>
    </row>
    <row r="1813" s="4" customFormat="1" ht="20" hidden="1" customHeight="1" spans="1:14">
      <c r="A1813" s="46">
        <v>45572</v>
      </c>
      <c r="B1813" s="47"/>
      <c r="C1813" s="47"/>
      <c r="D1813" s="47" t="s">
        <v>4076</v>
      </c>
      <c r="E1813" s="47" t="s">
        <v>1161</v>
      </c>
      <c r="F1813" s="11" t="str">
        <f>IFERROR(VLOOKUP(VENTAS[[#This Row],[Código del producto Vendido]],STOCK[],5,FALSE),"-")</f>
        <v>Pezoneras de silicona</v>
      </c>
      <c r="G1813" s="47">
        <v>1</v>
      </c>
      <c r="H1813" s="48">
        <v>5</v>
      </c>
      <c r="I1813" s="14">
        <f>VENTAS[[#This Row],[Cantidad]]*VENTAS[[#This Row],[Precio Venta]]</f>
        <v>5</v>
      </c>
      <c r="J1813" s="14">
        <f>IF(VENTAS[[#This Row],[Nombre del Gestor]]&gt;1,VENTAS[[#This Row],[Total]]*10%,0)</f>
        <v>0.5</v>
      </c>
      <c r="K1813" s="14">
        <f>IFERROR(VLOOKUP(VENTAS[[#This Row],[Código del producto Vendido]],STOCK[],16,FALSE)*VENTAS[[#This Row],[Cantidad]]+VLOOKUP(VENTAS[[#This Row],[Código del producto Vendido]],STOCK[],19,FALSE)*VENTAS[[#This Row],[Cantidad]],VENTAS[[#This Row],[Total]])</f>
        <v>2.03</v>
      </c>
      <c r="L1813" s="14">
        <f>VENTAS[[#This Row],[Total]]-VENTAS[[#This Row],[Comisión 10%]]-VENTAS[[#This Row],[Costo SIN Comision]]</f>
        <v>2.47</v>
      </c>
      <c r="M1813" s="48"/>
      <c r="N1813" s="49" t="s">
        <v>4679</v>
      </c>
    </row>
    <row r="1814" s="4" customFormat="1" ht="20" hidden="1" customHeight="1" spans="1:14">
      <c r="A1814" s="46">
        <v>45572</v>
      </c>
      <c r="B1814" s="47"/>
      <c r="C1814" s="47"/>
      <c r="D1814" s="47" t="s">
        <v>4076</v>
      </c>
      <c r="E1814" s="47" t="s">
        <v>2844</v>
      </c>
      <c r="F1814" s="11" t="str">
        <f>IFERROR(VLOOKUP(VENTAS[[#This Row],[Código del producto Vendido]],STOCK[],5,FALSE),"-")</f>
        <v>Pantalones largros rayados de moda de gran comodidad</v>
      </c>
      <c r="G1814" s="47">
        <v>1</v>
      </c>
      <c r="H1814" s="48">
        <v>22</v>
      </c>
      <c r="I1814" s="14">
        <f>VENTAS[[#This Row],[Cantidad]]*VENTAS[[#This Row],[Precio Venta]]</f>
        <v>22</v>
      </c>
      <c r="J1814" s="14">
        <f>IF(VENTAS[[#This Row],[Nombre del Gestor]]&gt;1,VENTAS[[#This Row],[Total]]*10%,0)</f>
        <v>2.2</v>
      </c>
      <c r="K1814" s="14">
        <f>IFERROR(VLOOKUP(VENTAS[[#This Row],[Código del producto Vendido]],STOCK[],16,FALSE)*VENTAS[[#This Row],[Cantidad]]+VLOOKUP(VENTAS[[#This Row],[Código del producto Vendido]],STOCK[],19,FALSE)*VENTAS[[#This Row],[Cantidad]],VENTAS[[#This Row],[Total]])</f>
        <v>10.52</v>
      </c>
      <c r="L1814" s="14">
        <f>VENTAS[[#This Row],[Total]]-VENTAS[[#This Row],[Comisión 10%]]-VENTAS[[#This Row],[Costo SIN Comision]]</f>
        <v>9.28</v>
      </c>
      <c r="M1814" s="48"/>
      <c r="N1814" s="49" t="s">
        <v>4680</v>
      </c>
    </row>
    <row r="1815" s="4" customFormat="1" ht="20" hidden="1" customHeight="1" spans="1:14">
      <c r="A1815" s="46">
        <v>45572</v>
      </c>
      <c r="B1815" s="47"/>
      <c r="C1815" s="47"/>
      <c r="D1815" s="47" t="s">
        <v>4076</v>
      </c>
      <c r="E1815" s="47" t="s">
        <v>2392</v>
      </c>
      <c r="F1815" s="11" t="str">
        <f>IFERROR(VLOOKUP(VENTAS[[#This Row],[Código del producto Vendido]],STOCK[],5,FALSE),"-")</f>
        <v>Sandalias de tiras con tacón cuadrado Marca H&amp;M</v>
      </c>
      <c r="G1815" s="47">
        <v>0</v>
      </c>
      <c r="H1815" s="48">
        <v>35</v>
      </c>
      <c r="I1815" s="14">
        <f>VENTAS[[#This Row],[Cantidad]]*VENTAS[[#This Row],[Precio Venta]]</f>
        <v>0</v>
      </c>
      <c r="J1815" s="14">
        <f>IF(VENTAS[[#This Row],[Nombre del Gestor]]&gt;1,VENTAS[[#This Row],[Total]]*10%,0)</f>
        <v>0</v>
      </c>
      <c r="K1815" s="14">
        <f>IFERROR(VLOOKUP(VENTAS[[#This Row],[Código del producto Vendido]],STOCK[],16,FALSE)*VENTAS[[#This Row],[Cantidad]]+VLOOKUP(VENTAS[[#This Row],[Código del producto Vendido]],STOCK[],19,FALSE)*VENTAS[[#This Row],[Cantidad]],VENTAS[[#This Row],[Total]])</f>
        <v>0</v>
      </c>
      <c r="L1815" s="14">
        <f>VENTAS[[#This Row],[Total]]-VENTAS[[#This Row],[Comisión 10%]]-VENTAS[[#This Row],[Costo SIN Comision]]</f>
        <v>0</v>
      </c>
      <c r="M1815" s="48"/>
      <c r="N1815" s="49" t="s">
        <v>4681</v>
      </c>
    </row>
    <row r="1816" s="4" customFormat="1" ht="20" hidden="1" customHeight="1" spans="1:14">
      <c r="A1816" s="46">
        <v>45572</v>
      </c>
      <c r="B1816" s="47"/>
      <c r="C1816" s="47"/>
      <c r="D1816" s="47" t="s">
        <v>4076</v>
      </c>
      <c r="E1816" s="47" t="s">
        <v>2506</v>
      </c>
      <c r="F1816" s="11" t="str">
        <f>IFERROR(VLOOKUP(VENTAS[[#This Row],[Código del producto Vendido]],STOCK[],5,FALSE),"-")</f>
        <v>Camisa elegante con lazo grande</v>
      </c>
      <c r="G1816" s="47">
        <v>0</v>
      </c>
      <c r="H1816" s="48">
        <v>20</v>
      </c>
      <c r="I1816" s="14">
        <f>VENTAS[[#This Row],[Cantidad]]*VENTAS[[#This Row],[Precio Venta]]</f>
        <v>0</v>
      </c>
      <c r="J1816" s="14">
        <f>IF(VENTAS[[#This Row],[Nombre del Gestor]]&gt;1,VENTAS[[#This Row],[Total]]*10%,0)</f>
        <v>0</v>
      </c>
      <c r="K1816" s="14">
        <f>IFERROR(VLOOKUP(VENTAS[[#This Row],[Código del producto Vendido]],STOCK[],16,FALSE)*VENTAS[[#This Row],[Cantidad]]+VLOOKUP(VENTAS[[#This Row],[Código del producto Vendido]],STOCK[],19,FALSE)*VENTAS[[#This Row],[Cantidad]],VENTAS[[#This Row],[Total]])</f>
        <v>0</v>
      </c>
      <c r="L1816" s="14">
        <f>VENTAS[[#This Row],[Total]]-VENTAS[[#This Row],[Comisión 10%]]-VENTAS[[#This Row],[Costo SIN Comision]]</f>
        <v>0</v>
      </c>
      <c r="M1816" s="48"/>
      <c r="N1816" s="49" t="s">
        <v>4682</v>
      </c>
    </row>
    <row r="1817" s="4" customFormat="1" ht="20" hidden="1" customHeight="1" spans="1:14">
      <c r="A1817" s="46">
        <v>45572</v>
      </c>
      <c r="B1817" s="47"/>
      <c r="C1817" s="47"/>
      <c r="D1817" s="47" t="s">
        <v>4266</v>
      </c>
      <c r="E1817" s="47" t="s">
        <v>2838</v>
      </c>
      <c r="F1817" s="11" t="str">
        <f>IFERROR(VLOOKUP(VENTAS[[#This Row],[Código del producto Vendido]],STOCK[],5,FALSE),"-")</f>
        <v>Vestido elegante de crochet de de cuello profundo y espalda cruzada</v>
      </c>
      <c r="G1817" s="47">
        <v>1</v>
      </c>
      <c r="H1817" s="48">
        <v>30</v>
      </c>
      <c r="I1817" s="14">
        <f>VENTAS[[#This Row],[Cantidad]]*VENTAS[[#This Row],[Precio Venta]]</f>
        <v>30</v>
      </c>
      <c r="J1817" s="14">
        <f>IF(VENTAS[[#This Row],[Nombre del Gestor]]&gt;1,VENTAS[[#This Row],[Total]]*10%,0)</f>
        <v>3</v>
      </c>
      <c r="K1817" s="14">
        <f>IFERROR(VLOOKUP(VENTAS[[#This Row],[Código del producto Vendido]],STOCK[],16,FALSE)*VENTAS[[#This Row],[Cantidad]]+VLOOKUP(VENTAS[[#This Row],[Código del producto Vendido]],STOCK[],19,FALSE)*VENTAS[[#This Row],[Cantidad]],VENTAS[[#This Row],[Total]])</f>
        <v>13.5</v>
      </c>
      <c r="L1817" s="14">
        <f>VENTAS[[#This Row],[Total]]-VENTAS[[#This Row],[Comisión 10%]]-VENTAS[[#This Row],[Costo SIN Comision]]</f>
        <v>13.5</v>
      </c>
      <c r="M1817" s="48"/>
      <c r="N1817" s="49" t="s">
        <v>4683</v>
      </c>
    </row>
    <row r="1818" s="4" customFormat="1" ht="20" hidden="1" customHeight="1" spans="1:14">
      <c r="A1818" s="46">
        <v>45572</v>
      </c>
      <c r="B1818" s="47"/>
      <c r="C1818" s="47"/>
      <c r="D1818" s="47" t="s">
        <v>4266</v>
      </c>
      <c r="E1818" s="47" t="s">
        <v>2968</v>
      </c>
      <c r="F1818" s="11" t="str">
        <f>IFERROR(VLOOKUP(VENTAS[[#This Row],[Código del producto Vendido]],STOCK[],5,FALSE),"-")</f>
        <v>Vestido camisola negro con abertura</v>
      </c>
      <c r="G1818" s="47">
        <v>1</v>
      </c>
      <c r="H1818" s="48">
        <v>20</v>
      </c>
      <c r="I1818" s="14">
        <f>VENTAS[[#This Row],[Cantidad]]*VENTAS[[#This Row],[Precio Venta]]</f>
        <v>20</v>
      </c>
      <c r="J1818" s="14">
        <f>IF(VENTAS[[#This Row],[Nombre del Gestor]]&gt;1,VENTAS[[#This Row],[Total]]*10%,0)</f>
        <v>2</v>
      </c>
      <c r="K1818" s="14">
        <f>IFERROR(VLOOKUP(VENTAS[[#This Row],[Código del producto Vendido]],STOCK[],16,FALSE)*VENTAS[[#This Row],[Cantidad]]+VLOOKUP(VENTAS[[#This Row],[Código del producto Vendido]],STOCK[],19,FALSE)*VENTAS[[#This Row],[Cantidad]],VENTAS[[#This Row],[Total]])</f>
        <v>7.63</v>
      </c>
      <c r="L1818" s="14">
        <f>VENTAS[[#This Row],[Total]]-VENTAS[[#This Row],[Comisión 10%]]-VENTAS[[#This Row],[Costo SIN Comision]]</f>
        <v>10.37</v>
      </c>
      <c r="M1818" s="48"/>
      <c r="N1818" s="49" t="s">
        <v>4684</v>
      </c>
    </row>
    <row r="1819" s="4" customFormat="1" ht="20" hidden="1" customHeight="1" spans="1:14">
      <c r="A1819" s="46">
        <v>45572</v>
      </c>
      <c r="B1819" s="47"/>
      <c r="C1819" s="47"/>
      <c r="D1819" s="47" t="s">
        <v>4266</v>
      </c>
      <c r="E1819" s="47" t="s">
        <v>2960</v>
      </c>
      <c r="F1819" s="11" t="str">
        <f>IFERROR(VLOOKUP(VENTAS[[#This Row],[Código del producto Vendido]],STOCK[],5,FALSE),"-")</f>
        <v>Vestido elegante largo ajustado con hombro atado</v>
      </c>
      <c r="G1819" s="47">
        <v>1</v>
      </c>
      <c r="H1819" s="48">
        <v>30</v>
      </c>
      <c r="I1819" s="14">
        <f>VENTAS[[#This Row],[Cantidad]]*VENTAS[[#This Row],[Precio Venta]]</f>
        <v>30</v>
      </c>
      <c r="J1819" s="14">
        <f>IF(VENTAS[[#This Row],[Nombre del Gestor]]&gt;1,VENTAS[[#This Row],[Total]]*10%,0)</f>
        <v>3</v>
      </c>
      <c r="K1819" s="14">
        <f>IFERROR(VLOOKUP(VENTAS[[#This Row],[Código del producto Vendido]],STOCK[],16,FALSE)*VENTAS[[#This Row],[Cantidad]]+VLOOKUP(VENTAS[[#This Row],[Código del producto Vendido]],STOCK[],19,FALSE)*VENTAS[[#This Row],[Cantidad]],VENTAS[[#This Row],[Total]])</f>
        <v>15.13</v>
      </c>
      <c r="L1819" s="14">
        <f>VENTAS[[#This Row],[Total]]-VENTAS[[#This Row],[Comisión 10%]]-VENTAS[[#This Row],[Costo SIN Comision]]</f>
        <v>11.87</v>
      </c>
      <c r="M1819" s="48"/>
      <c r="N1819" s="49" t="s">
        <v>4685</v>
      </c>
    </row>
    <row r="1820" s="4" customFormat="1" ht="20" hidden="1" customHeight="1" spans="1:14">
      <c r="A1820" s="46">
        <v>45572</v>
      </c>
      <c r="B1820" s="47"/>
      <c r="C1820" s="47"/>
      <c r="D1820" s="47" t="s">
        <v>4266</v>
      </c>
      <c r="E1820" s="47" t="s">
        <v>2753</v>
      </c>
      <c r="F1820" s="11" t="str">
        <f>IFERROR(VLOOKUP(VENTAS[[#This Row],[Código del producto Vendido]],STOCK[],5,FALSE),"-")</f>
        <v>Vestido Privé Unicolor Sin Mangas ajustado con pliegues color negro</v>
      </c>
      <c r="G1820" s="47">
        <v>1</v>
      </c>
      <c r="H1820" s="48">
        <v>20</v>
      </c>
      <c r="I1820" s="14">
        <f>VENTAS[[#This Row],[Cantidad]]*VENTAS[[#This Row],[Precio Venta]]</f>
        <v>20</v>
      </c>
      <c r="J1820" s="14">
        <f>IF(VENTAS[[#This Row],[Nombre del Gestor]]&gt;1,VENTAS[[#This Row],[Total]]*10%,0)</f>
        <v>2</v>
      </c>
      <c r="K1820" s="14">
        <f>IFERROR(VLOOKUP(VENTAS[[#This Row],[Código del producto Vendido]],STOCK[],16,FALSE)*VENTAS[[#This Row],[Cantidad]]+VLOOKUP(VENTAS[[#This Row],[Código del producto Vendido]],STOCK[],19,FALSE)*VENTAS[[#This Row],[Cantidad]],VENTAS[[#This Row],[Total]])</f>
        <v>6.12</v>
      </c>
      <c r="L1820" s="14">
        <f>VENTAS[[#This Row],[Total]]-VENTAS[[#This Row],[Comisión 10%]]-VENTAS[[#This Row],[Costo SIN Comision]]</f>
        <v>11.88</v>
      </c>
      <c r="M1820" s="48"/>
      <c r="N1820" s="49" t="s">
        <v>4686</v>
      </c>
    </row>
    <row r="1821" s="4" customFormat="1" ht="20" hidden="1" customHeight="1" spans="1:14">
      <c r="A1821" s="46">
        <v>45572</v>
      </c>
      <c r="B1821" s="47"/>
      <c r="C1821" s="47"/>
      <c r="D1821" s="47" t="s">
        <v>4266</v>
      </c>
      <c r="E1821" s="47" t="s">
        <v>2804</v>
      </c>
      <c r="F1821" s="11" t="str">
        <f>IFERROR(VLOOKUP(VENTAS[[#This Row],[Código del producto Vendido]],STOCK[],5,FALSE),"-")</f>
        <v>Sandalias espadriles de cuña de correas transparentes</v>
      </c>
      <c r="G1821" s="47">
        <v>1</v>
      </c>
      <c r="H1821" s="48">
        <v>40</v>
      </c>
      <c r="I1821" s="14">
        <f>VENTAS[[#This Row],[Cantidad]]*VENTAS[[#This Row],[Precio Venta]]</f>
        <v>40</v>
      </c>
      <c r="J1821" s="14">
        <f>IF(VENTAS[[#This Row],[Nombre del Gestor]]&gt;1,VENTAS[[#This Row],[Total]]*10%,0)</f>
        <v>4</v>
      </c>
      <c r="K1821" s="14">
        <f>IFERROR(VLOOKUP(VENTAS[[#This Row],[Código del producto Vendido]],STOCK[],16,FALSE)*VENTAS[[#This Row],[Cantidad]]+VLOOKUP(VENTAS[[#This Row],[Código del producto Vendido]],STOCK[],19,FALSE)*VENTAS[[#This Row],[Cantidad]],VENTAS[[#This Row],[Total]])</f>
        <v>13.01</v>
      </c>
      <c r="L1821" s="14">
        <f>VENTAS[[#This Row],[Total]]-VENTAS[[#This Row],[Comisión 10%]]-VENTAS[[#This Row],[Costo SIN Comision]]</f>
        <v>22.99</v>
      </c>
      <c r="M1821" s="48"/>
      <c r="N1821" s="49" t="s">
        <v>4687</v>
      </c>
    </row>
    <row r="1822" s="4" customFormat="1" ht="20" hidden="1" customHeight="1" spans="1:14">
      <c r="A1822" s="46">
        <v>45572</v>
      </c>
      <c r="B1822" s="47"/>
      <c r="C1822" s="47"/>
      <c r="D1822" s="47" t="s">
        <v>4266</v>
      </c>
      <c r="E1822" s="47" t="s">
        <v>2959</v>
      </c>
      <c r="F1822" s="11" t="str">
        <f>IFERROR(VLOOKUP(VENTAS[[#This Row],[Código del producto Vendido]],STOCK[],5,FALSE),"-")</f>
        <v>Vestido elegante largo ajustado con hombro atado</v>
      </c>
      <c r="G1822" s="47">
        <v>1</v>
      </c>
      <c r="H1822" s="48">
        <v>30</v>
      </c>
      <c r="I1822" s="14">
        <f>VENTAS[[#This Row],[Cantidad]]*VENTAS[[#This Row],[Precio Venta]]</f>
        <v>30</v>
      </c>
      <c r="J1822" s="14">
        <f>IF(VENTAS[[#This Row],[Nombre del Gestor]]&gt;1,VENTAS[[#This Row],[Total]]*10%,0)</f>
        <v>3</v>
      </c>
      <c r="K1822" s="14">
        <f>IFERROR(VLOOKUP(VENTAS[[#This Row],[Código del producto Vendido]],STOCK[],16,FALSE)*VENTAS[[#This Row],[Cantidad]]+VLOOKUP(VENTAS[[#This Row],[Código del producto Vendido]],STOCK[],19,FALSE)*VENTAS[[#This Row],[Cantidad]],VENTAS[[#This Row],[Total]])</f>
        <v>15.13</v>
      </c>
      <c r="L1822" s="14">
        <f>VENTAS[[#This Row],[Total]]-VENTAS[[#This Row],[Comisión 10%]]-VENTAS[[#This Row],[Costo SIN Comision]]</f>
        <v>11.87</v>
      </c>
      <c r="M1822" s="48"/>
      <c r="N1822" s="49" t="s">
        <v>4688</v>
      </c>
    </row>
    <row r="1823" s="4" customFormat="1" ht="20" hidden="1" customHeight="1" spans="1:14">
      <c r="A1823" s="46">
        <v>45572</v>
      </c>
      <c r="B1823" s="47"/>
      <c r="C1823" s="47"/>
      <c r="D1823" s="47" t="s">
        <v>4266</v>
      </c>
      <c r="E1823" s="47" t="s">
        <v>2823</v>
      </c>
      <c r="F1823" s="11" t="str">
        <f>IFERROR(VLOOKUP(VENTAS[[#This Row],[Código del producto Vendido]],STOCK[],5,FALSE),"-")</f>
        <v>Bolso de playa en bloque de color tejido en algodón</v>
      </c>
      <c r="G1823" s="47">
        <v>1</v>
      </c>
      <c r="H1823" s="48">
        <v>25</v>
      </c>
      <c r="I1823" s="14">
        <f>VENTAS[[#This Row],[Cantidad]]*VENTAS[[#This Row],[Precio Venta]]</f>
        <v>25</v>
      </c>
      <c r="J1823" s="14">
        <f>IF(VENTAS[[#This Row],[Nombre del Gestor]]&gt;1,VENTAS[[#This Row],[Total]]*10%,0)</f>
        <v>2.5</v>
      </c>
      <c r="K1823" s="14">
        <f>IFERROR(VLOOKUP(VENTAS[[#This Row],[Código del producto Vendido]],STOCK[],16,FALSE)*VENTAS[[#This Row],[Cantidad]]+VLOOKUP(VENTAS[[#This Row],[Código del producto Vendido]],STOCK[],19,FALSE)*VENTAS[[#This Row],[Cantidad]],VENTAS[[#This Row],[Total]])</f>
        <v>13.35</v>
      </c>
      <c r="L1823" s="14">
        <f>VENTAS[[#This Row],[Total]]-VENTAS[[#This Row],[Comisión 10%]]-VENTAS[[#This Row],[Costo SIN Comision]]</f>
        <v>9.15</v>
      </c>
      <c r="M1823" s="48"/>
      <c r="N1823" s="49" t="s">
        <v>4689</v>
      </c>
    </row>
    <row r="1824" s="4" customFormat="1" ht="20" hidden="1" customHeight="1" spans="1:14">
      <c r="A1824" s="46">
        <v>45572</v>
      </c>
      <c r="B1824" s="47"/>
      <c r="C1824" s="47"/>
      <c r="D1824" s="47" t="s">
        <v>4463</v>
      </c>
      <c r="E1824" s="47" t="s">
        <v>2836</v>
      </c>
      <c r="F1824" s="11" t="str">
        <f>IFERROR(VLOOKUP(VENTAS[[#This Row],[Código del producto Vendido]],STOCK[],5,FALSE),"-")</f>
        <v>Vestido elegante de crochet de de cuello profundo y espalda cruzada</v>
      </c>
      <c r="G1824" s="47">
        <v>1</v>
      </c>
      <c r="H1824" s="48">
        <v>30</v>
      </c>
      <c r="I1824" s="14">
        <f>VENTAS[[#This Row],[Cantidad]]*VENTAS[[#This Row],[Precio Venta]]</f>
        <v>30</v>
      </c>
      <c r="J1824" s="14">
        <f>IF(VENTAS[[#This Row],[Nombre del Gestor]]&gt;1,VENTAS[[#This Row],[Total]]*10%,0)</f>
        <v>3</v>
      </c>
      <c r="K1824" s="14">
        <f>IFERROR(VLOOKUP(VENTAS[[#This Row],[Código del producto Vendido]],STOCK[],16,FALSE)*VENTAS[[#This Row],[Cantidad]]+VLOOKUP(VENTAS[[#This Row],[Código del producto Vendido]],STOCK[],19,FALSE)*VENTAS[[#This Row],[Cantidad]],VENTAS[[#This Row],[Total]])</f>
        <v>13.5</v>
      </c>
      <c r="L1824" s="14">
        <f>VENTAS[[#This Row],[Total]]-VENTAS[[#This Row],[Comisión 10%]]-VENTAS[[#This Row],[Costo SIN Comision]]</f>
        <v>13.5</v>
      </c>
      <c r="M1824" s="48"/>
      <c r="N1824" s="49" t="s">
        <v>4690</v>
      </c>
    </row>
    <row r="1825" s="4" customFormat="1" ht="20" hidden="1" customHeight="1" spans="1:14">
      <c r="A1825" s="46">
        <v>45572</v>
      </c>
      <c r="B1825" s="47"/>
      <c r="C1825" s="47"/>
      <c r="D1825" s="47" t="s">
        <v>4300</v>
      </c>
      <c r="E1825" s="47" t="s">
        <v>2938</v>
      </c>
      <c r="F1825" s="11" t="str">
        <f>IFERROR(VLOOKUP(VENTAS[[#This Row],[Código del producto Vendido]],STOCK[],5,FALSE),"-")</f>
        <v>Vestido maxi sólido con espalda ajustable</v>
      </c>
      <c r="G1825" s="47">
        <v>1</v>
      </c>
      <c r="H1825" s="48">
        <v>25</v>
      </c>
      <c r="I1825" s="14">
        <f>VENTAS[[#This Row],[Cantidad]]*VENTAS[[#This Row],[Precio Venta]]</f>
        <v>25</v>
      </c>
      <c r="J1825" s="14">
        <f>IF(VENTAS[[#This Row],[Nombre del Gestor]]&gt;1,VENTAS[[#This Row],[Total]]*10%,0)</f>
        <v>2.5</v>
      </c>
      <c r="K1825" s="14">
        <f>IFERROR(VLOOKUP(VENTAS[[#This Row],[Código del producto Vendido]],STOCK[],16,FALSE)*VENTAS[[#This Row],[Cantidad]]+VLOOKUP(VENTAS[[#This Row],[Código del producto Vendido]],STOCK[],19,FALSE)*VENTAS[[#This Row],[Cantidad]],VENTAS[[#This Row],[Total]])</f>
        <v>10.79</v>
      </c>
      <c r="L1825" s="14">
        <f>VENTAS[[#This Row],[Total]]-VENTAS[[#This Row],[Comisión 10%]]-VENTAS[[#This Row],[Costo SIN Comision]]</f>
        <v>11.71</v>
      </c>
      <c r="M1825" s="48"/>
      <c r="N1825" s="49" t="s">
        <v>4691</v>
      </c>
    </row>
    <row r="1826" s="4" customFormat="1" ht="20" hidden="1" customHeight="1" spans="1:14">
      <c r="A1826" s="46">
        <v>45572</v>
      </c>
      <c r="B1826" s="47"/>
      <c r="C1826" s="47"/>
      <c r="D1826" s="47" t="s">
        <v>4470</v>
      </c>
      <c r="E1826" s="47" t="s">
        <v>2965</v>
      </c>
      <c r="F1826" s="11" t="str">
        <f>IFERROR(VLOOKUP(VENTAS[[#This Row],[Código del producto Vendido]],STOCK[],5,FALSE),"-")</f>
        <v>Vestido camisola negro con abertura</v>
      </c>
      <c r="G1826" s="47">
        <v>1</v>
      </c>
      <c r="H1826" s="48">
        <v>20</v>
      </c>
      <c r="I1826" s="14">
        <f>VENTAS[[#This Row],[Cantidad]]*VENTAS[[#This Row],[Precio Venta]]</f>
        <v>20</v>
      </c>
      <c r="J1826" s="14">
        <f>IF(VENTAS[[#This Row],[Nombre del Gestor]]&gt;1,VENTAS[[#This Row],[Total]]*10%,0)</f>
        <v>2</v>
      </c>
      <c r="K1826" s="14">
        <f>IFERROR(VLOOKUP(VENTAS[[#This Row],[Código del producto Vendido]],STOCK[],16,FALSE)*VENTAS[[#This Row],[Cantidad]]+VLOOKUP(VENTAS[[#This Row],[Código del producto Vendido]],STOCK[],19,FALSE)*VENTAS[[#This Row],[Cantidad]],VENTAS[[#This Row],[Total]])</f>
        <v>7.63</v>
      </c>
      <c r="L1826" s="14">
        <f>VENTAS[[#This Row],[Total]]-VENTAS[[#This Row],[Comisión 10%]]-VENTAS[[#This Row],[Costo SIN Comision]]</f>
        <v>10.37</v>
      </c>
      <c r="M1826" s="48"/>
      <c r="N1826" s="49" t="s">
        <v>4692</v>
      </c>
    </row>
    <row r="1827" s="4" customFormat="1" ht="20" hidden="1" customHeight="1" spans="1:14">
      <c r="A1827" s="46">
        <v>45572</v>
      </c>
      <c r="B1827" s="47"/>
      <c r="C1827" s="47"/>
      <c r="D1827" s="47" t="s">
        <v>4270</v>
      </c>
      <c r="E1827" s="47" t="s">
        <v>3001</v>
      </c>
      <c r="F1827" s="11" t="str">
        <f>IFERROR(VLOOKUP(VENTAS[[#This Row],[Código del producto Vendido]],STOCK[],5,FALSE),"-")</f>
        <v>Traje de baño enterizo elegante de un hombro talla grande </v>
      </c>
      <c r="G1827" s="47">
        <v>1</v>
      </c>
      <c r="H1827" s="48">
        <v>28</v>
      </c>
      <c r="I1827" s="14">
        <f>VENTAS[[#This Row],[Cantidad]]*VENTAS[[#This Row],[Precio Venta]]</f>
        <v>28</v>
      </c>
      <c r="J1827" s="14">
        <f>IF(VENTAS[[#This Row],[Nombre del Gestor]]&gt;1,VENTAS[[#This Row],[Total]]*10%,0)</f>
        <v>2.8</v>
      </c>
      <c r="K1827" s="14">
        <f>IFERROR(VLOOKUP(VENTAS[[#This Row],[Código del producto Vendido]],STOCK[],16,FALSE)*VENTAS[[#This Row],[Cantidad]]+VLOOKUP(VENTAS[[#This Row],[Código del producto Vendido]],STOCK[],19,FALSE)*VENTAS[[#This Row],[Cantidad]],VENTAS[[#This Row],[Total]])</f>
        <v>13.33</v>
      </c>
      <c r="L1827" s="14">
        <f>VENTAS[[#This Row],[Total]]-VENTAS[[#This Row],[Comisión 10%]]-VENTAS[[#This Row],[Costo SIN Comision]]</f>
        <v>11.87</v>
      </c>
      <c r="M1827" s="48"/>
      <c r="N1827" s="49" t="s">
        <v>4693</v>
      </c>
    </row>
    <row r="1828" s="4" customFormat="1" ht="20" hidden="1" customHeight="1" spans="1:14">
      <c r="A1828" s="46">
        <v>45572</v>
      </c>
      <c r="B1828" s="47"/>
      <c r="C1828" s="47"/>
      <c r="D1828" s="47" t="s">
        <v>4376</v>
      </c>
      <c r="E1828" s="47" t="s">
        <v>2937</v>
      </c>
      <c r="F1828" s="11" t="str">
        <f>IFERROR(VLOOKUP(VENTAS[[#This Row],[Código del producto Vendido]],STOCK[],5,FALSE),"-")</f>
        <v>Sandalias cómodas para mujer con adorno de clip dorado</v>
      </c>
      <c r="G1828" s="47">
        <v>1</v>
      </c>
      <c r="H1828" s="48">
        <v>18</v>
      </c>
      <c r="I1828" s="14">
        <f>VENTAS[[#This Row],[Cantidad]]*VENTAS[[#This Row],[Precio Venta]]</f>
        <v>18</v>
      </c>
      <c r="J1828" s="14">
        <f>IF(VENTAS[[#This Row],[Nombre del Gestor]]&gt;1,VENTAS[[#This Row],[Total]]*10%,0)</f>
        <v>1.8</v>
      </c>
      <c r="K1828" s="14">
        <f>IFERROR(VLOOKUP(VENTAS[[#This Row],[Código del producto Vendido]],STOCK[],16,FALSE)*VENTAS[[#This Row],[Cantidad]]+VLOOKUP(VENTAS[[#This Row],[Código del producto Vendido]],STOCK[],19,FALSE)*VENTAS[[#This Row],[Cantidad]],VENTAS[[#This Row],[Total]])</f>
        <v>9.46</v>
      </c>
      <c r="L1828" s="14">
        <f>VENTAS[[#This Row],[Total]]-VENTAS[[#This Row],[Comisión 10%]]-VENTAS[[#This Row],[Costo SIN Comision]]</f>
        <v>6.74</v>
      </c>
      <c r="M1828" s="48"/>
      <c r="N1828" s="49" t="s">
        <v>4694</v>
      </c>
    </row>
    <row r="1829" s="4" customFormat="1" ht="20" hidden="1" customHeight="1" spans="1:14">
      <c r="A1829" s="46">
        <v>45572</v>
      </c>
      <c r="B1829" s="47"/>
      <c r="C1829" s="47"/>
      <c r="D1829" s="47"/>
      <c r="E1829" s="47" t="s">
        <v>3449</v>
      </c>
      <c r="F1829" s="11" t="str">
        <f>IFERROR(VLOOKUP(VENTAS[[#This Row],[Código del producto Vendido]],STOCK[],5,FALSE),"-")</f>
        <v>Cuchillo bromista</v>
      </c>
      <c r="G1829" s="47">
        <v>1</v>
      </c>
      <c r="H1829" s="48">
        <v>5</v>
      </c>
      <c r="I1829" s="14">
        <f>VENTAS[[#This Row],[Cantidad]]*VENTAS[[#This Row],[Precio Venta]]</f>
        <v>5</v>
      </c>
      <c r="J1829" s="14">
        <f>IF(VENTAS[[#This Row],[Nombre del Gestor]]&gt;1,VENTAS[[#This Row],[Total]]*10%,0)</f>
        <v>0</v>
      </c>
      <c r="K1829" s="14">
        <f>IFERROR(VLOOKUP(VENTAS[[#This Row],[Código del producto Vendido]],STOCK[],16,FALSE)*VENTAS[[#This Row],[Cantidad]]+VLOOKUP(VENTAS[[#This Row],[Código del producto Vendido]],STOCK[],19,FALSE)*VENTAS[[#This Row],[Cantidad]],VENTAS[[#This Row],[Total]])</f>
        <v>0</v>
      </c>
      <c r="L1829" s="14">
        <f>VENTAS[[#This Row],[Total]]-VENTAS[[#This Row],[Comisión 10%]]-VENTAS[[#This Row],[Costo SIN Comision]]</f>
        <v>5</v>
      </c>
      <c r="M1829" s="48"/>
      <c r="N1829" s="49" t="s">
        <v>4695</v>
      </c>
    </row>
    <row r="1830" s="4" customFormat="1" ht="20" hidden="1" customHeight="1" spans="1:14">
      <c r="A1830" s="46">
        <v>45572</v>
      </c>
      <c r="B1830" s="47"/>
      <c r="C1830" s="47"/>
      <c r="D1830" s="47" t="s">
        <v>4696</v>
      </c>
      <c r="E1830" s="47" t="s">
        <v>779</v>
      </c>
      <c r="F1830" s="11" t="str">
        <f>IFERROR(VLOOKUP(VENTAS[[#This Row],[Código del producto Vendido]],STOCK[],5,FALSE),"-")</f>
        <v>Top berry en tela de algodón</v>
      </c>
      <c r="G1830" s="47">
        <v>1</v>
      </c>
      <c r="H1830" s="48">
        <v>10</v>
      </c>
      <c r="I1830" s="14">
        <f>VENTAS[[#This Row],[Cantidad]]*VENTAS[[#This Row],[Precio Venta]]</f>
        <v>10</v>
      </c>
      <c r="J1830" s="14">
        <f>IF(VENTAS[[#This Row],[Nombre del Gestor]]&gt;1,VENTAS[[#This Row],[Total]]*10%,0)</f>
        <v>1</v>
      </c>
      <c r="K1830" s="14">
        <f>IFERROR(VLOOKUP(VENTAS[[#This Row],[Código del producto Vendido]],STOCK[],16,FALSE)*VENTAS[[#This Row],[Cantidad]]+VLOOKUP(VENTAS[[#This Row],[Código del producto Vendido]],STOCK[],19,FALSE)*VENTAS[[#This Row],[Cantidad]],VENTAS[[#This Row],[Total]])</f>
        <v>6.05555555555556</v>
      </c>
      <c r="L1830" s="14">
        <f>VENTAS[[#This Row],[Total]]-VENTAS[[#This Row],[Comisión 10%]]-VENTAS[[#This Row],[Costo SIN Comision]]</f>
        <v>2.94444444444444</v>
      </c>
      <c r="M1830" s="48"/>
      <c r="N1830" s="49" t="s">
        <v>4697</v>
      </c>
    </row>
    <row r="1831" s="4" customFormat="1" ht="20" hidden="1" customHeight="1" spans="1:14">
      <c r="A1831" s="46">
        <v>45572</v>
      </c>
      <c r="B1831" s="47"/>
      <c r="C1831" s="47"/>
      <c r="D1831" s="47" t="s">
        <v>4696</v>
      </c>
      <c r="E1831" s="47" t="s">
        <v>2935</v>
      </c>
      <c r="F1831" s="11" t="str">
        <f>IFERROR(VLOOKUP(VENTAS[[#This Row],[Código del producto Vendido]],STOCK[],5,FALSE),"-")</f>
        <v>Sandalias cómodas para mujer con adorno de clip dorado</v>
      </c>
      <c r="G1831" s="47">
        <v>1</v>
      </c>
      <c r="H1831" s="48">
        <v>18</v>
      </c>
      <c r="I1831" s="14">
        <f>VENTAS[[#This Row],[Cantidad]]*VENTAS[[#This Row],[Precio Venta]]</f>
        <v>18</v>
      </c>
      <c r="J1831" s="14">
        <f>IF(VENTAS[[#This Row],[Nombre del Gestor]]&gt;1,VENTAS[[#This Row],[Total]]*10%,0)</f>
        <v>1.8</v>
      </c>
      <c r="K1831" s="14">
        <f>IFERROR(VLOOKUP(VENTAS[[#This Row],[Código del producto Vendido]],STOCK[],16,FALSE)*VENTAS[[#This Row],[Cantidad]]+VLOOKUP(VENTAS[[#This Row],[Código del producto Vendido]],STOCK[],19,FALSE)*VENTAS[[#This Row],[Cantidad]],VENTAS[[#This Row],[Total]])</f>
        <v>9.46</v>
      </c>
      <c r="L1831" s="14">
        <f>VENTAS[[#This Row],[Total]]-VENTAS[[#This Row],[Comisión 10%]]-VENTAS[[#This Row],[Costo SIN Comision]]</f>
        <v>6.74</v>
      </c>
      <c r="M1831" s="48"/>
      <c r="N1831" s="49" t="s">
        <v>4698</v>
      </c>
    </row>
    <row r="1832" s="4" customFormat="1" ht="20" hidden="1" customHeight="1" spans="1:14">
      <c r="A1832" s="46">
        <v>45573</v>
      </c>
      <c r="B1832" s="47"/>
      <c r="C1832" s="47"/>
      <c r="D1832" s="47" t="s">
        <v>4427</v>
      </c>
      <c r="E1832" s="47" t="s">
        <v>3364</v>
      </c>
      <c r="F1832" s="11" t="str">
        <f>IFERROR(VLOOKUP(VENTAS[[#This Row],[Código del producto Vendido]],STOCK[],5,FALSE),"-")</f>
        <v>Antifaz de conejo sexy</v>
      </c>
      <c r="G1832" s="47">
        <v>2</v>
      </c>
      <c r="H1832" s="48">
        <v>8</v>
      </c>
      <c r="I1832" s="14">
        <f>VENTAS[[#This Row],[Cantidad]]*VENTAS[[#This Row],[Precio Venta]]</f>
        <v>16</v>
      </c>
      <c r="J1832" s="14">
        <f>IF(VENTAS[[#This Row],[Nombre del Gestor]]&gt;1,VENTAS[[#This Row],[Total]]*10%,0)</f>
        <v>1.6</v>
      </c>
      <c r="K1832" s="14">
        <f>IFERROR(VLOOKUP(VENTAS[[#This Row],[Código del producto Vendido]],STOCK[],16,FALSE)*VENTAS[[#This Row],[Cantidad]]+VLOOKUP(VENTAS[[#This Row],[Código del producto Vendido]],STOCK[],19,FALSE)*VENTAS[[#This Row],[Cantidad]],VENTAS[[#This Row],[Total]])</f>
        <v>0</v>
      </c>
      <c r="L1832" s="14">
        <f>VENTAS[[#This Row],[Total]]-VENTAS[[#This Row],[Comisión 10%]]-VENTAS[[#This Row],[Costo SIN Comision]]</f>
        <v>14.4</v>
      </c>
      <c r="M1832" s="48"/>
      <c r="N1832" s="49" t="s">
        <v>4699</v>
      </c>
    </row>
    <row r="1833" s="4" customFormat="1" ht="20" hidden="1" customHeight="1" spans="1:14">
      <c r="A1833" s="46">
        <v>45573</v>
      </c>
      <c r="B1833" s="47"/>
      <c r="C1833" s="47"/>
      <c r="D1833" s="47" t="s">
        <v>4427</v>
      </c>
      <c r="E1833" s="47" t="s">
        <v>3434</v>
      </c>
      <c r="F1833" s="11" t="str">
        <f>IFERROR(VLOOKUP(VENTAS[[#This Row],[Código del producto Vendido]],STOCK[],5,FALSE),"-")</f>
        <v>Pullover naranja calabaza</v>
      </c>
      <c r="G1833" s="47">
        <v>1</v>
      </c>
      <c r="H1833" s="48">
        <v>12</v>
      </c>
      <c r="I1833" s="14">
        <f>VENTAS[[#This Row],[Cantidad]]*VENTAS[[#This Row],[Precio Venta]]</f>
        <v>12</v>
      </c>
      <c r="J1833" s="14">
        <f>IF(VENTAS[[#This Row],[Nombre del Gestor]]&gt;1,VENTAS[[#This Row],[Total]]*10%,0)</f>
        <v>1.2</v>
      </c>
      <c r="K1833" s="14">
        <f>IFERROR(VLOOKUP(VENTAS[[#This Row],[Código del producto Vendido]],STOCK[],16,FALSE)*VENTAS[[#This Row],[Cantidad]]+VLOOKUP(VENTAS[[#This Row],[Código del producto Vendido]],STOCK[],19,FALSE)*VENTAS[[#This Row],[Cantidad]],VENTAS[[#This Row],[Total]])</f>
        <v>0</v>
      </c>
      <c r="L1833" s="14">
        <f>VENTAS[[#This Row],[Total]]-VENTAS[[#This Row],[Comisión 10%]]-VENTAS[[#This Row],[Costo SIN Comision]]</f>
        <v>10.8</v>
      </c>
      <c r="M1833" s="48"/>
      <c r="N1833" s="49" t="s">
        <v>4700</v>
      </c>
    </row>
    <row r="1834" s="4" customFormat="1" ht="20" hidden="1" customHeight="1" spans="1:14">
      <c r="A1834" s="46">
        <v>45573</v>
      </c>
      <c r="B1834" s="47"/>
      <c r="C1834" s="47"/>
      <c r="D1834" s="47"/>
      <c r="E1834" s="47" t="s">
        <v>1835</v>
      </c>
      <c r="F1834" s="11" t="str">
        <f>IFERROR(VLOOKUP(VENTAS[[#This Row],[Código del producto Vendido]],STOCK[],5,FALSE),"-")</f>
        <v>Curvy Skinny Jeans</v>
      </c>
      <c r="G1834" s="47">
        <v>1</v>
      </c>
      <c r="H1834" s="48">
        <v>30</v>
      </c>
      <c r="I1834" s="14">
        <f>VENTAS[[#This Row],[Cantidad]]*VENTAS[[#This Row],[Precio Venta]]</f>
        <v>30</v>
      </c>
      <c r="J1834" s="14">
        <f>IF(VENTAS[[#This Row],[Nombre del Gestor]]&gt;1,VENTAS[[#This Row],[Total]]*10%,0)</f>
        <v>0</v>
      </c>
      <c r="K1834" s="14">
        <f>IFERROR(VLOOKUP(VENTAS[[#This Row],[Código del producto Vendido]],STOCK[],16,FALSE)*VENTAS[[#This Row],[Cantidad]]+VLOOKUP(VENTAS[[#This Row],[Código del producto Vendido]],STOCK[],19,FALSE)*VENTAS[[#This Row],[Cantidad]],VENTAS[[#This Row],[Total]])</f>
        <v>11.79</v>
      </c>
      <c r="L1834" s="14">
        <f>VENTAS[[#This Row],[Total]]-VENTAS[[#This Row],[Comisión 10%]]-VENTAS[[#This Row],[Costo SIN Comision]]</f>
        <v>18.21</v>
      </c>
      <c r="M1834" s="48"/>
      <c r="N1834" s="49" t="s">
        <v>4701</v>
      </c>
    </row>
    <row r="1835" s="4" customFormat="1" ht="20" hidden="1" customHeight="1" spans="1:14">
      <c r="A1835" s="46">
        <v>45573</v>
      </c>
      <c r="B1835" s="47"/>
      <c r="C1835" s="47"/>
      <c r="D1835" s="47" t="s">
        <v>4376</v>
      </c>
      <c r="E1835" s="47" t="s">
        <v>2993</v>
      </c>
      <c r="F1835" s="11" t="str">
        <f>IFERROR(VLOOKUP(VENTAS[[#This Row],[Código del producto Vendido]],STOCK[],5,FALSE),"-")</f>
        <v>Camiseta de moda con estampado de cereza</v>
      </c>
      <c r="G1835" s="47">
        <v>1</v>
      </c>
      <c r="H1835" s="48">
        <v>15</v>
      </c>
      <c r="I1835" s="14">
        <f>VENTAS[[#This Row],[Cantidad]]*VENTAS[[#This Row],[Precio Venta]]</f>
        <v>15</v>
      </c>
      <c r="J1835" s="14">
        <f>IF(VENTAS[[#This Row],[Nombre del Gestor]]&gt;1,VENTAS[[#This Row],[Total]]*10%,0)</f>
        <v>1.5</v>
      </c>
      <c r="K1835" s="14">
        <f>IFERROR(VLOOKUP(VENTAS[[#This Row],[Código del producto Vendido]],STOCK[],16,FALSE)*VENTAS[[#This Row],[Cantidad]]+VLOOKUP(VENTAS[[#This Row],[Código del producto Vendido]],STOCK[],19,FALSE)*VENTAS[[#This Row],[Cantidad]],VENTAS[[#This Row],[Total]])</f>
        <v>5.92</v>
      </c>
      <c r="L1835" s="14">
        <f>VENTAS[[#This Row],[Total]]-VENTAS[[#This Row],[Comisión 10%]]-VENTAS[[#This Row],[Costo SIN Comision]]</f>
        <v>7.58</v>
      </c>
      <c r="M1835" s="48"/>
      <c r="N1835" s="49" t="s">
        <v>4702</v>
      </c>
    </row>
    <row r="1836" s="4" customFormat="1" ht="20" hidden="1" customHeight="1" spans="1:14">
      <c r="A1836" s="46">
        <v>45574</v>
      </c>
      <c r="B1836" s="47"/>
      <c r="C1836" s="47"/>
      <c r="D1836" s="47" t="s">
        <v>4470</v>
      </c>
      <c r="E1836" s="47" t="s">
        <v>358</v>
      </c>
      <c r="F1836" s="11" t="str">
        <f>IFERROR(VLOOKUP(VENTAS[[#This Row],[Código del producto Vendido]],STOCK[],5,FALSE),"-")</f>
        <v>Vestido elegante de espalda corrida</v>
      </c>
      <c r="G1836" s="47">
        <v>1</v>
      </c>
      <c r="H1836" s="48">
        <v>25</v>
      </c>
      <c r="I1836" s="14">
        <f>VENTAS[[#This Row],[Cantidad]]*VENTAS[[#This Row],[Precio Venta]]</f>
        <v>25</v>
      </c>
      <c r="J1836" s="14">
        <f>IF(VENTAS[[#This Row],[Nombre del Gestor]]&gt;1,VENTAS[[#This Row],[Total]]*10%,0)</f>
        <v>2.5</v>
      </c>
      <c r="K1836" s="14">
        <f>IFERROR(VLOOKUP(VENTAS[[#This Row],[Código del producto Vendido]],STOCK[],16,FALSE)*VENTAS[[#This Row],[Cantidad]]+VLOOKUP(VENTAS[[#This Row],[Código del producto Vendido]],STOCK[],19,FALSE)*VENTAS[[#This Row],[Cantidad]],VENTAS[[#This Row],[Total]])</f>
        <v>14.1711111111111</v>
      </c>
      <c r="L1836" s="14">
        <f>VENTAS[[#This Row],[Total]]-VENTAS[[#This Row],[Comisión 10%]]-VENTAS[[#This Row],[Costo SIN Comision]]</f>
        <v>8.32888888888889</v>
      </c>
      <c r="M1836" s="48"/>
      <c r="N1836" s="49" t="s">
        <v>4703</v>
      </c>
    </row>
    <row r="1837" s="4" customFormat="1" ht="20" hidden="1" customHeight="1" spans="1:14">
      <c r="A1837" s="46">
        <v>45574</v>
      </c>
      <c r="B1837" s="47"/>
      <c r="C1837" s="47"/>
      <c r="D1837" s="47" t="s">
        <v>4581</v>
      </c>
      <c r="E1837" s="47" t="s">
        <v>2815</v>
      </c>
      <c r="F1837" s="11" t="str">
        <f>IFERROR(VLOOKUP(VENTAS[[#This Row],[Código del producto Vendido]],STOCK[],5,FALSE),"-")</f>
        <v>Bolso de ratán de Moda para vacaciones tamaño mediano con diseño de listas negras</v>
      </c>
      <c r="G1837" s="47">
        <v>2</v>
      </c>
      <c r="H1837" s="48">
        <v>22</v>
      </c>
      <c r="I1837" s="14">
        <f>VENTAS[[#This Row],[Cantidad]]*VENTAS[[#This Row],[Precio Venta]]</f>
        <v>44</v>
      </c>
      <c r="J1837" s="14">
        <f>IF(VENTAS[[#This Row],[Nombre del Gestor]]&gt;1,VENTAS[[#This Row],[Total]]*10%,0)</f>
        <v>4.4</v>
      </c>
      <c r="K1837" s="14">
        <f>IFERROR(VLOOKUP(VENTAS[[#This Row],[Código del producto Vendido]],STOCK[],16,FALSE)*VENTAS[[#This Row],[Cantidad]]+VLOOKUP(VENTAS[[#This Row],[Código del producto Vendido]],STOCK[],19,FALSE)*VENTAS[[#This Row],[Cantidad]],VENTAS[[#This Row],[Total]])</f>
        <v>24.34</v>
      </c>
      <c r="L1837" s="14">
        <f>VENTAS[[#This Row],[Total]]-VENTAS[[#This Row],[Comisión 10%]]-VENTAS[[#This Row],[Costo SIN Comision]]</f>
        <v>15.26</v>
      </c>
      <c r="M1837" s="48"/>
      <c r="N1837" s="49" t="s">
        <v>4704</v>
      </c>
    </row>
    <row r="1838" s="4" customFormat="1" ht="20" hidden="1" customHeight="1" spans="1:14">
      <c r="A1838" s="46">
        <v>45574</v>
      </c>
      <c r="B1838" s="47"/>
      <c r="C1838" s="47"/>
      <c r="D1838" s="47" t="s">
        <v>4365</v>
      </c>
      <c r="E1838" s="47" t="s">
        <v>2829</v>
      </c>
      <c r="F1838" s="11" t="str">
        <f>IFERROR(VLOOKUP(VENTAS[[#This Row],[Código del producto Vendido]],STOCK[],5,FALSE),"-")</f>
        <v>Bolso tejido redondo de gran capacidad Ojo Turco</v>
      </c>
      <c r="G1838" s="47">
        <v>1</v>
      </c>
      <c r="H1838" s="48">
        <v>25</v>
      </c>
      <c r="I1838" s="14">
        <f>VENTAS[[#This Row],[Cantidad]]*VENTAS[[#This Row],[Precio Venta]]</f>
        <v>25</v>
      </c>
      <c r="J1838" s="14">
        <f>IF(VENTAS[[#This Row],[Nombre del Gestor]]&gt;1,VENTAS[[#This Row],[Total]]*10%,0)</f>
        <v>2.5</v>
      </c>
      <c r="K1838" s="14">
        <f>IFERROR(VLOOKUP(VENTAS[[#This Row],[Código del producto Vendido]],STOCK[],16,FALSE)*VENTAS[[#This Row],[Cantidad]]+VLOOKUP(VENTAS[[#This Row],[Código del producto Vendido]],STOCK[],19,FALSE)*VENTAS[[#This Row],[Cantidad]],VENTAS[[#This Row],[Total]])</f>
        <v>13.03</v>
      </c>
      <c r="L1838" s="14">
        <f>VENTAS[[#This Row],[Total]]-VENTAS[[#This Row],[Comisión 10%]]-VENTAS[[#This Row],[Costo SIN Comision]]</f>
        <v>9.47</v>
      </c>
      <c r="M1838" s="48"/>
      <c r="N1838" s="49" t="s">
        <v>4705</v>
      </c>
    </row>
    <row r="1839" s="4" customFormat="1" ht="20" hidden="1" customHeight="1" spans="1:14">
      <c r="A1839" s="46">
        <v>45574</v>
      </c>
      <c r="B1839" s="47"/>
      <c r="C1839" s="47"/>
      <c r="D1839" s="47" t="s">
        <v>4272</v>
      </c>
      <c r="E1839" s="47" t="s">
        <v>2940</v>
      </c>
      <c r="F1839" s="11" t="str">
        <f>IFERROR(VLOOKUP(VENTAS[[#This Row],[Código del producto Vendido]],STOCK[],5,FALSE),"-")</f>
        <v>Vestido maxi sólido con espalda ajustable</v>
      </c>
      <c r="G1839" s="47">
        <v>1</v>
      </c>
      <c r="H1839" s="48">
        <v>25</v>
      </c>
      <c r="I1839" s="14">
        <f>VENTAS[[#This Row],[Cantidad]]*VENTAS[[#This Row],[Precio Venta]]</f>
        <v>25</v>
      </c>
      <c r="J1839" s="14">
        <f>IF(VENTAS[[#This Row],[Nombre del Gestor]]&gt;1,VENTAS[[#This Row],[Total]]*10%,0)</f>
        <v>2.5</v>
      </c>
      <c r="K1839" s="14">
        <f>IFERROR(VLOOKUP(VENTAS[[#This Row],[Código del producto Vendido]],STOCK[],16,FALSE)*VENTAS[[#This Row],[Cantidad]]+VLOOKUP(VENTAS[[#This Row],[Código del producto Vendido]],STOCK[],19,FALSE)*VENTAS[[#This Row],[Cantidad]],VENTAS[[#This Row],[Total]])</f>
        <v>10.79</v>
      </c>
      <c r="L1839" s="14">
        <f>VENTAS[[#This Row],[Total]]-VENTAS[[#This Row],[Comisión 10%]]-VENTAS[[#This Row],[Costo SIN Comision]]</f>
        <v>11.71</v>
      </c>
      <c r="M1839" s="48"/>
      <c r="N1839" s="49" t="s">
        <v>4706</v>
      </c>
    </row>
    <row r="1840" s="4" customFormat="1" ht="20" hidden="1" customHeight="1" spans="1:14">
      <c r="A1840" s="46">
        <v>45574</v>
      </c>
      <c r="B1840" s="47"/>
      <c r="C1840" s="47"/>
      <c r="D1840" s="47" t="s">
        <v>4463</v>
      </c>
      <c r="E1840" s="47" t="s">
        <v>2827</v>
      </c>
      <c r="F1840" s="11" t="str">
        <f>IFERROR(VLOOKUP(VENTAS[[#This Row],[Código del producto Vendido]],STOCK[],5,FALSE),"-")</f>
        <v>Bolso tejido redondo de gran capacidad Carmelita</v>
      </c>
      <c r="G1840" s="47">
        <v>1</v>
      </c>
      <c r="H1840" s="48">
        <v>25</v>
      </c>
      <c r="I1840" s="14">
        <f>VENTAS[[#This Row],[Cantidad]]*VENTAS[[#This Row],[Precio Venta]]</f>
        <v>25</v>
      </c>
      <c r="J1840" s="14">
        <f>IF(VENTAS[[#This Row],[Nombre del Gestor]]&gt;1,VENTAS[[#This Row],[Total]]*10%,0)</f>
        <v>2.5</v>
      </c>
      <c r="K1840" s="14">
        <f>IFERROR(VLOOKUP(VENTAS[[#This Row],[Código del producto Vendido]],STOCK[],16,FALSE)*VENTAS[[#This Row],[Cantidad]]+VLOOKUP(VENTAS[[#This Row],[Código del producto Vendido]],STOCK[],19,FALSE)*VENTAS[[#This Row],[Cantidad]],VENTAS[[#This Row],[Total]])</f>
        <v>13.31</v>
      </c>
      <c r="L1840" s="14">
        <f>VENTAS[[#This Row],[Total]]-VENTAS[[#This Row],[Comisión 10%]]-VENTAS[[#This Row],[Costo SIN Comision]]</f>
        <v>9.19</v>
      </c>
      <c r="M1840" s="48"/>
      <c r="N1840" s="49" t="s">
        <v>4707</v>
      </c>
    </row>
    <row r="1841" s="4" customFormat="1" ht="20" hidden="1" customHeight="1" spans="1:14">
      <c r="A1841" s="46">
        <v>45574</v>
      </c>
      <c r="B1841" s="47"/>
      <c r="C1841" s="47"/>
      <c r="D1841" s="47" t="s">
        <v>4300</v>
      </c>
      <c r="E1841" s="47" t="s">
        <v>2827</v>
      </c>
      <c r="F1841" s="11" t="str">
        <f>IFERROR(VLOOKUP(VENTAS[[#This Row],[Código del producto Vendido]],STOCK[],5,FALSE),"-")</f>
        <v>Bolso tejido redondo de gran capacidad Carmelita</v>
      </c>
      <c r="G1841" s="47">
        <v>1</v>
      </c>
      <c r="H1841" s="48">
        <v>25</v>
      </c>
      <c r="I1841" s="14">
        <f>VENTAS[[#This Row],[Cantidad]]*VENTAS[[#This Row],[Precio Venta]]</f>
        <v>25</v>
      </c>
      <c r="J1841" s="14">
        <f>IF(VENTAS[[#This Row],[Nombre del Gestor]]&gt;1,VENTAS[[#This Row],[Total]]*10%,0)</f>
        <v>2.5</v>
      </c>
      <c r="K1841" s="14">
        <f>IFERROR(VLOOKUP(VENTAS[[#This Row],[Código del producto Vendido]],STOCK[],16,FALSE)*VENTAS[[#This Row],[Cantidad]]+VLOOKUP(VENTAS[[#This Row],[Código del producto Vendido]],STOCK[],19,FALSE)*VENTAS[[#This Row],[Cantidad]],VENTAS[[#This Row],[Total]])</f>
        <v>13.31</v>
      </c>
      <c r="L1841" s="14">
        <f>VENTAS[[#This Row],[Total]]-VENTAS[[#This Row],[Comisión 10%]]-VENTAS[[#This Row],[Costo SIN Comision]]</f>
        <v>9.19</v>
      </c>
      <c r="M1841" s="48"/>
      <c r="N1841" s="49" t="s">
        <v>4708</v>
      </c>
    </row>
    <row r="1842" s="4" customFormat="1" ht="20" hidden="1" customHeight="1" spans="1:14">
      <c r="A1842" s="46">
        <v>45574</v>
      </c>
      <c r="B1842" s="47"/>
      <c r="C1842" s="47"/>
      <c r="D1842" s="47" t="s">
        <v>4270</v>
      </c>
      <c r="E1842" s="47" t="s">
        <v>2829</v>
      </c>
      <c r="F1842" s="11" t="str">
        <f>IFERROR(VLOOKUP(VENTAS[[#This Row],[Código del producto Vendido]],STOCK[],5,FALSE),"-")</f>
        <v>Bolso tejido redondo de gran capacidad Ojo Turco</v>
      </c>
      <c r="G1842" s="47">
        <v>1</v>
      </c>
      <c r="H1842" s="48">
        <v>25</v>
      </c>
      <c r="I1842" s="14">
        <f>VENTAS[[#This Row],[Cantidad]]*VENTAS[[#This Row],[Precio Venta]]</f>
        <v>25</v>
      </c>
      <c r="J1842" s="14">
        <f>IF(VENTAS[[#This Row],[Nombre del Gestor]]&gt;1,VENTAS[[#This Row],[Total]]*10%,0)</f>
        <v>2.5</v>
      </c>
      <c r="K1842" s="14">
        <f>IFERROR(VLOOKUP(VENTAS[[#This Row],[Código del producto Vendido]],STOCK[],16,FALSE)*VENTAS[[#This Row],[Cantidad]]+VLOOKUP(VENTAS[[#This Row],[Código del producto Vendido]],STOCK[],19,FALSE)*VENTAS[[#This Row],[Cantidad]],VENTAS[[#This Row],[Total]])</f>
        <v>13.03</v>
      </c>
      <c r="L1842" s="14">
        <f>VENTAS[[#This Row],[Total]]-VENTAS[[#This Row],[Comisión 10%]]-VENTAS[[#This Row],[Costo SIN Comision]]</f>
        <v>9.47</v>
      </c>
      <c r="M1842" s="48"/>
      <c r="N1842" s="49" t="s">
        <v>4709</v>
      </c>
    </row>
    <row r="1843" s="4" customFormat="1" ht="20" hidden="1" customHeight="1" spans="1:14">
      <c r="A1843" s="46">
        <v>45574</v>
      </c>
      <c r="B1843" s="47"/>
      <c r="C1843" s="47"/>
      <c r="D1843" s="47" t="s">
        <v>4290</v>
      </c>
      <c r="E1843" s="47" t="s">
        <v>2802</v>
      </c>
      <c r="F1843" s="11" t="str">
        <f>IFERROR(VLOOKUP(VENTAS[[#This Row],[Código del producto Vendido]],STOCK[],5,FALSE),"-")</f>
        <v>Sandalias espadriles de cuña de correas transparentes</v>
      </c>
      <c r="G1843" s="47">
        <v>1</v>
      </c>
      <c r="H1843" s="48">
        <v>40</v>
      </c>
      <c r="I1843" s="14">
        <f>VENTAS[[#This Row],[Cantidad]]*VENTAS[[#This Row],[Precio Venta]]</f>
        <v>40</v>
      </c>
      <c r="J1843" s="14">
        <f>IF(VENTAS[[#This Row],[Nombre del Gestor]]&gt;1,VENTAS[[#This Row],[Total]]*10%,0)</f>
        <v>4</v>
      </c>
      <c r="K1843" s="14">
        <f>IFERROR(VLOOKUP(VENTAS[[#This Row],[Código del producto Vendido]],STOCK[],16,FALSE)*VENTAS[[#This Row],[Cantidad]]+VLOOKUP(VENTAS[[#This Row],[Código del producto Vendido]],STOCK[],19,FALSE)*VENTAS[[#This Row],[Cantidad]],VENTAS[[#This Row],[Total]])</f>
        <v>11.4</v>
      </c>
      <c r="L1843" s="14">
        <f>VENTAS[[#This Row],[Total]]-VENTAS[[#This Row],[Comisión 10%]]-VENTAS[[#This Row],[Costo SIN Comision]]</f>
        <v>24.6</v>
      </c>
      <c r="M1843" s="48"/>
      <c r="N1843" s="49" t="s">
        <v>4710</v>
      </c>
    </row>
    <row r="1844" s="4" customFormat="1" ht="20" hidden="1" customHeight="1" spans="1:14">
      <c r="A1844" s="46">
        <v>45575</v>
      </c>
      <c r="B1844" s="47"/>
      <c r="C1844" s="47"/>
      <c r="D1844" s="47" t="s">
        <v>4365</v>
      </c>
      <c r="E1844" s="47" t="s">
        <v>3016</v>
      </c>
      <c r="F1844" s="11" t="str">
        <f>IFERROR(VLOOKUP(VENTAS[[#This Row],[Código del producto Vendido]],STOCK[],5,FALSE),"-")</f>
        <v>Mono Sailor amarillo quemado con cinturón</v>
      </c>
      <c r="G1844" s="47">
        <v>1</v>
      </c>
      <c r="H1844" s="48">
        <v>30</v>
      </c>
      <c r="I1844" s="14">
        <f>VENTAS[[#This Row],[Cantidad]]*VENTAS[[#This Row],[Precio Venta]]</f>
        <v>30</v>
      </c>
      <c r="J1844" s="14">
        <f>IF(VENTAS[[#This Row],[Nombre del Gestor]]&gt;1,VENTAS[[#This Row],[Total]]*10%,0)</f>
        <v>3</v>
      </c>
      <c r="K1844" s="14">
        <f>IFERROR(VLOOKUP(VENTAS[[#This Row],[Código del producto Vendido]],STOCK[],16,FALSE)*VENTAS[[#This Row],[Cantidad]]+VLOOKUP(VENTAS[[#This Row],[Código del producto Vendido]],STOCK[],19,FALSE)*VENTAS[[#This Row],[Cantidad]],VENTAS[[#This Row],[Total]])</f>
        <v>15.01</v>
      </c>
      <c r="L1844" s="14">
        <f>VENTAS[[#This Row],[Total]]-VENTAS[[#This Row],[Comisión 10%]]-VENTAS[[#This Row],[Costo SIN Comision]]</f>
        <v>11.99</v>
      </c>
      <c r="M1844" s="48"/>
      <c r="N1844" s="49" t="s">
        <v>4711</v>
      </c>
    </row>
    <row r="1845" s="4" customFormat="1" ht="20" hidden="1" customHeight="1" spans="1:14">
      <c r="A1845" s="46">
        <v>45575</v>
      </c>
      <c r="B1845" s="47"/>
      <c r="C1845" s="47"/>
      <c r="D1845" s="47" t="s">
        <v>4272</v>
      </c>
      <c r="E1845" s="47" t="s">
        <v>2993</v>
      </c>
      <c r="F1845" s="11" t="str">
        <f>IFERROR(VLOOKUP(VENTAS[[#This Row],[Código del producto Vendido]],STOCK[],5,FALSE),"-")</f>
        <v>Camiseta de moda con estampado de cereza</v>
      </c>
      <c r="G1845" s="47"/>
      <c r="H1845" s="48">
        <v>15</v>
      </c>
      <c r="I1845" s="14">
        <f>VENTAS[[#This Row],[Cantidad]]*VENTAS[[#This Row],[Precio Venta]]</f>
        <v>0</v>
      </c>
      <c r="J1845" s="14">
        <f>IF(VENTAS[[#This Row],[Nombre del Gestor]]&gt;1,VENTAS[[#This Row],[Total]]*10%,0)</f>
        <v>0</v>
      </c>
      <c r="K1845" s="14">
        <f>IFERROR(VLOOKUP(VENTAS[[#This Row],[Código del producto Vendido]],STOCK[],16,FALSE)*VENTAS[[#This Row],[Cantidad]]+VLOOKUP(VENTAS[[#This Row],[Código del producto Vendido]],STOCK[],19,FALSE)*VENTAS[[#This Row],[Cantidad]],VENTAS[[#This Row],[Total]])</f>
        <v>0</v>
      </c>
      <c r="L1845" s="14">
        <f>VENTAS[[#This Row],[Total]]-VENTAS[[#This Row],[Comisión 10%]]-VENTAS[[#This Row],[Costo SIN Comision]]</f>
        <v>0</v>
      </c>
      <c r="M1845" s="48"/>
      <c r="N1845" s="49" t="s">
        <v>4712</v>
      </c>
    </row>
    <row r="1846" s="4" customFormat="1" ht="20" hidden="1" customHeight="1" spans="1:14">
      <c r="A1846" s="46">
        <v>45575</v>
      </c>
      <c r="B1846" s="47"/>
      <c r="C1846" s="47"/>
      <c r="D1846" s="47" t="s">
        <v>4420</v>
      </c>
      <c r="E1846" s="47" t="s">
        <v>555</v>
      </c>
      <c r="F1846" s="11" t="str">
        <f>IFERROR(VLOOKUP(VENTAS[[#This Row],[Código del producto Vendido]],STOCK[],5,FALSE),"-")</f>
        <v>Sandalias plateadas con pedrería</v>
      </c>
      <c r="G1846" s="47">
        <v>0</v>
      </c>
      <c r="H1846" s="48">
        <v>25</v>
      </c>
      <c r="I1846" s="14">
        <f>VENTAS[[#This Row],[Cantidad]]*VENTAS[[#This Row],[Precio Venta]]</f>
        <v>0</v>
      </c>
      <c r="J1846" s="14">
        <f>IF(VENTAS[[#This Row],[Nombre del Gestor]]&gt;1,VENTAS[[#This Row],[Total]]*10%,0)</f>
        <v>0</v>
      </c>
      <c r="K1846" s="14">
        <f>IFERROR(VLOOKUP(VENTAS[[#This Row],[Código del producto Vendido]],STOCK[],16,FALSE)*VENTAS[[#This Row],[Cantidad]]+VLOOKUP(VENTAS[[#This Row],[Código del producto Vendido]],STOCK[],19,FALSE)*VENTAS[[#This Row],[Cantidad]],VENTAS[[#This Row],[Total]])</f>
        <v>0</v>
      </c>
      <c r="L1846" s="14">
        <f>VENTAS[[#This Row],[Total]]-VENTAS[[#This Row],[Comisión 10%]]-VENTAS[[#This Row],[Costo SIN Comision]]</f>
        <v>0</v>
      </c>
      <c r="M1846" s="48"/>
      <c r="N1846" s="49" t="s">
        <v>4713</v>
      </c>
    </row>
    <row r="1847" s="4" customFormat="1" ht="20" hidden="1" customHeight="1" spans="1:14">
      <c r="A1847" s="46">
        <v>45575</v>
      </c>
      <c r="B1847" s="47"/>
      <c r="C1847" s="47"/>
      <c r="D1847" s="47" t="s">
        <v>4420</v>
      </c>
      <c r="E1847" s="47" t="s">
        <v>3294</v>
      </c>
      <c r="F1847" s="11" t="str">
        <f>IFERROR(VLOOKUP(VENTAS[[#This Row],[Código del producto Vendido]],STOCK[],5,FALSE),"-")</f>
        <v>Conjunto disfraz de Monja</v>
      </c>
      <c r="G1847" s="47">
        <v>1</v>
      </c>
      <c r="H1847" s="48">
        <v>20</v>
      </c>
      <c r="I1847" s="14">
        <f>VENTAS[[#This Row],[Cantidad]]*VENTAS[[#This Row],[Precio Venta]]</f>
        <v>20</v>
      </c>
      <c r="J1847" s="14">
        <f>IF(VENTAS[[#This Row],[Nombre del Gestor]]&gt;1,VENTAS[[#This Row],[Total]]*10%,0)</f>
        <v>2</v>
      </c>
      <c r="K1847" s="14">
        <f>IFERROR(VLOOKUP(VENTAS[[#This Row],[Código del producto Vendido]],STOCK[],16,FALSE)*VENTAS[[#This Row],[Cantidad]]+VLOOKUP(VENTAS[[#This Row],[Código del producto Vendido]],STOCK[],19,FALSE)*VENTAS[[#This Row],[Cantidad]],VENTAS[[#This Row],[Total]])</f>
        <v>0</v>
      </c>
      <c r="L1847" s="14">
        <f>VENTAS[[#This Row],[Total]]-VENTAS[[#This Row],[Comisión 10%]]-VENTAS[[#This Row],[Costo SIN Comision]]</f>
        <v>18</v>
      </c>
      <c r="M1847" s="48"/>
      <c r="N1847" s="49" t="s">
        <v>4714</v>
      </c>
    </row>
    <row r="1848" s="4" customFormat="1" ht="20" hidden="1" customHeight="1" spans="1:14">
      <c r="A1848" s="46">
        <v>45576</v>
      </c>
      <c r="B1848" s="47"/>
      <c r="C1848" s="47"/>
      <c r="D1848" s="47" t="s">
        <v>4715</v>
      </c>
      <c r="E1848" s="47" t="s">
        <v>3312</v>
      </c>
      <c r="F1848" s="11" t="str">
        <f>IFERROR(VLOOKUP(VENTAS[[#This Row],[Código del producto Vendido]],STOCK[],5,FALSE),"-")</f>
        <v>Vestido blanco para conformar disfraz</v>
      </c>
      <c r="G1848" s="47">
        <v>1</v>
      </c>
      <c r="H1848" s="48">
        <v>15</v>
      </c>
      <c r="I1848" s="14">
        <f>VENTAS[[#This Row],[Cantidad]]*VENTAS[[#This Row],[Precio Venta]]</f>
        <v>15</v>
      </c>
      <c r="J1848" s="14">
        <f>IF(VENTAS[[#This Row],[Nombre del Gestor]]&gt;1,VENTAS[[#This Row],[Total]]*10%,0)</f>
        <v>1.5</v>
      </c>
      <c r="K1848" s="14">
        <f>IFERROR(VLOOKUP(VENTAS[[#This Row],[Código del producto Vendido]],STOCK[],16,FALSE)*VENTAS[[#This Row],[Cantidad]]+VLOOKUP(VENTAS[[#This Row],[Código del producto Vendido]],STOCK[],19,FALSE)*VENTAS[[#This Row],[Cantidad]],VENTAS[[#This Row],[Total]])</f>
        <v>0</v>
      </c>
      <c r="L1848" s="14">
        <f>VENTAS[[#This Row],[Total]]-VENTAS[[#This Row],[Comisión 10%]]-VENTAS[[#This Row],[Costo SIN Comision]]</f>
        <v>13.5</v>
      </c>
      <c r="M1848" s="48"/>
      <c r="N1848" s="49" t="s">
        <v>4716</v>
      </c>
    </row>
    <row r="1849" s="4" customFormat="1" ht="20" hidden="1" customHeight="1" spans="1:14">
      <c r="A1849" s="46">
        <v>45576</v>
      </c>
      <c r="B1849" s="47"/>
      <c r="C1849" s="47"/>
      <c r="D1849" s="47" t="s">
        <v>4717</v>
      </c>
      <c r="E1849" s="47" t="s">
        <v>3310</v>
      </c>
      <c r="F1849" s="11" t="str">
        <f>IFERROR(VLOOKUP(VENTAS[[#This Row],[Código del producto Vendido]],STOCK[],5,FALSE),"-")</f>
        <v>Vestido blanco para conformar disfraz</v>
      </c>
      <c r="G1849" s="47">
        <v>2</v>
      </c>
      <c r="H1849" s="48">
        <v>15</v>
      </c>
      <c r="I1849" s="14">
        <f>VENTAS[[#This Row],[Cantidad]]*VENTAS[[#This Row],[Precio Venta]]</f>
        <v>30</v>
      </c>
      <c r="J1849" s="14">
        <f>IF(VENTAS[[#This Row],[Nombre del Gestor]]&gt;1,VENTAS[[#This Row],[Total]]*10%,0)</f>
        <v>3</v>
      </c>
      <c r="K1849" s="14">
        <f>IFERROR(VLOOKUP(VENTAS[[#This Row],[Código del producto Vendido]],STOCK[],16,FALSE)*VENTAS[[#This Row],[Cantidad]]+VLOOKUP(VENTAS[[#This Row],[Código del producto Vendido]],STOCK[],19,FALSE)*VENTAS[[#This Row],[Cantidad]],VENTAS[[#This Row],[Total]])</f>
        <v>0</v>
      </c>
      <c r="L1849" s="14">
        <f>VENTAS[[#This Row],[Total]]-VENTAS[[#This Row],[Comisión 10%]]-VENTAS[[#This Row],[Costo SIN Comision]]</f>
        <v>27</v>
      </c>
      <c r="M1849" s="48"/>
      <c r="N1849" s="49" t="s">
        <v>4718</v>
      </c>
    </row>
    <row r="1850" s="4" customFormat="1" ht="20" hidden="1" customHeight="1" spans="1:14">
      <c r="A1850" s="46">
        <v>45576</v>
      </c>
      <c r="B1850" s="47"/>
      <c r="C1850" s="47"/>
      <c r="D1850" s="47" t="s">
        <v>4365</v>
      </c>
      <c r="E1850" s="47" t="s">
        <v>2848</v>
      </c>
      <c r="F1850" s="11" t="str">
        <f>IFERROR(VLOOKUP(VENTAS[[#This Row],[Código del producto Vendido]],STOCK[],5,FALSE),"-")</f>
        <v>Pantalones largros rayados de moda de gran comodidad</v>
      </c>
      <c r="G1850" s="47">
        <v>1</v>
      </c>
      <c r="H1850" s="48">
        <v>22</v>
      </c>
      <c r="I1850" s="14">
        <f>VENTAS[[#This Row],[Cantidad]]*VENTAS[[#This Row],[Precio Venta]]</f>
        <v>22</v>
      </c>
      <c r="J1850" s="14">
        <f>IF(VENTAS[[#This Row],[Nombre del Gestor]]&gt;1,VENTAS[[#This Row],[Total]]*10%,0)</f>
        <v>2.2</v>
      </c>
      <c r="K1850" s="14">
        <f>IFERROR(VLOOKUP(VENTAS[[#This Row],[Código del producto Vendido]],STOCK[],16,FALSE)*VENTAS[[#This Row],[Cantidad]]+VLOOKUP(VENTAS[[#This Row],[Código del producto Vendido]],STOCK[],19,FALSE)*VENTAS[[#This Row],[Cantidad]],VENTAS[[#This Row],[Total]])</f>
        <v>10.52</v>
      </c>
      <c r="L1850" s="14">
        <f>VENTAS[[#This Row],[Total]]-VENTAS[[#This Row],[Comisión 10%]]-VENTAS[[#This Row],[Costo SIN Comision]]</f>
        <v>9.28</v>
      </c>
      <c r="M1850" s="48"/>
      <c r="N1850" s="49" t="s">
        <v>4719</v>
      </c>
    </row>
    <row r="1851" s="4" customFormat="1" ht="20" hidden="1" customHeight="1" spans="1:14">
      <c r="A1851" s="46">
        <v>45576</v>
      </c>
      <c r="B1851" s="47"/>
      <c r="C1851" s="47"/>
      <c r="D1851" s="47" t="s">
        <v>4365</v>
      </c>
      <c r="E1851" s="47" t="s">
        <v>2514</v>
      </c>
      <c r="F1851" s="11" t="str">
        <f>IFERROR(VLOOKUP(VENTAS[[#This Row],[Código del producto Vendido]],STOCK[],5,FALSE),"-")</f>
        <v>Camisa elegante de listas</v>
      </c>
      <c r="G1851" s="47">
        <v>1</v>
      </c>
      <c r="H1851" s="48">
        <v>22</v>
      </c>
      <c r="I1851" s="14">
        <f>VENTAS[[#This Row],[Cantidad]]*VENTAS[[#This Row],[Precio Venta]]</f>
        <v>22</v>
      </c>
      <c r="J1851" s="14">
        <f>IF(VENTAS[[#This Row],[Nombre del Gestor]]&gt;1,VENTAS[[#This Row],[Total]]*10%,0)</f>
        <v>2.2</v>
      </c>
      <c r="K1851" s="14">
        <f>IFERROR(VLOOKUP(VENTAS[[#This Row],[Código del producto Vendido]],STOCK[],16,FALSE)*VENTAS[[#This Row],[Cantidad]]+VLOOKUP(VENTAS[[#This Row],[Código del producto Vendido]],STOCK[],19,FALSE)*VENTAS[[#This Row],[Cantidad]],VENTAS[[#This Row],[Total]])</f>
        <v>11.3</v>
      </c>
      <c r="L1851" s="14">
        <f>VENTAS[[#This Row],[Total]]-VENTAS[[#This Row],[Comisión 10%]]-VENTAS[[#This Row],[Costo SIN Comision]]</f>
        <v>8.5</v>
      </c>
      <c r="M1851" s="48"/>
      <c r="N1851" s="49" t="s">
        <v>4720</v>
      </c>
    </row>
    <row r="1852" s="4" customFormat="1" ht="20" hidden="1" customHeight="1" spans="1:14">
      <c r="A1852" s="46">
        <v>45576</v>
      </c>
      <c r="B1852" s="47"/>
      <c r="C1852" s="47"/>
      <c r="D1852" s="47" t="s">
        <v>4365</v>
      </c>
      <c r="E1852" s="47" t="s">
        <v>2021</v>
      </c>
      <c r="F1852" s="11" t="str">
        <f>IFERROR(VLOOKUP(VENTAS[[#This Row],[Código del producto Vendido]],STOCK[],5,FALSE),"-")</f>
        <v>Jogger afelpado de talle alto </v>
      </c>
      <c r="G1852" s="47">
        <v>1</v>
      </c>
      <c r="H1852" s="48">
        <v>22</v>
      </c>
      <c r="I1852" s="14">
        <f>VENTAS[[#This Row],[Cantidad]]*VENTAS[[#This Row],[Precio Venta]]</f>
        <v>22</v>
      </c>
      <c r="J1852" s="14">
        <f>IF(VENTAS[[#This Row],[Nombre del Gestor]]&gt;1,VENTAS[[#This Row],[Total]]*10%,0)</f>
        <v>2.2</v>
      </c>
      <c r="K1852" s="14">
        <f>IFERROR(VLOOKUP(VENTAS[[#This Row],[Código del producto Vendido]],STOCK[],16,FALSE)*VENTAS[[#This Row],[Cantidad]]+VLOOKUP(VENTAS[[#This Row],[Código del producto Vendido]],STOCK[],19,FALSE)*VENTAS[[#This Row],[Cantidad]],VENTAS[[#This Row],[Total]])</f>
        <v>0</v>
      </c>
      <c r="L1852" s="14">
        <f>VENTAS[[#This Row],[Total]]-VENTAS[[#This Row],[Comisión 10%]]-VENTAS[[#This Row],[Costo SIN Comision]]</f>
        <v>19.8</v>
      </c>
      <c r="M1852" s="48"/>
      <c r="N1852" s="49" t="s">
        <v>4721</v>
      </c>
    </row>
    <row r="1853" s="4" customFormat="1" ht="20" hidden="1" customHeight="1" spans="1:14">
      <c r="A1853" s="46">
        <v>45576</v>
      </c>
      <c r="B1853" s="47"/>
      <c r="C1853" s="47"/>
      <c r="D1853" s="47" t="s">
        <v>4722</v>
      </c>
      <c r="E1853" s="47" t="s">
        <v>3461</v>
      </c>
      <c r="F1853" s="11" t="str">
        <f>IFERROR(VLOOKUP(VENTAS[[#This Row],[Código del producto Vendido]],STOCK[],5,FALSE),"-")</f>
        <v>Diadema rosas blancas</v>
      </c>
      <c r="G1853" s="47">
        <v>1</v>
      </c>
      <c r="H1853" s="48">
        <v>5</v>
      </c>
      <c r="I1853" s="14">
        <f>VENTAS[[#This Row],[Cantidad]]*VENTAS[[#This Row],[Precio Venta]]</f>
        <v>5</v>
      </c>
      <c r="J1853" s="14">
        <f>IF(VENTAS[[#This Row],[Nombre del Gestor]]&gt;1,VENTAS[[#This Row],[Total]]*10%,0)</f>
        <v>0.5</v>
      </c>
      <c r="K1853" s="14">
        <f>IFERROR(VLOOKUP(VENTAS[[#This Row],[Código del producto Vendido]],STOCK[],16,FALSE)*VENTAS[[#This Row],[Cantidad]]+VLOOKUP(VENTAS[[#This Row],[Código del producto Vendido]],STOCK[],19,FALSE)*VENTAS[[#This Row],[Cantidad]],VENTAS[[#This Row],[Total]])</f>
        <v>0</v>
      </c>
      <c r="L1853" s="14">
        <f>VENTAS[[#This Row],[Total]]-VENTAS[[#This Row],[Comisión 10%]]-VENTAS[[#This Row],[Costo SIN Comision]]</f>
        <v>4.5</v>
      </c>
      <c r="M1853" s="48"/>
      <c r="N1853" s="49" t="s">
        <v>4723</v>
      </c>
    </row>
    <row r="1854" s="4" customFormat="1" ht="20" hidden="1" customHeight="1" spans="1:14">
      <c r="A1854" s="46">
        <v>45576</v>
      </c>
      <c r="B1854" s="47"/>
      <c r="C1854" s="47"/>
      <c r="D1854" s="47" t="s">
        <v>4722</v>
      </c>
      <c r="E1854" s="47" t="s">
        <v>3413</v>
      </c>
      <c r="F1854" s="11" t="str">
        <f>IFERROR(VLOOKUP(VENTAS[[#This Row],[Código del producto Vendido]],STOCK[],5,FALSE),"-")</f>
        <v>Tatuajes faciales de catrina</v>
      </c>
      <c r="G1854" s="47">
        <v>4</v>
      </c>
      <c r="H1854" s="48">
        <v>2</v>
      </c>
      <c r="I1854" s="14">
        <f>VENTAS[[#This Row],[Cantidad]]*VENTAS[[#This Row],[Precio Venta]]</f>
        <v>8</v>
      </c>
      <c r="J1854" s="14">
        <f>IF(VENTAS[[#This Row],[Nombre del Gestor]]&gt;1,VENTAS[[#This Row],[Total]]*10%,0)</f>
        <v>0.8</v>
      </c>
      <c r="K1854" s="14">
        <f>IFERROR(VLOOKUP(VENTAS[[#This Row],[Código del producto Vendido]],STOCK[],16,FALSE)*VENTAS[[#This Row],[Cantidad]]+VLOOKUP(VENTAS[[#This Row],[Código del producto Vendido]],STOCK[],19,FALSE)*VENTAS[[#This Row],[Cantidad]],VENTAS[[#This Row],[Total]])</f>
        <v>0</v>
      </c>
      <c r="L1854" s="14">
        <f>VENTAS[[#This Row],[Total]]-VENTAS[[#This Row],[Comisión 10%]]-VENTAS[[#This Row],[Costo SIN Comision]]</f>
        <v>7.2</v>
      </c>
      <c r="M1854" s="48"/>
      <c r="N1854" s="49" t="s">
        <v>4724</v>
      </c>
    </row>
    <row r="1855" s="4" customFormat="1" ht="20" hidden="1" customHeight="1" spans="1:14">
      <c r="A1855" s="46">
        <v>45576</v>
      </c>
      <c r="B1855" s="47"/>
      <c r="C1855" s="47"/>
      <c r="D1855" s="47" t="s">
        <v>4722</v>
      </c>
      <c r="E1855" s="47" t="s">
        <v>3298</v>
      </c>
      <c r="F1855" s="11" t="str">
        <f>IFERROR(VLOOKUP(VENTAS[[#This Row],[Código del producto Vendido]],STOCK[],5,FALSE),"-")</f>
        <v>Gorro invisible para colocación de pelucas</v>
      </c>
      <c r="G1855" s="47">
        <v>2</v>
      </c>
      <c r="H1855" s="48">
        <v>3</v>
      </c>
      <c r="I1855" s="14">
        <f>VENTAS[[#This Row],[Cantidad]]*VENTAS[[#This Row],[Precio Venta]]</f>
        <v>6</v>
      </c>
      <c r="J1855" s="14">
        <f>IF(VENTAS[[#This Row],[Nombre del Gestor]]&gt;1,VENTAS[[#This Row],[Total]]*10%,0)</f>
        <v>0.6</v>
      </c>
      <c r="K1855" s="14">
        <f>IFERROR(VLOOKUP(VENTAS[[#This Row],[Código del producto Vendido]],STOCK[],16,FALSE)*VENTAS[[#This Row],[Cantidad]]+VLOOKUP(VENTAS[[#This Row],[Código del producto Vendido]],STOCK[],19,FALSE)*VENTAS[[#This Row],[Cantidad]],VENTAS[[#This Row],[Total]])</f>
        <v>0</v>
      </c>
      <c r="L1855" s="14">
        <f>VENTAS[[#This Row],[Total]]-VENTAS[[#This Row],[Comisión 10%]]-VENTAS[[#This Row],[Costo SIN Comision]]</f>
        <v>5.4</v>
      </c>
      <c r="M1855" s="48"/>
      <c r="N1855" s="49" t="s">
        <v>4725</v>
      </c>
    </row>
    <row r="1856" s="4" customFormat="1" ht="20" hidden="1" customHeight="1" spans="1:14">
      <c r="A1856" s="46">
        <v>45576</v>
      </c>
      <c r="B1856" s="47"/>
      <c r="C1856" s="47"/>
      <c r="D1856" s="47" t="s">
        <v>4722</v>
      </c>
      <c r="E1856" s="47" t="s">
        <v>3413</v>
      </c>
      <c r="F1856" s="11" t="str">
        <f>IFERROR(VLOOKUP(VENTAS[[#This Row],[Código del producto Vendido]],STOCK[],5,FALSE),"-")</f>
        <v>Tatuajes faciales de catrina</v>
      </c>
      <c r="G1856" s="47">
        <v>1</v>
      </c>
      <c r="H1856" s="48">
        <v>2</v>
      </c>
      <c r="I1856" s="14">
        <f>VENTAS[[#This Row],[Cantidad]]*VENTAS[[#This Row],[Precio Venta]]</f>
        <v>2</v>
      </c>
      <c r="J1856" s="14">
        <f>IF(VENTAS[[#This Row],[Nombre del Gestor]]&gt;1,VENTAS[[#This Row],[Total]]*10%,0)</f>
        <v>0.2</v>
      </c>
      <c r="K1856" s="14">
        <f>IFERROR(VLOOKUP(VENTAS[[#This Row],[Código del producto Vendido]],STOCK[],16,FALSE)*VENTAS[[#This Row],[Cantidad]]+VLOOKUP(VENTAS[[#This Row],[Código del producto Vendido]],STOCK[],19,FALSE)*VENTAS[[#This Row],[Cantidad]],VENTAS[[#This Row],[Total]])</f>
        <v>0</v>
      </c>
      <c r="L1856" s="14">
        <f>VENTAS[[#This Row],[Total]]-VENTAS[[#This Row],[Comisión 10%]]-VENTAS[[#This Row],[Costo SIN Comision]]</f>
        <v>1.8</v>
      </c>
      <c r="M1856" s="48"/>
      <c r="N1856" s="49" t="s">
        <v>4726</v>
      </c>
    </row>
    <row r="1857" s="4" customFormat="1" ht="20" hidden="1" customHeight="1" spans="1:14">
      <c r="A1857" s="46">
        <v>45576</v>
      </c>
      <c r="B1857" s="47"/>
      <c r="C1857" s="47"/>
      <c r="D1857" s="47" t="s">
        <v>4463</v>
      </c>
      <c r="E1857" s="47" t="s">
        <v>3359</v>
      </c>
      <c r="F1857" s="11" t="str">
        <f>IFERROR(VLOOKUP(VENTAS[[#This Row],[Código del producto Vendido]],STOCK[],5,FALSE),"-")</f>
        <v>Máscara completa de payaso del terror con mini sombrero integrado</v>
      </c>
      <c r="G1857" s="47">
        <v>1</v>
      </c>
      <c r="H1857" s="48">
        <v>20</v>
      </c>
      <c r="I1857" s="14">
        <f>VENTAS[[#This Row],[Cantidad]]*VENTAS[[#This Row],[Precio Venta]]</f>
        <v>20</v>
      </c>
      <c r="J1857" s="14">
        <f>IF(VENTAS[[#This Row],[Nombre del Gestor]]&gt;1,VENTAS[[#This Row],[Total]]*10%,0)</f>
        <v>2</v>
      </c>
      <c r="K1857" s="14">
        <f>IFERROR(VLOOKUP(VENTAS[[#This Row],[Código del producto Vendido]],STOCK[],16,FALSE)*VENTAS[[#This Row],[Cantidad]]+VLOOKUP(VENTAS[[#This Row],[Código del producto Vendido]],STOCK[],19,FALSE)*VENTAS[[#This Row],[Cantidad]],VENTAS[[#This Row],[Total]])</f>
        <v>0</v>
      </c>
      <c r="L1857" s="14">
        <f>VENTAS[[#This Row],[Total]]-VENTAS[[#This Row],[Comisión 10%]]-VENTAS[[#This Row],[Costo SIN Comision]]</f>
        <v>18</v>
      </c>
      <c r="M1857" s="48"/>
      <c r="N1857" s="49" t="s">
        <v>4727</v>
      </c>
    </row>
    <row r="1858" s="4" customFormat="1" ht="20" hidden="1" customHeight="1" spans="1:14">
      <c r="A1858" s="46">
        <v>45576</v>
      </c>
      <c r="B1858" s="47"/>
      <c r="C1858" s="47"/>
      <c r="D1858" s="47" t="s">
        <v>4463</v>
      </c>
      <c r="E1858" s="47" t="s">
        <v>2837</v>
      </c>
      <c r="F1858" s="11" t="str">
        <f>IFERROR(VLOOKUP(VENTAS[[#This Row],[Código del producto Vendido]],STOCK[],5,FALSE),"-")</f>
        <v>Vestido elegante de crochet de de cuello profundo y espalda cruzada</v>
      </c>
      <c r="G1858" s="47">
        <v>1</v>
      </c>
      <c r="H1858" s="48">
        <v>30</v>
      </c>
      <c r="I1858" s="14">
        <f>VENTAS[[#This Row],[Cantidad]]*VENTAS[[#This Row],[Precio Venta]]</f>
        <v>30</v>
      </c>
      <c r="J1858" s="14">
        <f>IF(VENTAS[[#This Row],[Nombre del Gestor]]&gt;1,VENTAS[[#This Row],[Total]]*10%,0)</f>
        <v>3</v>
      </c>
      <c r="K1858" s="14">
        <f>IFERROR(VLOOKUP(VENTAS[[#This Row],[Código del producto Vendido]],STOCK[],16,FALSE)*VENTAS[[#This Row],[Cantidad]]+VLOOKUP(VENTAS[[#This Row],[Código del producto Vendido]],STOCK[],19,FALSE)*VENTAS[[#This Row],[Cantidad]],VENTAS[[#This Row],[Total]])</f>
        <v>13.5</v>
      </c>
      <c r="L1858" s="14">
        <f>VENTAS[[#This Row],[Total]]-VENTAS[[#This Row],[Comisión 10%]]-VENTAS[[#This Row],[Costo SIN Comision]]</f>
        <v>13.5</v>
      </c>
      <c r="M1858" s="48"/>
      <c r="N1858" s="49" t="s">
        <v>4728</v>
      </c>
    </row>
    <row r="1859" s="4" customFormat="1" ht="20" hidden="1" customHeight="1" spans="1:14">
      <c r="A1859" s="46">
        <v>45576</v>
      </c>
      <c r="B1859" s="47"/>
      <c r="C1859" s="47"/>
      <c r="D1859" s="47" t="s">
        <v>4270</v>
      </c>
      <c r="E1859" s="47" t="s">
        <v>2863</v>
      </c>
      <c r="F1859" s="11" t="str">
        <f>IFERROR(VLOOKUP(VENTAS[[#This Row],[Código del producto Vendido]],STOCK[],5,FALSE),"-")</f>
        <v>Vestido de espalda descubierta de color sólido y tirantes de espagueti</v>
      </c>
      <c r="G1859" s="47">
        <v>1</v>
      </c>
      <c r="H1859" s="48">
        <v>25</v>
      </c>
      <c r="I1859" s="14">
        <f>VENTAS[[#This Row],[Cantidad]]*VENTAS[[#This Row],[Precio Venta]]</f>
        <v>25</v>
      </c>
      <c r="J1859" s="14">
        <f>IF(VENTAS[[#This Row],[Nombre del Gestor]]&gt;1,VENTAS[[#This Row],[Total]]*10%,0)</f>
        <v>2.5</v>
      </c>
      <c r="K1859" s="14">
        <f>IFERROR(VLOOKUP(VENTAS[[#This Row],[Código del producto Vendido]],STOCK[],16,FALSE)*VENTAS[[#This Row],[Cantidad]]+VLOOKUP(VENTAS[[#This Row],[Código del producto Vendido]],STOCK[],19,FALSE)*VENTAS[[#This Row],[Cantidad]],VENTAS[[#This Row],[Total]])</f>
        <v>11.98</v>
      </c>
      <c r="L1859" s="14">
        <f>VENTAS[[#This Row],[Total]]-VENTAS[[#This Row],[Comisión 10%]]-VENTAS[[#This Row],[Costo SIN Comision]]</f>
        <v>10.52</v>
      </c>
      <c r="M1859" s="48"/>
      <c r="N1859" s="49" t="s">
        <v>4729</v>
      </c>
    </row>
    <row r="1860" s="4" customFormat="1" ht="20" hidden="1" customHeight="1" spans="1:14">
      <c r="A1860" s="46">
        <v>45576</v>
      </c>
      <c r="B1860" s="47"/>
      <c r="C1860" s="47"/>
      <c r="D1860" s="47" t="s">
        <v>4270</v>
      </c>
      <c r="E1860" s="47" t="s">
        <v>2856</v>
      </c>
      <c r="F1860" s="11" t="str">
        <f>IFERROR(VLOOKUP(VENTAS[[#This Row],[Código del producto Vendido]],STOCK[],5,FALSE),"-")</f>
        <v>Blusa de manga abombada de lazo delantero de estampado de leopardo</v>
      </c>
      <c r="G1860" s="47">
        <v>1</v>
      </c>
      <c r="H1860" s="48">
        <v>18</v>
      </c>
      <c r="I1860" s="14">
        <f>VENTAS[[#This Row],[Cantidad]]*VENTAS[[#This Row],[Precio Venta]]</f>
        <v>18</v>
      </c>
      <c r="J1860" s="14">
        <f>IF(VENTAS[[#This Row],[Nombre del Gestor]]&gt;1,VENTAS[[#This Row],[Total]]*10%,0)</f>
        <v>1.8</v>
      </c>
      <c r="K1860" s="14">
        <f>IFERROR(VLOOKUP(VENTAS[[#This Row],[Código del producto Vendido]],STOCK[],16,FALSE)*VENTAS[[#This Row],[Cantidad]]+VLOOKUP(VENTAS[[#This Row],[Código del producto Vendido]],STOCK[],19,FALSE)*VENTAS[[#This Row],[Cantidad]],VENTAS[[#This Row],[Total]])</f>
        <v>9.23</v>
      </c>
      <c r="L1860" s="14">
        <f>VENTAS[[#This Row],[Total]]-VENTAS[[#This Row],[Comisión 10%]]-VENTAS[[#This Row],[Costo SIN Comision]]</f>
        <v>6.97</v>
      </c>
      <c r="M1860" s="48"/>
      <c r="N1860" s="49" t="s">
        <v>4730</v>
      </c>
    </row>
    <row r="1861" s="4" customFormat="1" ht="20" hidden="1" customHeight="1" spans="1:14">
      <c r="A1861" s="46">
        <v>45576</v>
      </c>
      <c r="B1861" s="47"/>
      <c r="C1861" s="47"/>
      <c r="D1861" s="47" t="s">
        <v>4266</v>
      </c>
      <c r="E1861" s="47" t="s">
        <v>1407</v>
      </c>
      <c r="F1861" s="11" t="str">
        <f>IFERROR(VLOOKUP(VENTAS[[#This Row],[Código del producto Vendido]],STOCK[],5,FALSE),"-")</f>
        <v>Top bustier corsetero</v>
      </c>
      <c r="G1861" s="47">
        <v>1</v>
      </c>
      <c r="H1861" s="48">
        <v>10</v>
      </c>
      <c r="I1861" s="14">
        <f>VENTAS[[#This Row],[Cantidad]]*VENTAS[[#This Row],[Precio Venta]]</f>
        <v>10</v>
      </c>
      <c r="J1861" s="14">
        <f>IF(VENTAS[[#This Row],[Nombre del Gestor]]&gt;1,VENTAS[[#This Row],[Total]]*10%,0)</f>
        <v>1</v>
      </c>
      <c r="K1861" s="14">
        <f>IFERROR(VLOOKUP(VENTAS[[#This Row],[Código del producto Vendido]],STOCK[],16,FALSE)*VENTAS[[#This Row],[Cantidad]]+VLOOKUP(VENTAS[[#This Row],[Código del producto Vendido]],STOCK[],19,FALSE)*VENTAS[[#This Row],[Cantidad]],VENTAS[[#This Row],[Total]])</f>
        <v>5.5</v>
      </c>
      <c r="L1861" s="14">
        <f>VENTAS[[#This Row],[Total]]-VENTAS[[#This Row],[Comisión 10%]]-VENTAS[[#This Row],[Costo SIN Comision]]</f>
        <v>3.5</v>
      </c>
      <c r="M1861" s="48"/>
      <c r="N1861" s="49" t="s">
        <v>4731</v>
      </c>
    </row>
    <row r="1862" s="4" customFormat="1" ht="20" hidden="1" customHeight="1" spans="1:14">
      <c r="A1862" s="46">
        <v>45576</v>
      </c>
      <c r="B1862" s="47"/>
      <c r="C1862" s="47"/>
      <c r="D1862" s="47"/>
      <c r="E1862" s="47" t="s">
        <v>3306</v>
      </c>
      <c r="F1862" s="11" t="str">
        <f>IFERROR(VLOOKUP(VENTAS[[#This Row],[Código del producto Vendido]],STOCK[],5,FALSE),"-")</f>
        <v>Máscara de El Grito</v>
      </c>
      <c r="G1862" s="47">
        <v>1</v>
      </c>
      <c r="H1862" s="48">
        <v>10</v>
      </c>
      <c r="I1862" s="14">
        <f>VENTAS[[#This Row],[Cantidad]]*VENTAS[[#This Row],[Precio Venta]]</f>
        <v>10</v>
      </c>
      <c r="J1862" s="14">
        <f>IF(VENTAS[[#This Row],[Nombre del Gestor]]&gt;1,VENTAS[[#This Row],[Total]]*10%,0)</f>
        <v>0</v>
      </c>
      <c r="K1862" s="14">
        <f>IFERROR(VLOOKUP(VENTAS[[#This Row],[Código del producto Vendido]],STOCK[],16,FALSE)*VENTAS[[#This Row],[Cantidad]]+VLOOKUP(VENTAS[[#This Row],[Código del producto Vendido]],STOCK[],19,FALSE)*VENTAS[[#This Row],[Cantidad]],VENTAS[[#This Row],[Total]])</f>
        <v>0</v>
      </c>
      <c r="L1862" s="14">
        <f>VENTAS[[#This Row],[Total]]-VENTAS[[#This Row],[Comisión 10%]]-VENTAS[[#This Row],[Costo SIN Comision]]</f>
        <v>10</v>
      </c>
      <c r="M1862" s="48"/>
      <c r="N1862" s="49" t="s">
        <v>4732</v>
      </c>
    </row>
    <row r="1863" s="4" customFormat="1" ht="20" hidden="1" customHeight="1" spans="1:14">
      <c r="A1863" s="46">
        <v>45577</v>
      </c>
      <c r="B1863" s="47"/>
      <c r="C1863" s="47"/>
      <c r="D1863" s="47" t="s">
        <v>4272</v>
      </c>
      <c r="E1863" s="47" t="s">
        <v>2929</v>
      </c>
      <c r="F1863" s="11" t="str">
        <f>IFERROR(VLOOKUP(VENTAS[[#This Row],[Código del producto Vendido]],STOCK[],5,FALSE),"-")</f>
        <v>Jeans de talle alto y pierna ancha color azul claro</v>
      </c>
      <c r="G1863" s="47">
        <v>1</v>
      </c>
      <c r="H1863" s="48">
        <v>30</v>
      </c>
      <c r="I1863" s="14">
        <f>VENTAS[[#This Row],[Cantidad]]*VENTAS[[#This Row],[Precio Venta]]</f>
        <v>30</v>
      </c>
      <c r="J1863" s="14">
        <f>IF(VENTAS[[#This Row],[Nombre del Gestor]]&gt;1,VENTAS[[#This Row],[Total]]*10%,0)</f>
        <v>3</v>
      </c>
      <c r="K1863" s="14">
        <f>IFERROR(VLOOKUP(VENTAS[[#This Row],[Código del producto Vendido]],STOCK[],16,FALSE)*VENTAS[[#This Row],[Cantidad]]+VLOOKUP(VENTAS[[#This Row],[Código del producto Vendido]],STOCK[],19,FALSE)*VENTAS[[#This Row],[Cantidad]],VENTAS[[#This Row],[Total]])</f>
        <v>12.46</v>
      </c>
      <c r="L1863" s="14">
        <f>VENTAS[[#This Row],[Total]]-VENTAS[[#This Row],[Comisión 10%]]-VENTAS[[#This Row],[Costo SIN Comision]]</f>
        <v>14.54</v>
      </c>
      <c r="M1863" s="48"/>
      <c r="N1863" s="49" t="s">
        <v>4733</v>
      </c>
    </row>
    <row r="1864" s="4" customFormat="1" ht="20" hidden="1" customHeight="1" spans="1:14">
      <c r="A1864" s="46">
        <v>45577</v>
      </c>
      <c r="B1864" s="47"/>
      <c r="C1864" s="47"/>
      <c r="D1864" s="47" t="s">
        <v>4241</v>
      </c>
      <c r="E1864" s="47" t="s">
        <v>2778</v>
      </c>
      <c r="F1864" s="11" t="str">
        <f>IFERROR(VLOOKUP(VENTAS[[#This Row],[Código del producto Vendido]],STOCK[],5,FALSE),"-")</f>
        <v>Sandalias espadriles de saco nude atada al tobillo</v>
      </c>
      <c r="G1864" s="47">
        <v>1</v>
      </c>
      <c r="H1864" s="48">
        <v>35</v>
      </c>
      <c r="I1864" s="14">
        <f>VENTAS[[#This Row],[Cantidad]]*VENTAS[[#This Row],[Precio Venta]]</f>
        <v>35</v>
      </c>
      <c r="J1864" s="14">
        <f>IF(VENTAS[[#This Row],[Nombre del Gestor]]&gt;1,VENTAS[[#This Row],[Total]]*10%,0)</f>
        <v>3.5</v>
      </c>
      <c r="K1864" s="14">
        <f>IFERROR(VLOOKUP(VENTAS[[#This Row],[Código del producto Vendido]],STOCK[],16,FALSE)*VENTAS[[#This Row],[Cantidad]]+VLOOKUP(VENTAS[[#This Row],[Código del producto Vendido]],STOCK[],19,FALSE)*VENTAS[[#This Row],[Cantidad]],VENTAS[[#This Row],[Total]])</f>
        <v>12.15</v>
      </c>
      <c r="L1864" s="14">
        <f>VENTAS[[#This Row],[Total]]-VENTAS[[#This Row],[Comisión 10%]]-VENTAS[[#This Row],[Costo SIN Comision]]</f>
        <v>19.35</v>
      </c>
      <c r="M1864" s="48"/>
      <c r="N1864" s="49" t="s">
        <v>4734</v>
      </c>
    </row>
    <row r="1865" s="4" customFormat="1" ht="20" hidden="1" customHeight="1" spans="1:14">
      <c r="A1865" s="46">
        <v>45577</v>
      </c>
      <c r="B1865" s="47"/>
      <c r="C1865" s="47"/>
      <c r="D1865" s="47" t="s">
        <v>4735</v>
      </c>
      <c r="E1865" s="47" t="s">
        <v>2825</v>
      </c>
      <c r="F1865" s="11" t="str">
        <f>IFERROR(VLOOKUP(VENTAS[[#This Row],[Código del producto Vendido]],STOCK[],5,FALSE),"-")</f>
        <v>Bolso tejido redondo de gran capacidad Beis</v>
      </c>
      <c r="G1865" s="47">
        <v>1</v>
      </c>
      <c r="H1865" s="48">
        <v>25</v>
      </c>
      <c r="I1865" s="14">
        <f>VENTAS[[#This Row],[Cantidad]]*VENTAS[[#This Row],[Precio Venta]]</f>
        <v>25</v>
      </c>
      <c r="J1865" s="14">
        <f>IF(VENTAS[[#This Row],[Nombre del Gestor]]&gt;1,VENTAS[[#This Row],[Total]]*10%,0)</f>
        <v>2.5</v>
      </c>
      <c r="K1865" s="14">
        <f>IFERROR(VLOOKUP(VENTAS[[#This Row],[Código del producto Vendido]],STOCK[],16,FALSE)*VENTAS[[#This Row],[Cantidad]]+VLOOKUP(VENTAS[[#This Row],[Código del producto Vendido]],STOCK[],19,FALSE)*VENTAS[[#This Row],[Cantidad]],VENTAS[[#This Row],[Total]])</f>
        <v>12.74</v>
      </c>
      <c r="L1865" s="14">
        <f>VENTAS[[#This Row],[Total]]-VENTAS[[#This Row],[Comisión 10%]]-VENTAS[[#This Row],[Costo SIN Comision]]</f>
        <v>9.76</v>
      </c>
      <c r="M1865" s="48"/>
      <c r="N1865" s="49" t="s">
        <v>4736</v>
      </c>
    </row>
    <row r="1866" s="4" customFormat="1" ht="20" hidden="1" customHeight="1" spans="1:14">
      <c r="A1866" s="46">
        <v>45577</v>
      </c>
      <c r="B1866" s="47"/>
      <c r="C1866" s="47"/>
      <c r="D1866" s="47" t="s">
        <v>4581</v>
      </c>
      <c r="E1866" s="47" t="s">
        <v>2825</v>
      </c>
      <c r="F1866" s="11" t="str">
        <f>IFERROR(VLOOKUP(VENTAS[[#This Row],[Código del producto Vendido]],STOCK[],5,FALSE),"-")</f>
        <v>Bolso tejido redondo de gran capacidad Beis</v>
      </c>
      <c r="G1866" s="47">
        <v>1</v>
      </c>
      <c r="H1866" s="48">
        <v>25</v>
      </c>
      <c r="I1866" s="14">
        <f>VENTAS[[#This Row],[Cantidad]]*VENTAS[[#This Row],[Precio Venta]]</f>
        <v>25</v>
      </c>
      <c r="J1866" s="14">
        <f>IF(VENTAS[[#This Row],[Nombre del Gestor]]&gt;1,VENTAS[[#This Row],[Total]]*10%,0)</f>
        <v>2.5</v>
      </c>
      <c r="K1866" s="14">
        <f>IFERROR(VLOOKUP(VENTAS[[#This Row],[Código del producto Vendido]],STOCK[],16,FALSE)*VENTAS[[#This Row],[Cantidad]]+VLOOKUP(VENTAS[[#This Row],[Código del producto Vendido]],STOCK[],19,FALSE)*VENTAS[[#This Row],[Cantidad]],VENTAS[[#This Row],[Total]])</f>
        <v>12.74</v>
      </c>
      <c r="L1866" s="14">
        <f>VENTAS[[#This Row],[Total]]-VENTAS[[#This Row],[Comisión 10%]]-VENTAS[[#This Row],[Costo SIN Comision]]</f>
        <v>9.76</v>
      </c>
      <c r="M1866" s="48"/>
      <c r="N1866" s="49" t="s">
        <v>4737</v>
      </c>
    </row>
    <row r="1867" s="4" customFormat="1" ht="20" hidden="1" customHeight="1" spans="1:14">
      <c r="A1867" s="46">
        <v>45577</v>
      </c>
      <c r="B1867" s="47"/>
      <c r="C1867" s="47"/>
      <c r="D1867" s="47" t="s">
        <v>4735</v>
      </c>
      <c r="E1867" s="47" t="s">
        <v>3325</v>
      </c>
      <c r="F1867" s="11" t="str">
        <f>IFERROR(VLOOKUP(VENTAS[[#This Row],[Código del producto Vendido]],STOCK[],5,FALSE),"-")</f>
        <v>Máscara de bruja realista con peluca incluída</v>
      </c>
      <c r="G1867" s="47">
        <v>1</v>
      </c>
      <c r="H1867" s="48">
        <v>22</v>
      </c>
      <c r="I1867" s="14">
        <f>VENTAS[[#This Row],[Cantidad]]*VENTAS[[#This Row],[Precio Venta]]</f>
        <v>22</v>
      </c>
      <c r="J1867" s="14">
        <f>IF(VENTAS[[#This Row],[Nombre del Gestor]]&gt;1,VENTAS[[#This Row],[Total]]*10%,0)</f>
        <v>2.2</v>
      </c>
      <c r="K1867" s="14">
        <f>IFERROR(VLOOKUP(VENTAS[[#This Row],[Código del producto Vendido]],STOCK[],16,FALSE)*VENTAS[[#This Row],[Cantidad]]+VLOOKUP(VENTAS[[#This Row],[Código del producto Vendido]],STOCK[],19,FALSE)*VENTAS[[#This Row],[Cantidad]],VENTAS[[#This Row],[Total]])</f>
        <v>0</v>
      </c>
      <c r="L1867" s="14">
        <f>VENTAS[[#This Row],[Total]]-VENTAS[[#This Row],[Comisión 10%]]-VENTAS[[#This Row],[Costo SIN Comision]]</f>
        <v>19.8</v>
      </c>
      <c r="M1867" s="48"/>
      <c r="N1867" s="49" t="s">
        <v>4738</v>
      </c>
    </row>
    <row r="1868" s="4" customFormat="1" ht="20" hidden="1" customHeight="1" spans="1:14">
      <c r="A1868" s="46">
        <v>45577</v>
      </c>
      <c r="B1868" s="47"/>
      <c r="C1868" s="47"/>
      <c r="D1868" s="47" t="s">
        <v>4300</v>
      </c>
      <c r="E1868" s="47" t="s">
        <v>2808</v>
      </c>
      <c r="F1868" s="11" t="str">
        <f>IFERROR(VLOOKUP(VENTAS[[#This Row],[Código del producto Vendido]],STOCK[],5,FALSE),"-")</f>
        <v>Sandalias espadriles de cuña de correas transparentes</v>
      </c>
      <c r="G1868" s="47">
        <v>1</v>
      </c>
      <c r="H1868" s="48">
        <v>40</v>
      </c>
      <c r="I1868" s="14">
        <f>VENTAS[[#This Row],[Cantidad]]*VENTAS[[#This Row],[Precio Venta]]</f>
        <v>40</v>
      </c>
      <c r="J1868" s="14">
        <f>IF(VENTAS[[#This Row],[Nombre del Gestor]]&gt;1,VENTAS[[#This Row],[Total]]*10%,0)</f>
        <v>4</v>
      </c>
      <c r="K1868" s="14">
        <f>IFERROR(VLOOKUP(VENTAS[[#This Row],[Código del producto Vendido]],STOCK[],16,FALSE)*VENTAS[[#This Row],[Cantidad]]+VLOOKUP(VENTAS[[#This Row],[Código del producto Vendido]],STOCK[],19,FALSE)*VENTAS[[#This Row],[Cantidad]],VENTAS[[#This Row],[Total]])</f>
        <v>13.01</v>
      </c>
      <c r="L1868" s="14">
        <f>VENTAS[[#This Row],[Total]]-VENTAS[[#This Row],[Comisión 10%]]-VENTAS[[#This Row],[Costo SIN Comision]]</f>
        <v>22.99</v>
      </c>
      <c r="M1868" s="48"/>
      <c r="N1868" s="49" t="s">
        <v>4739</v>
      </c>
    </row>
    <row r="1869" s="4" customFormat="1" ht="20" hidden="1" customHeight="1" spans="1:14">
      <c r="A1869" s="46">
        <v>45577</v>
      </c>
      <c r="B1869" s="47"/>
      <c r="C1869" s="47"/>
      <c r="D1869" s="47" t="s">
        <v>4270</v>
      </c>
      <c r="E1869" s="47" t="s">
        <v>2848</v>
      </c>
      <c r="F1869" s="11" t="str">
        <f>IFERROR(VLOOKUP(VENTAS[[#This Row],[Código del producto Vendido]],STOCK[],5,FALSE),"-")</f>
        <v>Pantalones largros rayados de moda de gran comodidad</v>
      </c>
      <c r="G1869" s="47">
        <v>1</v>
      </c>
      <c r="H1869" s="48">
        <v>22</v>
      </c>
      <c r="I1869" s="14">
        <f>VENTAS[[#This Row],[Cantidad]]*VENTAS[[#This Row],[Precio Venta]]</f>
        <v>22</v>
      </c>
      <c r="J1869" s="14">
        <f>IF(VENTAS[[#This Row],[Nombre del Gestor]]&gt;1,VENTAS[[#This Row],[Total]]*10%,0)</f>
        <v>2.2</v>
      </c>
      <c r="K1869" s="14">
        <f>IFERROR(VLOOKUP(VENTAS[[#This Row],[Código del producto Vendido]],STOCK[],16,FALSE)*VENTAS[[#This Row],[Cantidad]]+VLOOKUP(VENTAS[[#This Row],[Código del producto Vendido]],STOCK[],19,FALSE)*VENTAS[[#This Row],[Cantidad]],VENTAS[[#This Row],[Total]])</f>
        <v>10.52</v>
      </c>
      <c r="L1869" s="14">
        <f>VENTAS[[#This Row],[Total]]-VENTAS[[#This Row],[Comisión 10%]]-VENTAS[[#This Row],[Costo SIN Comision]]</f>
        <v>9.28</v>
      </c>
      <c r="M1869" s="48"/>
      <c r="N1869" s="49" t="s">
        <v>4740</v>
      </c>
    </row>
    <row r="1870" s="4" customFormat="1" ht="20" hidden="1" customHeight="1" spans="1:14">
      <c r="A1870" s="46">
        <v>45578</v>
      </c>
      <c r="B1870" s="47"/>
      <c r="C1870" s="47"/>
      <c r="D1870" s="47"/>
      <c r="E1870" s="47" t="s">
        <v>3447</v>
      </c>
      <c r="F1870" s="11" t="str">
        <f>IFERROR(VLOOKUP(VENTAS[[#This Row],[Código del producto Vendido]],STOCK[],5,FALSE),"-")</f>
        <v>Antifaz bordado</v>
      </c>
      <c r="G1870" s="47">
        <v>1</v>
      </c>
      <c r="H1870" s="48">
        <v>4</v>
      </c>
      <c r="I1870" s="14">
        <f>VENTAS[[#This Row],[Cantidad]]*VENTAS[[#This Row],[Precio Venta]]</f>
        <v>4</v>
      </c>
      <c r="J1870" s="14">
        <f>IF(VENTAS[[#This Row],[Nombre del Gestor]]&gt;1,VENTAS[[#This Row],[Total]]*10%,0)</f>
        <v>0</v>
      </c>
      <c r="K1870" s="14">
        <f>IFERROR(VLOOKUP(VENTAS[[#This Row],[Código del producto Vendido]],STOCK[],16,FALSE)*VENTAS[[#This Row],[Cantidad]]+VLOOKUP(VENTAS[[#This Row],[Código del producto Vendido]],STOCK[],19,FALSE)*VENTAS[[#This Row],[Cantidad]],VENTAS[[#This Row],[Total]])</f>
        <v>0</v>
      </c>
      <c r="L1870" s="14">
        <f>VENTAS[[#This Row],[Total]]-VENTAS[[#This Row],[Comisión 10%]]-VENTAS[[#This Row],[Costo SIN Comision]]</f>
        <v>4</v>
      </c>
      <c r="M1870" s="48"/>
      <c r="N1870" s="49" t="s">
        <v>4741</v>
      </c>
    </row>
    <row r="1871" s="4" customFormat="1" ht="20" hidden="1" customHeight="1" spans="1:14">
      <c r="A1871" s="46">
        <v>45578</v>
      </c>
      <c r="B1871" s="47"/>
      <c r="C1871" s="47"/>
      <c r="D1871" s="47" t="s">
        <v>4076</v>
      </c>
      <c r="E1871" s="47" t="s">
        <v>2951</v>
      </c>
      <c r="F1871" s="11" t="str">
        <f>IFERROR(VLOOKUP(VENTAS[[#This Row],[Código del producto Vendido]],STOCK[],5,FALSE),"-")</f>
        <v>Pantalón elegante de pierna ancha color crema</v>
      </c>
      <c r="G1871" s="47">
        <v>1</v>
      </c>
      <c r="H1871" s="48">
        <v>30</v>
      </c>
      <c r="I1871" s="14">
        <f>VENTAS[[#This Row],[Cantidad]]*VENTAS[[#This Row],[Precio Venta]]</f>
        <v>30</v>
      </c>
      <c r="J1871" s="14">
        <f>IF(VENTAS[[#This Row],[Nombre del Gestor]]&gt;1,VENTAS[[#This Row],[Total]]*10%,0)</f>
        <v>3</v>
      </c>
      <c r="K1871" s="14">
        <f>IFERROR(VLOOKUP(VENTAS[[#This Row],[Código del producto Vendido]],STOCK[],16,FALSE)*VENTAS[[#This Row],[Cantidad]]+VLOOKUP(VENTAS[[#This Row],[Código del producto Vendido]],STOCK[],19,FALSE)*VENTAS[[#This Row],[Cantidad]],VENTAS[[#This Row],[Total]])</f>
        <v>8.6</v>
      </c>
      <c r="L1871" s="14">
        <f>VENTAS[[#This Row],[Total]]-VENTAS[[#This Row],[Comisión 10%]]-VENTAS[[#This Row],[Costo SIN Comision]]</f>
        <v>18.4</v>
      </c>
      <c r="M1871" s="48"/>
      <c r="N1871" s="49" t="s">
        <v>4742</v>
      </c>
    </row>
    <row r="1872" s="4" customFormat="1" ht="20" hidden="1" customHeight="1" spans="1:14">
      <c r="A1872" s="46">
        <v>45578</v>
      </c>
      <c r="B1872" s="47"/>
      <c r="C1872" s="47"/>
      <c r="D1872" s="47" t="s">
        <v>4266</v>
      </c>
      <c r="E1872" s="47" t="s">
        <v>3349</v>
      </c>
      <c r="F1872" s="11" t="str">
        <f>IFERROR(VLOOKUP(VENTAS[[#This Row],[Código del producto Vendido]],STOCK[],5,FALSE),"-")</f>
        <v>Conjunto de disfraz de 4 piezas (top, falda, medias y diadema)</v>
      </c>
      <c r="G1872" s="47">
        <v>1</v>
      </c>
      <c r="H1872" s="48">
        <v>25</v>
      </c>
      <c r="I1872" s="14">
        <f>VENTAS[[#This Row],[Cantidad]]*VENTAS[[#This Row],[Precio Venta]]</f>
        <v>25</v>
      </c>
      <c r="J1872" s="14">
        <f>IF(VENTAS[[#This Row],[Nombre del Gestor]]&gt;1,VENTAS[[#This Row],[Total]]*10%,0)</f>
        <v>2.5</v>
      </c>
      <c r="K1872" s="14">
        <f>IFERROR(VLOOKUP(VENTAS[[#This Row],[Código del producto Vendido]],STOCK[],16,FALSE)*VENTAS[[#This Row],[Cantidad]]+VLOOKUP(VENTAS[[#This Row],[Código del producto Vendido]],STOCK[],19,FALSE)*VENTAS[[#This Row],[Cantidad]],VENTAS[[#This Row],[Total]])</f>
        <v>0</v>
      </c>
      <c r="L1872" s="14">
        <f>VENTAS[[#This Row],[Total]]-VENTAS[[#This Row],[Comisión 10%]]-VENTAS[[#This Row],[Costo SIN Comision]]</f>
        <v>22.5</v>
      </c>
      <c r="M1872" s="48"/>
      <c r="N1872" s="49" t="s">
        <v>4743</v>
      </c>
    </row>
    <row r="1873" s="4" customFormat="1" ht="20" hidden="1" customHeight="1" spans="1:14">
      <c r="A1873" s="46">
        <v>45578</v>
      </c>
      <c r="B1873" s="47"/>
      <c r="C1873" s="47"/>
      <c r="D1873" s="47"/>
      <c r="E1873" s="47" t="s">
        <v>3423</v>
      </c>
      <c r="F1873" s="11" t="str">
        <f>IFERROR(VLOOKUP(VENTAS[[#This Row],[Código del producto Vendido]],STOCK[],5,FALSE),"-")</f>
        <v>Aretes de fantasmitas</v>
      </c>
      <c r="G1873" s="47">
        <v>1</v>
      </c>
      <c r="H1873" s="48">
        <v>1.5</v>
      </c>
      <c r="I1873" s="14">
        <f>VENTAS[[#This Row],[Cantidad]]*VENTAS[[#This Row],[Precio Venta]]</f>
        <v>1.5</v>
      </c>
      <c r="J1873" s="14">
        <f>IF(VENTAS[[#This Row],[Nombre del Gestor]]&gt;1,VENTAS[[#This Row],[Total]]*10%,0)</f>
        <v>0</v>
      </c>
      <c r="K1873" s="14">
        <f>IFERROR(VLOOKUP(VENTAS[[#This Row],[Código del producto Vendido]],STOCK[],16,FALSE)*VENTAS[[#This Row],[Cantidad]]+VLOOKUP(VENTAS[[#This Row],[Código del producto Vendido]],STOCK[],19,FALSE)*VENTAS[[#This Row],[Cantidad]],VENTAS[[#This Row],[Total]])</f>
        <v>0</v>
      </c>
      <c r="L1873" s="14">
        <f>VENTAS[[#This Row],[Total]]-VENTAS[[#This Row],[Comisión 10%]]-VENTAS[[#This Row],[Costo SIN Comision]]</f>
        <v>1.5</v>
      </c>
      <c r="M1873" s="48"/>
      <c r="N1873" s="49" t="s">
        <v>4744</v>
      </c>
    </row>
    <row r="1874" s="4" customFormat="1" ht="20" hidden="1" customHeight="1" spans="1:14">
      <c r="A1874" s="46">
        <v>45578</v>
      </c>
      <c r="B1874" s="47"/>
      <c r="C1874" s="47"/>
      <c r="D1874" s="47" t="s">
        <v>4722</v>
      </c>
      <c r="E1874" s="47" t="s">
        <v>3376</v>
      </c>
      <c r="F1874" s="11" t="str">
        <f>IFERROR(VLOOKUP(VENTAS[[#This Row],[Código del producto Vendido]],STOCK[],5,FALSE),"-")</f>
        <v>Juego de 4 piezas para disfraz de abejita</v>
      </c>
      <c r="G1874" s="47">
        <v>1</v>
      </c>
      <c r="H1874" s="48">
        <v>15</v>
      </c>
      <c r="I1874" s="14">
        <f>VENTAS[[#This Row],[Cantidad]]*VENTAS[[#This Row],[Precio Venta]]</f>
        <v>15</v>
      </c>
      <c r="J1874" s="14">
        <f>IF(VENTAS[[#This Row],[Nombre del Gestor]]&gt;1,VENTAS[[#This Row],[Total]]*10%,0)</f>
        <v>1.5</v>
      </c>
      <c r="K1874" s="14">
        <f>IFERROR(VLOOKUP(VENTAS[[#This Row],[Código del producto Vendido]],STOCK[],16,FALSE)*VENTAS[[#This Row],[Cantidad]]+VLOOKUP(VENTAS[[#This Row],[Código del producto Vendido]],STOCK[],19,FALSE)*VENTAS[[#This Row],[Cantidad]],VENTAS[[#This Row],[Total]])</f>
        <v>0</v>
      </c>
      <c r="L1874" s="14">
        <f>VENTAS[[#This Row],[Total]]-VENTAS[[#This Row],[Comisión 10%]]-VENTAS[[#This Row],[Costo SIN Comision]]</f>
        <v>13.5</v>
      </c>
      <c r="M1874" s="48"/>
      <c r="N1874" s="49" t="s">
        <v>4745</v>
      </c>
    </row>
    <row r="1875" s="4" customFormat="1" ht="20" hidden="1" customHeight="1" spans="1:14">
      <c r="A1875" s="46">
        <v>45578</v>
      </c>
      <c r="B1875" s="47"/>
      <c r="C1875" s="47"/>
      <c r="D1875" s="47" t="s">
        <v>4722</v>
      </c>
      <c r="E1875" s="47" t="s">
        <v>3378</v>
      </c>
      <c r="F1875" s="11" t="str">
        <f>IFERROR(VLOOKUP(VENTAS[[#This Row],[Código del producto Vendido]],STOCK[],5,FALSE),"-")</f>
        <v>Set de Unicornio 2 piezas para niños</v>
      </c>
      <c r="G1875" s="47">
        <v>1</v>
      </c>
      <c r="H1875" s="48">
        <v>20</v>
      </c>
      <c r="I1875" s="14">
        <f>VENTAS[[#This Row],[Cantidad]]*VENTAS[[#This Row],[Precio Venta]]</f>
        <v>20</v>
      </c>
      <c r="J1875" s="14">
        <f>IF(VENTAS[[#This Row],[Nombre del Gestor]]&gt;1,VENTAS[[#This Row],[Total]]*10%,0)</f>
        <v>2</v>
      </c>
      <c r="K1875" s="14">
        <f>IFERROR(VLOOKUP(VENTAS[[#This Row],[Código del producto Vendido]],STOCK[],16,FALSE)*VENTAS[[#This Row],[Cantidad]]+VLOOKUP(VENTAS[[#This Row],[Código del producto Vendido]],STOCK[],19,FALSE)*VENTAS[[#This Row],[Cantidad]],VENTAS[[#This Row],[Total]])</f>
        <v>0</v>
      </c>
      <c r="L1875" s="14">
        <f>VENTAS[[#This Row],[Total]]-VENTAS[[#This Row],[Comisión 10%]]-VENTAS[[#This Row],[Costo SIN Comision]]</f>
        <v>18</v>
      </c>
      <c r="M1875" s="48"/>
      <c r="N1875" s="49" t="s">
        <v>4746</v>
      </c>
    </row>
    <row r="1876" s="4" customFormat="1" ht="20" hidden="1" customHeight="1" spans="1:14">
      <c r="A1876" s="46">
        <v>45578</v>
      </c>
      <c r="B1876" s="47"/>
      <c r="C1876" s="47"/>
      <c r="D1876" s="47" t="s">
        <v>4722</v>
      </c>
      <c r="E1876" s="47" t="s">
        <v>3451</v>
      </c>
      <c r="F1876" s="11" t="str">
        <f>IFERROR(VLOOKUP(VENTAS[[#This Row],[Código del producto Vendido]],STOCK[],5,FALSE),"-")</f>
        <v>Set de 3 piezas de alas de mariposa </v>
      </c>
      <c r="G1876" s="47">
        <v>1</v>
      </c>
      <c r="H1876" s="48">
        <v>16</v>
      </c>
      <c r="I1876" s="14">
        <f>VENTAS[[#This Row],[Cantidad]]*VENTAS[[#This Row],[Precio Venta]]</f>
        <v>16</v>
      </c>
      <c r="J1876" s="14">
        <f>IF(VENTAS[[#This Row],[Nombre del Gestor]]&gt;1,VENTAS[[#This Row],[Total]]*10%,0)</f>
        <v>1.6</v>
      </c>
      <c r="K1876" s="14">
        <f>IFERROR(VLOOKUP(VENTAS[[#This Row],[Código del producto Vendido]],STOCK[],16,FALSE)*VENTAS[[#This Row],[Cantidad]]+VLOOKUP(VENTAS[[#This Row],[Código del producto Vendido]],STOCK[],19,FALSE)*VENTAS[[#This Row],[Cantidad]],VENTAS[[#This Row],[Total]])</f>
        <v>0</v>
      </c>
      <c r="L1876" s="14">
        <f>VENTAS[[#This Row],[Total]]-VENTAS[[#This Row],[Comisión 10%]]-VENTAS[[#This Row],[Costo SIN Comision]]</f>
        <v>14.4</v>
      </c>
      <c r="M1876" s="48"/>
      <c r="N1876" s="49" t="s">
        <v>4747</v>
      </c>
    </row>
    <row r="1877" s="4" customFormat="1" ht="20" hidden="1" customHeight="1" spans="1:14">
      <c r="A1877" s="46">
        <v>45578</v>
      </c>
      <c r="B1877" s="47"/>
      <c r="C1877" s="47"/>
      <c r="D1877" s="47" t="s">
        <v>4722</v>
      </c>
      <c r="E1877" s="47" t="s">
        <v>3461</v>
      </c>
      <c r="F1877" s="11" t="str">
        <f>IFERROR(VLOOKUP(VENTAS[[#This Row],[Código del producto Vendido]],STOCK[],5,FALSE),"-")</f>
        <v>Diadema rosas blancas</v>
      </c>
      <c r="G1877" s="47">
        <v>1</v>
      </c>
      <c r="H1877" s="48">
        <v>5</v>
      </c>
      <c r="I1877" s="14">
        <f>VENTAS[[#This Row],[Cantidad]]*VENTAS[[#This Row],[Precio Venta]]</f>
        <v>5</v>
      </c>
      <c r="J1877" s="14">
        <f>IF(VENTAS[[#This Row],[Nombre del Gestor]]&gt;1,VENTAS[[#This Row],[Total]]*10%,0)</f>
        <v>0.5</v>
      </c>
      <c r="K1877" s="14">
        <f>IFERROR(VLOOKUP(VENTAS[[#This Row],[Código del producto Vendido]],STOCK[],16,FALSE)*VENTAS[[#This Row],[Cantidad]]+VLOOKUP(VENTAS[[#This Row],[Código del producto Vendido]],STOCK[],19,FALSE)*VENTAS[[#This Row],[Cantidad]],VENTAS[[#This Row],[Total]])</f>
        <v>0</v>
      </c>
      <c r="L1877" s="14">
        <f>VENTAS[[#This Row],[Total]]-VENTAS[[#This Row],[Comisión 10%]]-VENTAS[[#This Row],[Costo SIN Comision]]</f>
        <v>4.5</v>
      </c>
      <c r="M1877" s="48"/>
      <c r="N1877" s="49" t="s">
        <v>4748</v>
      </c>
    </row>
    <row r="1878" s="4" customFormat="1" ht="20" hidden="1" customHeight="1" spans="1:14">
      <c r="A1878" s="46">
        <v>45578</v>
      </c>
      <c r="B1878" s="47"/>
      <c r="C1878" s="47"/>
      <c r="D1878" s="47" t="s">
        <v>4722</v>
      </c>
      <c r="E1878" s="47" t="s">
        <v>3465</v>
      </c>
      <c r="F1878" s="11" t="str">
        <f>IFERROR(VLOOKUP(VENTAS[[#This Row],[Código del producto Vendido]],STOCK[],5,FALSE),"-")</f>
        <v>Diadema de Angel Negro</v>
      </c>
      <c r="G1878" s="47">
        <v>1</v>
      </c>
      <c r="H1878" s="48">
        <v>8</v>
      </c>
      <c r="I1878" s="14">
        <f>VENTAS[[#This Row],[Cantidad]]*VENTAS[[#This Row],[Precio Venta]]</f>
        <v>8</v>
      </c>
      <c r="J1878" s="14">
        <f>IF(VENTAS[[#This Row],[Nombre del Gestor]]&gt;1,VENTAS[[#This Row],[Total]]*10%,0)</f>
        <v>0.8</v>
      </c>
      <c r="K1878" s="14">
        <f>IFERROR(VLOOKUP(VENTAS[[#This Row],[Código del producto Vendido]],STOCK[],16,FALSE)*VENTAS[[#This Row],[Cantidad]]+VLOOKUP(VENTAS[[#This Row],[Código del producto Vendido]],STOCK[],19,FALSE)*VENTAS[[#This Row],[Cantidad]],VENTAS[[#This Row],[Total]])</f>
        <v>17</v>
      </c>
      <c r="L1878" s="14">
        <f>VENTAS[[#This Row],[Total]]-VENTAS[[#This Row],[Comisión 10%]]-VENTAS[[#This Row],[Costo SIN Comision]]</f>
        <v>-9.8</v>
      </c>
      <c r="M1878" s="48"/>
      <c r="N1878" s="49" t="s">
        <v>4749</v>
      </c>
    </row>
    <row r="1879" s="4" customFormat="1" ht="20" hidden="1" customHeight="1" spans="1:14">
      <c r="A1879" s="46">
        <v>45578</v>
      </c>
      <c r="B1879" s="47"/>
      <c r="C1879" s="47"/>
      <c r="D1879" s="47" t="s">
        <v>4722</v>
      </c>
      <c r="E1879" s="47" t="s">
        <v>3459</v>
      </c>
      <c r="F1879" s="11" t="str">
        <f>IFERROR(VLOOKUP(VENTAS[[#This Row],[Código del producto Vendido]],STOCK[],5,FALSE),"-")</f>
        <v>Diadema rosas rojas</v>
      </c>
      <c r="G1879" s="47">
        <v>1</v>
      </c>
      <c r="H1879" s="48">
        <v>5</v>
      </c>
      <c r="I1879" s="14">
        <f>VENTAS[[#This Row],[Cantidad]]*VENTAS[[#This Row],[Precio Venta]]</f>
        <v>5</v>
      </c>
      <c r="J1879" s="14">
        <f>IF(VENTAS[[#This Row],[Nombre del Gestor]]&gt;1,VENTAS[[#This Row],[Total]]*10%,0)</f>
        <v>0.5</v>
      </c>
      <c r="K1879" s="14">
        <f>IFERROR(VLOOKUP(VENTAS[[#This Row],[Código del producto Vendido]],STOCK[],16,FALSE)*VENTAS[[#This Row],[Cantidad]]+VLOOKUP(VENTAS[[#This Row],[Código del producto Vendido]],STOCK[],19,FALSE)*VENTAS[[#This Row],[Cantidad]],VENTAS[[#This Row],[Total]])</f>
        <v>0</v>
      </c>
      <c r="L1879" s="14">
        <f>VENTAS[[#This Row],[Total]]-VENTAS[[#This Row],[Comisión 10%]]-VENTAS[[#This Row],[Costo SIN Comision]]</f>
        <v>4.5</v>
      </c>
      <c r="M1879" s="48"/>
      <c r="N1879" s="49" t="s">
        <v>4750</v>
      </c>
    </row>
    <row r="1880" s="4" customFormat="1" ht="20" hidden="1" customHeight="1" spans="1:14">
      <c r="A1880" s="46">
        <v>45579</v>
      </c>
      <c r="B1880" s="47"/>
      <c r="C1880" s="47"/>
      <c r="D1880" s="47" t="s">
        <v>4266</v>
      </c>
      <c r="E1880" s="47" t="s">
        <v>930</v>
      </c>
      <c r="F1880" s="11" t="str">
        <f>IFERROR(VLOOKUP(VENTAS[[#This Row],[Código del producto Vendido]],STOCK[],5,FALSE),"-")</f>
        <v>Falda de trabajo</v>
      </c>
      <c r="G1880" s="47">
        <v>1</v>
      </c>
      <c r="H1880" s="48">
        <v>15</v>
      </c>
      <c r="I1880" s="14">
        <f>VENTAS[[#This Row],[Cantidad]]*VENTAS[[#This Row],[Precio Venta]]</f>
        <v>15</v>
      </c>
      <c r="J1880" s="14">
        <f>IF(VENTAS[[#This Row],[Nombre del Gestor]]&gt;1,VENTAS[[#This Row],[Total]]*10%,0)</f>
        <v>1.5</v>
      </c>
      <c r="K1880" s="14">
        <f>IFERROR(VLOOKUP(VENTAS[[#This Row],[Código del producto Vendido]],STOCK[],16,FALSE)*VENTAS[[#This Row],[Cantidad]]+VLOOKUP(VENTAS[[#This Row],[Código del producto Vendido]],STOCK[],19,FALSE)*VENTAS[[#This Row],[Cantidad]],VENTAS[[#This Row],[Total]])</f>
        <v>7.83363636363636</v>
      </c>
      <c r="L1880" s="14">
        <f>VENTAS[[#This Row],[Total]]-VENTAS[[#This Row],[Comisión 10%]]-VENTAS[[#This Row],[Costo SIN Comision]]</f>
        <v>5.66636363636364</v>
      </c>
      <c r="M1880" s="48"/>
      <c r="N1880" s="49" t="s">
        <v>4751</v>
      </c>
    </row>
    <row r="1881" s="4" customFormat="1" ht="20" hidden="1" customHeight="1" spans="1:14">
      <c r="A1881" s="46">
        <v>45579</v>
      </c>
      <c r="B1881" s="47"/>
      <c r="C1881" s="47"/>
      <c r="D1881" s="47" t="s">
        <v>4270</v>
      </c>
      <c r="E1881" s="47" t="s">
        <v>2808</v>
      </c>
      <c r="F1881" s="11" t="str">
        <f>IFERROR(VLOOKUP(VENTAS[[#This Row],[Código del producto Vendido]],STOCK[],5,FALSE),"-")</f>
        <v>Sandalias espadriles de cuña de correas transparentes</v>
      </c>
      <c r="G1881" s="47">
        <v>1</v>
      </c>
      <c r="H1881" s="48">
        <v>40</v>
      </c>
      <c r="I1881" s="14">
        <f>VENTAS[[#This Row],[Cantidad]]*VENTAS[[#This Row],[Precio Venta]]</f>
        <v>40</v>
      </c>
      <c r="J1881" s="14">
        <f>IF(VENTAS[[#This Row],[Nombre del Gestor]]&gt;1,VENTAS[[#This Row],[Total]]*10%,0)</f>
        <v>4</v>
      </c>
      <c r="K1881" s="14">
        <f>IFERROR(VLOOKUP(VENTAS[[#This Row],[Código del producto Vendido]],STOCK[],16,FALSE)*VENTAS[[#This Row],[Cantidad]]+VLOOKUP(VENTAS[[#This Row],[Código del producto Vendido]],STOCK[],19,FALSE)*VENTAS[[#This Row],[Cantidad]],VENTAS[[#This Row],[Total]])</f>
        <v>13.01</v>
      </c>
      <c r="L1881" s="14">
        <f>VENTAS[[#This Row],[Total]]-VENTAS[[#This Row],[Comisión 10%]]-VENTAS[[#This Row],[Costo SIN Comision]]</f>
        <v>22.99</v>
      </c>
      <c r="M1881" s="48"/>
      <c r="N1881" s="49" t="s">
        <v>4752</v>
      </c>
    </row>
    <row r="1882" s="4" customFormat="1" ht="20" hidden="1" customHeight="1" spans="1:14">
      <c r="A1882" s="46">
        <v>45579</v>
      </c>
      <c r="B1882" s="47"/>
      <c r="C1882" s="47"/>
      <c r="D1882" s="47" t="s">
        <v>4270</v>
      </c>
      <c r="E1882" s="47" t="s">
        <v>2932</v>
      </c>
      <c r="F1882" s="11" t="str">
        <f>IFERROR(VLOOKUP(VENTAS[[#This Row],[Código del producto Vendido]],STOCK[],5,FALSE),"-")</f>
        <v>Jeans de talle alto y pierna ancha color azul claro</v>
      </c>
      <c r="G1882" s="47">
        <v>1</v>
      </c>
      <c r="H1882" s="48">
        <v>30</v>
      </c>
      <c r="I1882" s="14">
        <f>VENTAS[[#This Row],[Cantidad]]*VENTAS[[#This Row],[Precio Venta]]</f>
        <v>30</v>
      </c>
      <c r="J1882" s="14">
        <f>IF(VENTAS[[#This Row],[Nombre del Gestor]]&gt;1,VENTAS[[#This Row],[Total]]*10%,0)</f>
        <v>3</v>
      </c>
      <c r="K1882" s="14">
        <f>IFERROR(VLOOKUP(VENTAS[[#This Row],[Código del producto Vendido]],STOCK[],16,FALSE)*VENTAS[[#This Row],[Cantidad]]+VLOOKUP(VENTAS[[#This Row],[Código del producto Vendido]],STOCK[],19,FALSE)*VENTAS[[#This Row],[Cantidad]],VENTAS[[#This Row],[Total]])</f>
        <v>12.47</v>
      </c>
      <c r="L1882" s="14">
        <f>VENTAS[[#This Row],[Total]]-VENTAS[[#This Row],[Comisión 10%]]-VENTAS[[#This Row],[Costo SIN Comision]]</f>
        <v>14.53</v>
      </c>
      <c r="M1882" s="48"/>
      <c r="N1882" s="49" t="s">
        <v>4753</v>
      </c>
    </row>
    <row r="1883" s="4" customFormat="1" ht="20" hidden="1" customHeight="1" spans="1:14">
      <c r="A1883" s="46">
        <v>45579</v>
      </c>
      <c r="B1883" s="47"/>
      <c r="C1883" s="47"/>
      <c r="D1883" s="47" t="s">
        <v>4463</v>
      </c>
      <c r="E1883" s="47" t="s">
        <v>3359</v>
      </c>
      <c r="F1883" s="11" t="str">
        <f>IFERROR(VLOOKUP(VENTAS[[#This Row],[Código del producto Vendido]],STOCK[],5,FALSE),"-")</f>
        <v>Máscara completa de payaso del terror con mini sombrero integrado</v>
      </c>
      <c r="G1883" s="47">
        <v>1</v>
      </c>
      <c r="H1883" s="48">
        <v>20</v>
      </c>
      <c r="I1883" s="14">
        <f>VENTAS[[#This Row],[Cantidad]]*VENTAS[[#This Row],[Precio Venta]]</f>
        <v>20</v>
      </c>
      <c r="J1883" s="14">
        <f>IF(VENTAS[[#This Row],[Nombre del Gestor]]&gt;1,VENTAS[[#This Row],[Total]]*10%,0)</f>
        <v>2</v>
      </c>
      <c r="K1883" s="14">
        <f>IFERROR(VLOOKUP(VENTAS[[#This Row],[Código del producto Vendido]],STOCK[],16,FALSE)*VENTAS[[#This Row],[Cantidad]]+VLOOKUP(VENTAS[[#This Row],[Código del producto Vendido]],STOCK[],19,FALSE)*VENTAS[[#This Row],[Cantidad]],VENTAS[[#This Row],[Total]])</f>
        <v>0</v>
      </c>
      <c r="L1883" s="14">
        <f>VENTAS[[#This Row],[Total]]-VENTAS[[#This Row],[Comisión 10%]]-VENTAS[[#This Row],[Costo SIN Comision]]</f>
        <v>18</v>
      </c>
      <c r="M1883" s="48"/>
      <c r="N1883" s="49" t="s">
        <v>4754</v>
      </c>
    </row>
    <row r="1884" s="4" customFormat="1" ht="20" hidden="1" customHeight="1" spans="1:14">
      <c r="A1884" s="46">
        <v>45579</v>
      </c>
      <c r="B1884" s="47"/>
      <c r="C1884" s="47"/>
      <c r="D1884" s="47" t="s">
        <v>4272</v>
      </c>
      <c r="E1884" s="47" t="s">
        <v>3359</v>
      </c>
      <c r="F1884" s="11" t="str">
        <f>IFERROR(VLOOKUP(VENTAS[[#This Row],[Código del producto Vendido]],STOCK[],5,FALSE),"-")</f>
        <v>Máscara completa de payaso del terror con mini sombrero integrado</v>
      </c>
      <c r="G1884" s="47">
        <v>1</v>
      </c>
      <c r="H1884" s="48">
        <v>15</v>
      </c>
      <c r="I1884" s="14">
        <f>VENTAS[[#This Row],[Cantidad]]*VENTAS[[#This Row],[Precio Venta]]</f>
        <v>15</v>
      </c>
      <c r="J1884" s="14">
        <f>IF(VENTAS[[#This Row],[Nombre del Gestor]]&gt;1,VENTAS[[#This Row],[Total]]*10%,0)</f>
        <v>1.5</v>
      </c>
      <c r="K1884" s="14">
        <f>IFERROR(VLOOKUP(VENTAS[[#This Row],[Código del producto Vendido]],STOCK[],16,FALSE)*VENTAS[[#This Row],[Cantidad]]+VLOOKUP(VENTAS[[#This Row],[Código del producto Vendido]],STOCK[],19,FALSE)*VENTAS[[#This Row],[Cantidad]],VENTAS[[#This Row],[Total]])</f>
        <v>0</v>
      </c>
      <c r="L1884" s="14">
        <f>VENTAS[[#This Row],[Total]]-VENTAS[[#This Row],[Comisión 10%]]-VENTAS[[#This Row],[Costo SIN Comision]]</f>
        <v>13.5</v>
      </c>
      <c r="M1884" s="48"/>
      <c r="N1884" s="49" t="s">
        <v>4755</v>
      </c>
    </row>
    <row r="1885" s="4" customFormat="1" ht="20" hidden="1" customHeight="1" spans="1:14">
      <c r="A1885" s="46">
        <v>45579</v>
      </c>
      <c r="B1885" s="47"/>
      <c r="C1885" s="47"/>
      <c r="D1885" s="47" t="s">
        <v>4266</v>
      </c>
      <c r="E1885" s="47" t="s">
        <v>2802</v>
      </c>
      <c r="F1885" s="11" t="str">
        <f>IFERROR(VLOOKUP(VENTAS[[#This Row],[Código del producto Vendido]],STOCK[],5,FALSE),"-")</f>
        <v>Sandalias espadriles de cuña de correas transparentes</v>
      </c>
      <c r="G1885" s="47">
        <v>1</v>
      </c>
      <c r="H1885" s="48">
        <v>40</v>
      </c>
      <c r="I1885" s="14">
        <f>VENTAS[[#This Row],[Cantidad]]*VENTAS[[#This Row],[Precio Venta]]</f>
        <v>40</v>
      </c>
      <c r="J1885" s="14">
        <f>IF(VENTAS[[#This Row],[Nombre del Gestor]]&gt;1,VENTAS[[#This Row],[Total]]*10%,0)</f>
        <v>4</v>
      </c>
      <c r="K1885" s="14">
        <f>IFERROR(VLOOKUP(VENTAS[[#This Row],[Código del producto Vendido]],STOCK[],16,FALSE)*VENTAS[[#This Row],[Cantidad]]+VLOOKUP(VENTAS[[#This Row],[Código del producto Vendido]],STOCK[],19,FALSE)*VENTAS[[#This Row],[Cantidad]],VENTAS[[#This Row],[Total]])</f>
        <v>11.4</v>
      </c>
      <c r="L1885" s="14">
        <f>VENTAS[[#This Row],[Total]]-VENTAS[[#This Row],[Comisión 10%]]-VENTAS[[#This Row],[Costo SIN Comision]]</f>
        <v>24.6</v>
      </c>
      <c r="M1885" s="48"/>
      <c r="N1885" s="49" t="s">
        <v>4756</v>
      </c>
    </row>
    <row r="1886" s="4" customFormat="1" ht="20" hidden="1" customHeight="1" spans="1:14">
      <c r="A1886" s="46">
        <v>45580</v>
      </c>
      <c r="B1886" s="47"/>
      <c r="C1886" s="47"/>
      <c r="D1886" s="47" t="s">
        <v>4266</v>
      </c>
      <c r="E1886" s="47" t="s">
        <v>3039</v>
      </c>
      <c r="F1886" s="11" t="str">
        <f>IFERROR(VLOOKUP(VENTAS[[#This Row],[Código del producto Vendido]],STOCK[],5,FALSE),"-")</f>
        <v>Blusa de manga elegante en vuelos con ribete en contraste Color Morado</v>
      </c>
      <c r="G1886" s="47">
        <v>1</v>
      </c>
      <c r="H1886" s="48">
        <v>18</v>
      </c>
      <c r="I1886" s="14">
        <f>VENTAS[[#This Row],[Cantidad]]*VENTAS[[#This Row],[Precio Venta]]</f>
        <v>18</v>
      </c>
      <c r="J1886" s="14">
        <f>IF(VENTAS[[#This Row],[Nombre del Gestor]]&gt;1,VENTAS[[#This Row],[Total]]*10%,0)</f>
        <v>1.8</v>
      </c>
      <c r="K1886" s="14">
        <f>IFERROR(VLOOKUP(VENTAS[[#This Row],[Código del producto Vendido]],STOCK[],16,FALSE)*VENTAS[[#This Row],[Cantidad]]+VLOOKUP(VENTAS[[#This Row],[Código del producto Vendido]],STOCK[],19,FALSE)*VENTAS[[#This Row],[Cantidad]],VENTAS[[#This Row],[Total]])</f>
        <v>9.68</v>
      </c>
      <c r="L1886" s="14">
        <f>VENTAS[[#This Row],[Total]]-VENTAS[[#This Row],[Comisión 10%]]-VENTAS[[#This Row],[Costo SIN Comision]]</f>
        <v>6.52</v>
      </c>
      <c r="M1886" s="48"/>
      <c r="N1886" s="49" t="s">
        <v>4757</v>
      </c>
    </row>
    <row r="1887" s="4" customFormat="1" ht="20" hidden="1" customHeight="1" spans="1:14">
      <c r="A1887" s="46">
        <v>45580</v>
      </c>
      <c r="B1887" s="47"/>
      <c r="C1887" s="47"/>
      <c r="D1887" s="47" t="s">
        <v>4266</v>
      </c>
      <c r="E1887" s="47" t="s">
        <v>2997</v>
      </c>
      <c r="F1887" s="11" t="str">
        <f>IFERROR(VLOOKUP(VENTAS[[#This Row],[Código del producto Vendido]],STOCK[],5,FALSE),"-")</f>
        <v>Camiseta de moda con estampado de cereza</v>
      </c>
      <c r="G1887" s="47">
        <v>1</v>
      </c>
      <c r="H1887" s="48">
        <v>15</v>
      </c>
      <c r="I1887" s="14">
        <f>VENTAS[[#This Row],[Cantidad]]*VENTAS[[#This Row],[Precio Venta]]</f>
        <v>15</v>
      </c>
      <c r="J1887" s="14">
        <f>IF(VENTAS[[#This Row],[Nombre del Gestor]]&gt;1,VENTAS[[#This Row],[Total]]*10%,0)</f>
        <v>1.5</v>
      </c>
      <c r="K1887" s="14">
        <f>IFERROR(VLOOKUP(VENTAS[[#This Row],[Código del producto Vendido]],STOCK[],16,FALSE)*VENTAS[[#This Row],[Cantidad]]+VLOOKUP(VENTAS[[#This Row],[Código del producto Vendido]],STOCK[],19,FALSE)*VENTAS[[#This Row],[Cantidad]],VENTAS[[#This Row],[Total]])</f>
        <v>5.92</v>
      </c>
      <c r="L1887" s="14">
        <f>VENTAS[[#This Row],[Total]]-VENTAS[[#This Row],[Comisión 10%]]-VENTAS[[#This Row],[Costo SIN Comision]]</f>
        <v>7.58</v>
      </c>
      <c r="M1887" s="48"/>
      <c r="N1887" s="49" t="s">
        <v>4758</v>
      </c>
    </row>
    <row r="1888" s="4" customFormat="1" ht="20" hidden="1" customHeight="1" spans="1:14">
      <c r="A1888" s="46">
        <v>45580</v>
      </c>
      <c r="B1888" s="47"/>
      <c r="C1888" s="47"/>
      <c r="D1888" s="47" t="s">
        <v>4463</v>
      </c>
      <c r="E1888" s="47" t="s">
        <v>2963</v>
      </c>
      <c r="F1888" s="11" t="str">
        <f>IFERROR(VLOOKUP(VENTAS[[#This Row],[Código del producto Vendido]],STOCK[],5,FALSE),"-")</f>
        <v>Vestido largo Sexy y elegante de espalda corrida en degradado de color</v>
      </c>
      <c r="G1888" s="47">
        <v>1</v>
      </c>
      <c r="H1888" s="48">
        <v>25</v>
      </c>
      <c r="I1888" s="14">
        <f>VENTAS[[#This Row],[Cantidad]]*VENTAS[[#This Row],[Precio Venta]]</f>
        <v>25</v>
      </c>
      <c r="J1888" s="14">
        <f>IF(VENTAS[[#This Row],[Nombre del Gestor]]&gt;1,VENTAS[[#This Row],[Total]]*10%,0)</f>
        <v>2.5</v>
      </c>
      <c r="K1888" s="14">
        <f>IFERROR(VLOOKUP(VENTAS[[#This Row],[Código del producto Vendido]],STOCK[],16,FALSE)*VENTAS[[#This Row],[Cantidad]]+VLOOKUP(VENTAS[[#This Row],[Código del producto Vendido]],STOCK[],19,FALSE)*VENTAS[[#This Row],[Cantidad]],VENTAS[[#This Row],[Total]])</f>
        <v>13.63</v>
      </c>
      <c r="L1888" s="14">
        <f>VENTAS[[#This Row],[Total]]-VENTAS[[#This Row],[Comisión 10%]]-VENTAS[[#This Row],[Costo SIN Comision]]</f>
        <v>8.87</v>
      </c>
      <c r="M1888" s="48"/>
      <c r="N1888" s="49" t="s">
        <v>4759</v>
      </c>
    </row>
    <row r="1889" s="4" customFormat="1" ht="20" hidden="1" customHeight="1" spans="1:14">
      <c r="A1889" s="46">
        <v>45580</v>
      </c>
      <c r="B1889" s="47"/>
      <c r="C1889" s="47"/>
      <c r="D1889" s="47" t="s">
        <v>4463</v>
      </c>
      <c r="E1889" s="47" t="s">
        <v>2581</v>
      </c>
      <c r="F1889" s="11" t="str">
        <f>IFERROR(VLOOKUP(VENTAS[[#This Row],[Código del producto Vendido]],STOCK[],5,FALSE),"-")</f>
        <v>Vestido Camisola con estampado de flores y tirantes cruzados</v>
      </c>
      <c r="G1889" s="47">
        <v>1</v>
      </c>
      <c r="H1889" s="48">
        <v>25</v>
      </c>
      <c r="I1889" s="14">
        <f>VENTAS[[#This Row],[Cantidad]]*VENTAS[[#This Row],[Precio Venta]]</f>
        <v>25</v>
      </c>
      <c r="J1889" s="14">
        <f>IF(VENTAS[[#This Row],[Nombre del Gestor]]&gt;1,VENTAS[[#This Row],[Total]]*10%,0)</f>
        <v>2.5</v>
      </c>
      <c r="K1889" s="14">
        <f>IFERROR(VLOOKUP(VENTAS[[#This Row],[Código del producto Vendido]],STOCK[],16,FALSE)*VENTAS[[#This Row],[Cantidad]]+VLOOKUP(VENTAS[[#This Row],[Código del producto Vendido]],STOCK[],19,FALSE)*VENTAS[[#This Row],[Cantidad]],VENTAS[[#This Row],[Total]])</f>
        <v>12.94</v>
      </c>
      <c r="L1889" s="14">
        <f>VENTAS[[#This Row],[Total]]-VENTAS[[#This Row],[Comisión 10%]]-VENTAS[[#This Row],[Costo SIN Comision]]</f>
        <v>9.56</v>
      </c>
      <c r="M1889" s="48"/>
      <c r="N1889" s="49" t="s">
        <v>4760</v>
      </c>
    </row>
    <row r="1890" s="4" customFormat="1" ht="20" hidden="1" customHeight="1" spans="1:14">
      <c r="A1890" s="46">
        <v>45580</v>
      </c>
      <c r="B1890" s="47"/>
      <c r="C1890" s="47"/>
      <c r="D1890" s="47" t="s">
        <v>4266</v>
      </c>
      <c r="E1890" s="47" t="s">
        <v>2503</v>
      </c>
      <c r="F1890" s="11" t="str">
        <f>IFERROR(VLOOKUP(VENTAS[[#This Row],[Código del producto Vendido]],STOCK[],5,FALSE),"-")</f>
        <v>Camisa elegante con lazo grande</v>
      </c>
      <c r="G1890" s="47">
        <v>1</v>
      </c>
      <c r="H1890" s="48">
        <v>20</v>
      </c>
      <c r="I1890" s="14">
        <f>VENTAS[[#This Row],[Cantidad]]*VENTAS[[#This Row],[Precio Venta]]</f>
        <v>20</v>
      </c>
      <c r="J1890" s="14">
        <f>IF(VENTAS[[#This Row],[Nombre del Gestor]]&gt;1,VENTAS[[#This Row],[Total]]*10%,0)</f>
        <v>2</v>
      </c>
      <c r="K1890" s="14">
        <f>IFERROR(VLOOKUP(VENTAS[[#This Row],[Código del producto Vendido]],STOCK[],16,FALSE)*VENTAS[[#This Row],[Cantidad]]+VLOOKUP(VENTAS[[#This Row],[Código del producto Vendido]],STOCK[],19,FALSE)*VENTAS[[#This Row],[Cantidad]],VENTAS[[#This Row],[Total]])</f>
        <v>10.92</v>
      </c>
      <c r="L1890" s="14">
        <f>VENTAS[[#This Row],[Total]]-VENTAS[[#This Row],[Comisión 10%]]-VENTAS[[#This Row],[Costo SIN Comision]]</f>
        <v>7.08</v>
      </c>
      <c r="M1890" s="48"/>
      <c r="N1890" s="49" t="s">
        <v>4761</v>
      </c>
    </row>
    <row r="1891" s="4" customFormat="1" ht="20" hidden="1" customHeight="1" spans="1:14">
      <c r="A1891" s="46">
        <v>45580</v>
      </c>
      <c r="B1891" s="47"/>
      <c r="C1891" s="47"/>
      <c r="D1891" s="47" t="s">
        <v>4762</v>
      </c>
      <c r="E1891" s="47" t="s">
        <v>2931</v>
      </c>
      <c r="F1891" s="11" t="str">
        <f>IFERROR(VLOOKUP(VENTAS[[#This Row],[Código del producto Vendido]],STOCK[],5,FALSE),"-")</f>
        <v>Jeans de talle alto y pierna ancha color azul claro</v>
      </c>
      <c r="G1891" s="47">
        <v>1</v>
      </c>
      <c r="H1891" s="48">
        <v>30</v>
      </c>
      <c r="I1891" s="14">
        <f>VENTAS[[#This Row],[Cantidad]]*VENTAS[[#This Row],[Precio Venta]]</f>
        <v>30</v>
      </c>
      <c r="J1891" s="14">
        <f>IF(VENTAS[[#This Row],[Nombre del Gestor]]&gt;1,VENTAS[[#This Row],[Total]]*10%,0)</f>
        <v>3</v>
      </c>
      <c r="K1891" s="14">
        <f>IFERROR(VLOOKUP(VENTAS[[#This Row],[Código del producto Vendido]],STOCK[],16,FALSE)*VENTAS[[#This Row],[Cantidad]]+VLOOKUP(VENTAS[[#This Row],[Código del producto Vendido]],STOCK[],19,FALSE)*VENTAS[[#This Row],[Cantidad]],VENTAS[[#This Row],[Total]])</f>
        <v>12.47</v>
      </c>
      <c r="L1891" s="14">
        <f>VENTAS[[#This Row],[Total]]-VENTAS[[#This Row],[Comisión 10%]]-VENTAS[[#This Row],[Costo SIN Comision]]</f>
        <v>14.53</v>
      </c>
      <c r="M1891" s="48"/>
      <c r="N1891" s="49" t="s">
        <v>4763</v>
      </c>
    </row>
    <row r="1892" s="4" customFormat="1" ht="20" hidden="1" customHeight="1" spans="1:14">
      <c r="A1892" s="46">
        <v>45580</v>
      </c>
      <c r="B1892" s="47"/>
      <c r="C1892" s="47"/>
      <c r="D1892" s="47" t="s">
        <v>4581</v>
      </c>
      <c r="E1892" s="47" t="s">
        <v>2929</v>
      </c>
      <c r="F1892" s="11" t="str">
        <f>IFERROR(VLOOKUP(VENTAS[[#This Row],[Código del producto Vendido]],STOCK[],5,FALSE),"-")</f>
        <v>Jeans de talle alto y pierna ancha color azul claro</v>
      </c>
      <c r="G1892" s="47">
        <v>1</v>
      </c>
      <c r="H1892" s="48">
        <v>30</v>
      </c>
      <c r="I1892" s="14">
        <f>VENTAS[[#This Row],[Cantidad]]*VENTAS[[#This Row],[Precio Venta]]</f>
        <v>30</v>
      </c>
      <c r="J1892" s="14">
        <f>IF(VENTAS[[#This Row],[Nombre del Gestor]]&gt;1,VENTAS[[#This Row],[Total]]*10%,0)</f>
        <v>3</v>
      </c>
      <c r="K1892" s="14">
        <f>IFERROR(VLOOKUP(VENTAS[[#This Row],[Código del producto Vendido]],STOCK[],16,FALSE)*VENTAS[[#This Row],[Cantidad]]+VLOOKUP(VENTAS[[#This Row],[Código del producto Vendido]],STOCK[],19,FALSE)*VENTAS[[#This Row],[Cantidad]],VENTAS[[#This Row],[Total]])</f>
        <v>12.46</v>
      </c>
      <c r="L1892" s="14">
        <f>VENTAS[[#This Row],[Total]]-VENTAS[[#This Row],[Comisión 10%]]-VENTAS[[#This Row],[Costo SIN Comision]]</f>
        <v>14.54</v>
      </c>
      <c r="M1892" s="48"/>
      <c r="N1892" s="49" t="s">
        <v>4764</v>
      </c>
    </row>
    <row r="1893" s="4" customFormat="1" ht="20" hidden="1" customHeight="1" spans="1:14">
      <c r="A1893" s="46">
        <v>45580</v>
      </c>
      <c r="B1893" s="47"/>
      <c r="C1893" s="47"/>
      <c r="D1893" s="47" t="s">
        <v>4463</v>
      </c>
      <c r="E1893" s="47" t="s">
        <v>3306</v>
      </c>
      <c r="F1893" s="11" t="str">
        <f>IFERROR(VLOOKUP(VENTAS[[#This Row],[Código del producto Vendido]],STOCK[],5,FALSE),"-")</f>
        <v>Máscara de El Grito</v>
      </c>
      <c r="G1893" s="47">
        <v>1</v>
      </c>
      <c r="H1893" s="48">
        <v>10</v>
      </c>
      <c r="I1893" s="14">
        <f>VENTAS[[#This Row],[Cantidad]]*VENTAS[[#This Row],[Precio Venta]]</f>
        <v>10</v>
      </c>
      <c r="J1893" s="14">
        <f>IF(VENTAS[[#This Row],[Nombre del Gestor]]&gt;1,VENTAS[[#This Row],[Total]]*10%,0)</f>
        <v>1</v>
      </c>
      <c r="K1893" s="14">
        <f>IFERROR(VLOOKUP(VENTAS[[#This Row],[Código del producto Vendido]],STOCK[],16,FALSE)*VENTAS[[#This Row],[Cantidad]]+VLOOKUP(VENTAS[[#This Row],[Código del producto Vendido]],STOCK[],19,FALSE)*VENTAS[[#This Row],[Cantidad]],VENTAS[[#This Row],[Total]])</f>
        <v>0</v>
      </c>
      <c r="L1893" s="14">
        <f>VENTAS[[#This Row],[Total]]-VENTAS[[#This Row],[Comisión 10%]]-VENTAS[[#This Row],[Costo SIN Comision]]</f>
        <v>9</v>
      </c>
      <c r="M1893" s="48"/>
      <c r="N1893" s="49" t="s">
        <v>4765</v>
      </c>
    </row>
    <row r="1894" s="4" customFormat="1" ht="20" hidden="1" customHeight="1" spans="1:14">
      <c r="A1894" s="46">
        <v>45580</v>
      </c>
      <c r="B1894" s="47"/>
      <c r="C1894" s="47"/>
      <c r="D1894" s="47" t="s">
        <v>4270</v>
      </c>
      <c r="E1894" s="47" t="s">
        <v>1285</v>
      </c>
      <c r="F1894" s="11" t="str">
        <f>IFERROR(VLOOKUP(VENTAS[[#This Row],[Código del producto Vendido]],STOCK[],5,FALSE),"-")</f>
        <v>Pantalón de corte recto</v>
      </c>
      <c r="G1894" s="47">
        <v>1</v>
      </c>
      <c r="H1894" s="48">
        <v>28</v>
      </c>
      <c r="I1894" s="14">
        <f>VENTAS[[#This Row],[Cantidad]]*VENTAS[[#This Row],[Precio Venta]]</f>
        <v>28</v>
      </c>
      <c r="J1894" s="14">
        <f>IF(VENTAS[[#This Row],[Nombre del Gestor]]&gt;1,VENTAS[[#This Row],[Total]]*10%,0)</f>
        <v>2.8</v>
      </c>
      <c r="K1894" s="14">
        <f>IFERROR(VLOOKUP(VENTAS[[#This Row],[Código del producto Vendido]],STOCK[],16,FALSE)*VENTAS[[#This Row],[Cantidad]]+VLOOKUP(VENTAS[[#This Row],[Código del producto Vendido]],STOCK[],19,FALSE)*VENTAS[[#This Row],[Cantidad]],VENTAS[[#This Row],[Total]])</f>
        <v>20.78</v>
      </c>
      <c r="L1894" s="14">
        <f>VENTAS[[#This Row],[Total]]-VENTAS[[#This Row],[Comisión 10%]]-VENTAS[[#This Row],[Costo SIN Comision]]</f>
        <v>4.42</v>
      </c>
      <c r="M1894" s="48"/>
      <c r="N1894" s="49" t="s">
        <v>4766</v>
      </c>
    </row>
    <row r="1895" s="4" customFormat="1" ht="20" hidden="1" customHeight="1" spans="1:14">
      <c r="A1895" s="46">
        <v>45580</v>
      </c>
      <c r="B1895" s="47"/>
      <c r="C1895" s="47"/>
      <c r="D1895" s="47" t="s">
        <v>4463</v>
      </c>
      <c r="E1895" s="47" t="s">
        <v>3459</v>
      </c>
      <c r="F1895" s="11" t="str">
        <f>IFERROR(VLOOKUP(VENTAS[[#This Row],[Código del producto Vendido]],STOCK[],5,FALSE),"-")</f>
        <v>Diadema rosas rojas</v>
      </c>
      <c r="G1895" s="47">
        <v>1</v>
      </c>
      <c r="H1895" s="48">
        <v>5</v>
      </c>
      <c r="I1895" s="14">
        <f>VENTAS[[#This Row],[Cantidad]]*VENTAS[[#This Row],[Precio Venta]]</f>
        <v>5</v>
      </c>
      <c r="J1895" s="14">
        <f>IF(VENTAS[[#This Row],[Nombre del Gestor]]&gt;1,VENTAS[[#This Row],[Total]]*10%,0)</f>
        <v>0.5</v>
      </c>
      <c r="K1895" s="14">
        <f>IFERROR(VLOOKUP(VENTAS[[#This Row],[Código del producto Vendido]],STOCK[],16,FALSE)*VENTAS[[#This Row],[Cantidad]]+VLOOKUP(VENTAS[[#This Row],[Código del producto Vendido]],STOCK[],19,FALSE)*VENTAS[[#This Row],[Cantidad]],VENTAS[[#This Row],[Total]])</f>
        <v>0</v>
      </c>
      <c r="L1895" s="14">
        <f>VENTAS[[#This Row],[Total]]-VENTAS[[#This Row],[Comisión 10%]]-VENTAS[[#This Row],[Costo SIN Comision]]</f>
        <v>4.5</v>
      </c>
      <c r="M1895" s="48"/>
      <c r="N1895" s="49" t="s">
        <v>4767</v>
      </c>
    </row>
    <row r="1896" s="4" customFormat="1" ht="20" hidden="1" customHeight="1" spans="1:14">
      <c r="A1896" s="46">
        <v>45580</v>
      </c>
      <c r="B1896" s="47"/>
      <c r="C1896" s="47"/>
      <c r="D1896" s="47" t="s">
        <v>4768</v>
      </c>
      <c r="E1896" s="47" t="s">
        <v>3300</v>
      </c>
      <c r="F1896" s="11" t="str">
        <f>IFERROR(VLOOKUP(VENTAS[[#This Row],[Código del producto Vendido]],STOCK[],5,FALSE),"-")</f>
        <v>Conjunto de disfraz de policía (mono y cinturones)</v>
      </c>
      <c r="G1896" s="47">
        <v>1</v>
      </c>
      <c r="H1896" s="48">
        <v>25</v>
      </c>
      <c r="I1896" s="14">
        <f>VENTAS[[#This Row],[Cantidad]]*VENTAS[[#This Row],[Precio Venta]]</f>
        <v>25</v>
      </c>
      <c r="J1896" s="14">
        <f>IF(VENTAS[[#This Row],[Nombre del Gestor]]&gt;1,VENTAS[[#This Row],[Total]]*10%,0)</f>
        <v>2.5</v>
      </c>
      <c r="K1896" s="14">
        <f>IFERROR(VLOOKUP(VENTAS[[#This Row],[Código del producto Vendido]],STOCK[],16,FALSE)*VENTAS[[#This Row],[Cantidad]]+VLOOKUP(VENTAS[[#This Row],[Código del producto Vendido]],STOCK[],19,FALSE)*VENTAS[[#This Row],[Cantidad]],VENTAS[[#This Row],[Total]])</f>
        <v>0</v>
      </c>
      <c r="L1896" s="14">
        <f>VENTAS[[#This Row],[Total]]-VENTAS[[#This Row],[Comisión 10%]]-VENTAS[[#This Row],[Costo SIN Comision]]</f>
        <v>22.5</v>
      </c>
      <c r="M1896" s="48"/>
      <c r="N1896" s="49" t="s">
        <v>4769</v>
      </c>
    </row>
    <row r="1897" s="4" customFormat="1" ht="20" hidden="1" customHeight="1" spans="1:14">
      <c r="A1897" s="46">
        <v>45580</v>
      </c>
      <c r="B1897" s="47"/>
      <c r="C1897" s="47"/>
      <c r="D1897" s="47" t="s">
        <v>4770</v>
      </c>
      <c r="E1897" s="47" t="s">
        <v>3449</v>
      </c>
      <c r="F1897" s="11" t="str">
        <f>IFERROR(VLOOKUP(VENTAS[[#This Row],[Código del producto Vendido]],STOCK[],5,FALSE),"-")</f>
        <v>Cuchillo bromista</v>
      </c>
      <c r="G1897" s="47">
        <v>1</v>
      </c>
      <c r="H1897" s="48">
        <v>5</v>
      </c>
      <c r="I1897" s="14">
        <f>VENTAS[[#This Row],[Cantidad]]*VENTAS[[#This Row],[Precio Venta]]</f>
        <v>5</v>
      </c>
      <c r="J1897" s="14">
        <f>IF(VENTAS[[#This Row],[Nombre del Gestor]]&gt;1,VENTAS[[#This Row],[Total]]*10%,0)</f>
        <v>0.5</v>
      </c>
      <c r="K1897" s="14">
        <f>IFERROR(VLOOKUP(VENTAS[[#This Row],[Código del producto Vendido]],STOCK[],16,FALSE)*VENTAS[[#This Row],[Cantidad]]+VLOOKUP(VENTAS[[#This Row],[Código del producto Vendido]],STOCK[],19,FALSE)*VENTAS[[#This Row],[Cantidad]],VENTAS[[#This Row],[Total]])</f>
        <v>0</v>
      </c>
      <c r="L1897" s="14">
        <f>VENTAS[[#This Row],[Total]]-VENTAS[[#This Row],[Comisión 10%]]-VENTAS[[#This Row],[Costo SIN Comision]]</f>
        <v>4.5</v>
      </c>
      <c r="M1897" s="48"/>
      <c r="N1897" s="49" t="s">
        <v>4771</v>
      </c>
    </row>
    <row r="1898" s="4" customFormat="1" ht="20" hidden="1" customHeight="1" spans="1:14">
      <c r="A1898" s="46">
        <v>45580</v>
      </c>
      <c r="B1898" s="47"/>
      <c r="C1898" s="47"/>
      <c r="D1898" s="47" t="s">
        <v>4770</v>
      </c>
      <c r="E1898" s="47" t="s">
        <v>3395</v>
      </c>
      <c r="F1898" s="11" t="str">
        <f>IFERROR(VLOOKUP(VENTAS[[#This Row],[Código del producto Vendido]],STOCK[],5,FALSE),"-")</f>
        <v>Set de accesorios de monja 2 piezas</v>
      </c>
      <c r="G1898" s="47">
        <v>1</v>
      </c>
      <c r="H1898" s="48">
        <v>7</v>
      </c>
      <c r="I1898" s="14">
        <f>VENTAS[[#This Row],[Cantidad]]*VENTAS[[#This Row],[Precio Venta]]</f>
        <v>7</v>
      </c>
      <c r="J1898" s="14">
        <f>IF(VENTAS[[#This Row],[Nombre del Gestor]]&gt;1,VENTAS[[#This Row],[Total]]*10%,0)</f>
        <v>0.7</v>
      </c>
      <c r="K1898" s="14">
        <f>IFERROR(VLOOKUP(VENTAS[[#This Row],[Código del producto Vendido]],STOCK[],16,FALSE)*VENTAS[[#This Row],[Cantidad]]+VLOOKUP(VENTAS[[#This Row],[Código del producto Vendido]],STOCK[],19,FALSE)*VENTAS[[#This Row],[Cantidad]],VENTAS[[#This Row],[Total]])</f>
        <v>0</v>
      </c>
      <c r="L1898" s="14">
        <f>VENTAS[[#This Row],[Total]]-VENTAS[[#This Row],[Comisión 10%]]-VENTAS[[#This Row],[Costo SIN Comision]]</f>
        <v>6.3</v>
      </c>
      <c r="M1898" s="48"/>
      <c r="N1898" s="49" t="s">
        <v>4772</v>
      </c>
    </row>
    <row r="1899" s="4" customFormat="1" ht="20" hidden="1" customHeight="1" spans="1:14">
      <c r="A1899" s="46">
        <v>45580</v>
      </c>
      <c r="B1899" s="47"/>
      <c r="C1899" s="47"/>
      <c r="D1899" s="47" t="s">
        <v>4770</v>
      </c>
      <c r="E1899" s="47" t="s">
        <v>3298</v>
      </c>
      <c r="F1899" s="11" t="str">
        <f>IFERROR(VLOOKUP(VENTAS[[#This Row],[Código del producto Vendido]],STOCK[],5,FALSE),"-")</f>
        <v>Gorro invisible para colocación de pelucas</v>
      </c>
      <c r="G1899" s="47">
        <v>2</v>
      </c>
      <c r="H1899" s="48">
        <v>3</v>
      </c>
      <c r="I1899" s="14">
        <f>VENTAS[[#This Row],[Cantidad]]*VENTAS[[#This Row],[Precio Venta]]</f>
        <v>6</v>
      </c>
      <c r="J1899" s="14">
        <f>IF(VENTAS[[#This Row],[Nombre del Gestor]]&gt;1,VENTAS[[#This Row],[Total]]*10%,0)</f>
        <v>0.6</v>
      </c>
      <c r="K1899" s="14">
        <f>IFERROR(VLOOKUP(VENTAS[[#This Row],[Código del producto Vendido]],STOCK[],16,FALSE)*VENTAS[[#This Row],[Cantidad]]+VLOOKUP(VENTAS[[#This Row],[Código del producto Vendido]],STOCK[],19,FALSE)*VENTAS[[#This Row],[Cantidad]],VENTAS[[#This Row],[Total]])</f>
        <v>0</v>
      </c>
      <c r="L1899" s="14">
        <f>VENTAS[[#This Row],[Total]]-VENTAS[[#This Row],[Comisión 10%]]-VENTAS[[#This Row],[Costo SIN Comision]]</f>
        <v>5.4</v>
      </c>
      <c r="M1899" s="48"/>
      <c r="N1899" s="49" t="s">
        <v>4773</v>
      </c>
    </row>
    <row r="1900" s="4" customFormat="1" ht="20" hidden="1" customHeight="1" spans="1:14">
      <c r="A1900" s="46">
        <v>45580</v>
      </c>
      <c r="B1900" s="47"/>
      <c r="C1900" s="47"/>
      <c r="D1900" s="47" t="s">
        <v>4774</v>
      </c>
      <c r="E1900" s="47" t="s">
        <v>3449</v>
      </c>
      <c r="F1900" s="11" t="str">
        <f>IFERROR(VLOOKUP(VENTAS[[#This Row],[Código del producto Vendido]],STOCK[],5,FALSE),"-")</f>
        <v>Cuchillo bromista</v>
      </c>
      <c r="G1900" s="47">
        <v>1</v>
      </c>
      <c r="H1900" s="48">
        <v>5</v>
      </c>
      <c r="I1900" s="14">
        <f>VENTAS[[#This Row],[Cantidad]]*VENTAS[[#This Row],[Precio Venta]]</f>
        <v>5</v>
      </c>
      <c r="J1900" s="14">
        <f>IF(VENTAS[[#This Row],[Nombre del Gestor]]&gt;1,VENTAS[[#This Row],[Total]]*10%,0)</f>
        <v>0.5</v>
      </c>
      <c r="K1900" s="14">
        <f>IFERROR(VLOOKUP(VENTAS[[#This Row],[Código del producto Vendido]],STOCK[],16,FALSE)*VENTAS[[#This Row],[Cantidad]]+VLOOKUP(VENTAS[[#This Row],[Código del producto Vendido]],STOCK[],19,FALSE)*VENTAS[[#This Row],[Cantidad]],VENTAS[[#This Row],[Total]])</f>
        <v>0</v>
      </c>
      <c r="L1900" s="14">
        <f>VENTAS[[#This Row],[Total]]-VENTAS[[#This Row],[Comisión 10%]]-VENTAS[[#This Row],[Costo SIN Comision]]</f>
        <v>4.5</v>
      </c>
      <c r="M1900" s="48"/>
      <c r="N1900" s="49" t="s">
        <v>4775</v>
      </c>
    </row>
    <row r="1901" s="4" customFormat="1" ht="20" hidden="1" customHeight="1" spans="1:14">
      <c r="A1901" s="46">
        <v>45580</v>
      </c>
      <c r="B1901" s="47"/>
      <c r="C1901" s="47"/>
      <c r="D1901" s="47" t="s">
        <v>4722</v>
      </c>
      <c r="E1901" s="47" t="s">
        <v>3461</v>
      </c>
      <c r="F1901" s="11" t="str">
        <f>IFERROR(VLOOKUP(VENTAS[[#This Row],[Código del producto Vendido]],STOCK[],5,FALSE),"-")</f>
        <v>Diadema rosas blancas</v>
      </c>
      <c r="G1901" s="47">
        <v>1</v>
      </c>
      <c r="H1901" s="48">
        <v>5</v>
      </c>
      <c r="I1901" s="14">
        <f>VENTAS[[#This Row],[Cantidad]]*VENTAS[[#This Row],[Precio Venta]]</f>
        <v>5</v>
      </c>
      <c r="J1901" s="14">
        <f>IF(VENTAS[[#This Row],[Nombre del Gestor]]&gt;1,VENTAS[[#This Row],[Total]]*10%,0)</f>
        <v>0.5</v>
      </c>
      <c r="K1901" s="14">
        <f>IFERROR(VLOOKUP(VENTAS[[#This Row],[Código del producto Vendido]],STOCK[],16,FALSE)*VENTAS[[#This Row],[Cantidad]]+VLOOKUP(VENTAS[[#This Row],[Código del producto Vendido]],STOCK[],19,FALSE)*VENTAS[[#This Row],[Cantidad]],VENTAS[[#This Row],[Total]])</f>
        <v>0</v>
      </c>
      <c r="L1901" s="14">
        <f>VENTAS[[#This Row],[Total]]-VENTAS[[#This Row],[Comisión 10%]]-VENTAS[[#This Row],[Costo SIN Comision]]</f>
        <v>4.5</v>
      </c>
      <c r="M1901" s="48"/>
      <c r="N1901" s="49" t="s">
        <v>4776</v>
      </c>
    </row>
    <row r="1902" s="4" customFormat="1" ht="20" hidden="1" customHeight="1" spans="1:14">
      <c r="A1902" s="46">
        <v>45581</v>
      </c>
      <c r="B1902" s="47"/>
      <c r="C1902" s="47"/>
      <c r="D1902" s="47" t="s">
        <v>4777</v>
      </c>
      <c r="E1902" s="47" t="s">
        <v>3437</v>
      </c>
      <c r="F1902" s="11" t="str">
        <f>IFERROR(VLOOKUP(VENTAS[[#This Row],[Código del producto Vendido]],STOCK[],5,FALSE),"-")</f>
        <v>Sombrero grande de bruja</v>
      </c>
      <c r="G1902" s="47">
        <v>3</v>
      </c>
      <c r="H1902" s="48">
        <v>15</v>
      </c>
      <c r="I1902" s="14">
        <f>VENTAS[[#This Row],[Cantidad]]*VENTAS[[#This Row],[Precio Venta]]</f>
        <v>45</v>
      </c>
      <c r="J1902" s="14">
        <f>IF(VENTAS[[#This Row],[Nombre del Gestor]]&gt;1,VENTAS[[#This Row],[Total]]*10%,0)</f>
        <v>4.5</v>
      </c>
      <c r="K1902" s="14">
        <f>IFERROR(VLOOKUP(VENTAS[[#This Row],[Código del producto Vendido]],STOCK[],16,FALSE)*VENTAS[[#This Row],[Cantidad]]+VLOOKUP(VENTAS[[#This Row],[Código del producto Vendido]],STOCK[],19,FALSE)*VENTAS[[#This Row],[Cantidad]],VENTAS[[#This Row],[Total]])</f>
        <v>0</v>
      </c>
      <c r="L1902" s="14">
        <f>VENTAS[[#This Row],[Total]]-VENTAS[[#This Row],[Comisión 10%]]-VENTAS[[#This Row],[Costo SIN Comision]]</f>
        <v>40.5</v>
      </c>
      <c r="M1902" s="48"/>
      <c r="N1902" s="49" t="s">
        <v>4778</v>
      </c>
    </row>
    <row r="1903" s="4" customFormat="1" ht="20" hidden="1" customHeight="1" spans="1:14">
      <c r="A1903" s="46">
        <v>45581</v>
      </c>
      <c r="B1903" s="47"/>
      <c r="C1903" s="47"/>
      <c r="D1903" s="47" t="s">
        <v>4777</v>
      </c>
      <c r="E1903" s="47" t="s">
        <v>3427</v>
      </c>
      <c r="F1903" s="11" t="str">
        <f>IFERROR(VLOOKUP(VENTAS[[#This Row],[Código del producto Vendido]],STOCK[],5,FALSE),"-")</f>
        <v>Aretes de murciélagos</v>
      </c>
      <c r="G1903" s="47">
        <v>1</v>
      </c>
      <c r="H1903" s="48">
        <v>1.5</v>
      </c>
      <c r="I1903" s="14">
        <f>VENTAS[[#This Row],[Cantidad]]*VENTAS[[#This Row],[Precio Venta]]</f>
        <v>1.5</v>
      </c>
      <c r="J1903" s="14">
        <f>IF(VENTAS[[#This Row],[Nombre del Gestor]]&gt;1,VENTAS[[#This Row],[Total]]*10%,0)</f>
        <v>0.15</v>
      </c>
      <c r="K1903" s="14">
        <f>IFERROR(VLOOKUP(VENTAS[[#This Row],[Código del producto Vendido]],STOCK[],16,FALSE)*VENTAS[[#This Row],[Cantidad]]+VLOOKUP(VENTAS[[#This Row],[Código del producto Vendido]],STOCK[],19,FALSE)*VENTAS[[#This Row],[Cantidad]],VENTAS[[#This Row],[Total]])</f>
        <v>0</v>
      </c>
      <c r="L1903" s="14">
        <f>VENTAS[[#This Row],[Total]]-VENTAS[[#This Row],[Comisión 10%]]-VENTAS[[#This Row],[Costo SIN Comision]]</f>
        <v>1.35</v>
      </c>
      <c r="M1903" s="48"/>
      <c r="N1903" s="49" t="s">
        <v>4779</v>
      </c>
    </row>
    <row r="1904" s="4" customFormat="1" ht="20" hidden="1" customHeight="1" spans="1:14">
      <c r="A1904" s="46">
        <v>45581</v>
      </c>
      <c r="B1904" s="47"/>
      <c r="C1904" s="47"/>
      <c r="D1904" s="47" t="s">
        <v>4777</v>
      </c>
      <c r="E1904" s="47" t="s">
        <v>3411</v>
      </c>
      <c r="F1904" s="11" t="str">
        <f>IFERROR(VLOOKUP(VENTAS[[#This Row],[Código del producto Vendido]],STOCK[],5,FALSE),"-")</f>
        <v>Peluca de Cruella De Vill</v>
      </c>
      <c r="G1904" s="47">
        <v>1</v>
      </c>
      <c r="H1904" s="48">
        <v>25</v>
      </c>
      <c r="I1904" s="14">
        <f>VENTAS[[#This Row],[Cantidad]]*VENTAS[[#This Row],[Precio Venta]]</f>
        <v>25</v>
      </c>
      <c r="J1904" s="14">
        <f>IF(VENTAS[[#This Row],[Nombre del Gestor]]&gt;1,VENTAS[[#This Row],[Total]]*10%,0)</f>
        <v>2.5</v>
      </c>
      <c r="K1904" s="14">
        <f>IFERROR(VLOOKUP(VENTAS[[#This Row],[Código del producto Vendido]],STOCK[],16,FALSE)*VENTAS[[#This Row],[Cantidad]]+VLOOKUP(VENTAS[[#This Row],[Código del producto Vendido]],STOCK[],19,FALSE)*VENTAS[[#This Row],[Cantidad]],VENTAS[[#This Row],[Total]])</f>
        <v>0</v>
      </c>
      <c r="L1904" s="14">
        <f>VENTAS[[#This Row],[Total]]-VENTAS[[#This Row],[Comisión 10%]]-VENTAS[[#This Row],[Costo SIN Comision]]</f>
        <v>22.5</v>
      </c>
      <c r="M1904" s="48"/>
      <c r="N1904" s="49" t="s">
        <v>4780</v>
      </c>
    </row>
    <row r="1905" s="4" customFormat="1" ht="20" hidden="1" customHeight="1" spans="1:14">
      <c r="A1905" s="46">
        <v>45581</v>
      </c>
      <c r="B1905" s="47"/>
      <c r="C1905" s="47"/>
      <c r="D1905" s="47" t="s">
        <v>4777</v>
      </c>
      <c r="E1905" s="47" t="s">
        <v>3392</v>
      </c>
      <c r="F1905" s="11" t="str">
        <f>IFERROR(VLOOKUP(VENTAS[[#This Row],[Código del producto Vendido]],STOCK[],5,FALSE),"-")</f>
        <v>Disfraz de Barbie para niñas</v>
      </c>
      <c r="G1905" s="47">
        <v>1</v>
      </c>
      <c r="H1905" s="48">
        <v>20</v>
      </c>
      <c r="I1905" s="14">
        <f>VENTAS[[#This Row],[Cantidad]]*VENTAS[[#This Row],[Precio Venta]]</f>
        <v>20</v>
      </c>
      <c r="J1905" s="14">
        <f>IF(VENTAS[[#This Row],[Nombre del Gestor]]&gt;1,VENTAS[[#This Row],[Total]]*10%,0)</f>
        <v>2</v>
      </c>
      <c r="K1905" s="14">
        <f>IFERROR(VLOOKUP(VENTAS[[#This Row],[Código del producto Vendido]],STOCK[],16,FALSE)*VENTAS[[#This Row],[Cantidad]]+VLOOKUP(VENTAS[[#This Row],[Código del producto Vendido]],STOCK[],19,FALSE)*VENTAS[[#This Row],[Cantidad]],VENTAS[[#This Row],[Total]])</f>
        <v>0</v>
      </c>
      <c r="L1905" s="14">
        <f>VENTAS[[#This Row],[Total]]-VENTAS[[#This Row],[Comisión 10%]]-VENTAS[[#This Row],[Costo SIN Comision]]</f>
        <v>18</v>
      </c>
      <c r="M1905" s="48"/>
      <c r="N1905" s="49" t="s">
        <v>4781</v>
      </c>
    </row>
    <row r="1906" s="4" customFormat="1" ht="20" hidden="1" customHeight="1" spans="1:14">
      <c r="A1906" s="46">
        <v>45581</v>
      </c>
      <c r="B1906" s="47"/>
      <c r="C1906" s="47"/>
      <c r="D1906" s="47" t="s">
        <v>4777</v>
      </c>
      <c r="E1906" s="47" t="s">
        <v>3325</v>
      </c>
      <c r="F1906" s="11" t="str">
        <f>IFERROR(VLOOKUP(VENTAS[[#This Row],[Código del producto Vendido]],STOCK[],5,FALSE),"-")</f>
        <v>Máscara de bruja realista con peluca incluída</v>
      </c>
      <c r="G1906" s="47">
        <v>1</v>
      </c>
      <c r="H1906" s="48">
        <v>22</v>
      </c>
      <c r="I1906" s="14">
        <f>VENTAS[[#This Row],[Cantidad]]*VENTAS[[#This Row],[Precio Venta]]</f>
        <v>22</v>
      </c>
      <c r="J1906" s="14">
        <f>IF(VENTAS[[#This Row],[Nombre del Gestor]]&gt;1,VENTAS[[#This Row],[Total]]*10%,0)</f>
        <v>2.2</v>
      </c>
      <c r="K1906" s="14">
        <f>IFERROR(VLOOKUP(VENTAS[[#This Row],[Código del producto Vendido]],STOCK[],16,FALSE)*VENTAS[[#This Row],[Cantidad]]+VLOOKUP(VENTAS[[#This Row],[Código del producto Vendido]],STOCK[],19,FALSE)*VENTAS[[#This Row],[Cantidad]],VENTAS[[#This Row],[Total]])</f>
        <v>0</v>
      </c>
      <c r="L1906" s="14">
        <f>VENTAS[[#This Row],[Total]]-VENTAS[[#This Row],[Comisión 10%]]-VENTAS[[#This Row],[Costo SIN Comision]]</f>
        <v>19.8</v>
      </c>
      <c r="M1906" s="48"/>
      <c r="N1906" s="49" t="s">
        <v>4782</v>
      </c>
    </row>
    <row r="1907" s="4" customFormat="1" ht="20" hidden="1" customHeight="1" spans="1:14">
      <c r="A1907" s="46">
        <v>45581</v>
      </c>
      <c r="B1907" s="47"/>
      <c r="C1907" s="47"/>
      <c r="D1907" s="47" t="s">
        <v>4777</v>
      </c>
      <c r="E1907" s="47" t="s">
        <v>3325</v>
      </c>
      <c r="F1907" s="11" t="str">
        <f>IFERROR(VLOOKUP(VENTAS[[#This Row],[Código del producto Vendido]],STOCK[],5,FALSE),"-")</f>
        <v>Máscara de bruja realista con peluca incluída</v>
      </c>
      <c r="G1907" s="47">
        <v>1</v>
      </c>
      <c r="H1907" s="48">
        <v>22</v>
      </c>
      <c r="I1907" s="14">
        <f>VENTAS[[#This Row],[Cantidad]]*VENTAS[[#This Row],[Precio Venta]]</f>
        <v>22</v>
      </c>
      <c r="J1907" s="14">
        <f>IF(VENTAS[[#This Row],[Nombre del Gestor]]&gt;1,VENTAS[[#This Row],[Total]]*10%,0)</f>
        <v>2.2</v>
      </c>
      <c r="K1907" s="14">
        <f>IFERROR(VLOOKUP(VENTAS[[#This Row],[Código del producto Vendido]],STOCK[],16,FALSE)*VENTAS[[#This Row],[Cantidad]]+VLOOKUP(VENTAS[[#This Row],[Código del producto Vendido]],STOCK[],19,FALSE)*VENTAS[[#This Row],[Cantidad]],VENTAS[[#This Row],[Total]])</f>
        <v>0</v>
      </c>
      <c r="L1907" s="14">
        <f>VENTAS[[#This Row],[Total]]-VENTAS[[#This Row],[Comisión 10%]]-VENTAS[[#This Row],[Costo SIN Comision]]</f>
        <v>19.8</v>
      </c>
      <c r="M1907" s="48"/>
      <c r="N1907" s="49" t="s">
        <v>4783</v>
      </c>
    </row>
    <row r="1908" s="4" customFormat="1" ht="20" hidden="1" customHeight="1" spans="1:14">
      <c r="A1908" s="46">
        <v>45581</v>
      </c>
      <c r="B1908" s="47"/>
      <c r="C1908" s="47"/>
      <c r="D1908" s="47" t="s">
        <v>4784</v>
      </c>
      <c r="E1908" s="47" t="s">
        <v>3327</v>
      </c>
      <c r="F1908" s="11" t="str">
        <f>IFERROR(VLOOKUP(VENTAS[[#This Row],[Código del producto Vendido]],STOCK[],5,FALSE),"-")</f>
        <v>Careta Anonimous</v>
      </c>
      <c r="G1908" s="47">
        <v>8</v>
      </c>
      <c r="H1908" s="48">
        <v>0</v>
      </c>
      <c r="I1908" s="14">
        <f>VENTAS[[#This Row],[Cantidad]]*VENTAS[[#This Row],[Precio Venta]]</f>
        <v>0</v>
      </c>
      <c r="J1908" s="14">
        <f>IF(VENTAS[[#This Row],[Nombre del Gestor]]&gt;1,VENTAS[[#This Row],[Total]]*10%,0)</f>
        <v>0</v>
      </c>
      <c r="K1908" s="14">
        <f>IFERROR(VLOOKUP(VENTAS[[#This Row],[Código del producto Vendido]],STOCK[],16,FALSE)*VENTAS[[#This Row],[Cantidad]]+VLOOKUP(VENTAS[[#This Row],[Código del producto Vendido]],STOCK[],19,FALSE)*VENTAS[[#This Row],[Cantidad]],VENTAS[[#This Row],[Total]])</f>
        <v>0</v>
      </c>
      <c r="L1908" s="14">
        <f>VENTAS[[#This Row],[Total]]-VENTAS[[#This Row],[Comisión 10%]]-VENTAS[[#This Row],[Costo SIN Comision]]</f>
        <v>0</v>
      </c>
      <c r="M1908" s="48"/>
      <c r="N1908" s="49" t="s">
        <v>4785</v>
      </c>
    </row>
    <row r="1909" s="4" customFormat="1" ht="20" hidden="1" customHeight="1" spans="1:14">
      <c r="A1909" s="46">
        <v>45581</v>
      </c>
      <c r="B1909" s="47"/>
      <c r="C1909" s="47"/>
      <c r="D1909" s="47" t="s">
        <v>4272</v>
      </c>
      <c r="E1909" s="47" t="s">
        <v>3294</v>
      </c>
      <c r="F1909" s="11" t="str">
        <f>IFERROR(VLOOKUP(VENTAS[[#This Row],[Código del producto Vendido]],STOCK[],5,FALSE),"-")</f>
        <v>Conjunto disfraz de Monja</v>
      </c>
      <c r="G1909" s="47">
        <v>1</v>
      </c>
      <c r="H1909" s="48">
        <v>20</v>
      </c>
      <c r="I1909" s="14">
        <f>VENTAS[[#This Row],[Cantidad]]*VENTAS[[#This Row],[Precio Venta]]</f>
        <v>20</v>
      </c>
      <c r="J1909" s="14">
        <f>IF(VENTAS[[#This Row],[Nombre del Gestor]]&gt;1,VENTAS[[#This Row],[Total]]*10%,0)</f>
        <v>2</v>
      </c>
      <c r="K1909" s="14">
        <f>IFERROR(VLOOKUP(VENTAS[[#This Row],[Código del producto Vendido]],STOCK[],16,FALSE)*VENTAS[[#This Row],[Cantidad]]+VLOOKUP(VENTAS[[#This Row],[Código del producto Vendido]],STOCK[],19,FALSE)*VENTAS[[#This Row],[Cantidad]],VENTAS[[#This Row],[Total]])</f>
        <v>0</v>
      </c>
      <c r="L1909" s="14">
        <f>VENTAS[[#This Row],[Total]]-VENTAS[[#This Row],[Comisión 10%]]-VENTAS[[#This Row],[Costo SIN Comision]]</f>
        <v>18</v>
      </c>
      <c r="M1909" s="48"/>
      <c r="N1909" s="49" t="s">
        <v>4786</v>
      </c>
    </row>
    <row r="1910" s="4" customFormat="1" ht="20" hidden="1" customHeight="1" spans="1:14">
      <c r="A1910" s="46">
        <v>45581</v>
      </c>
      <c r="B1910" s="47"/>
      <c r="C1910" s="47"/>
      <c r="D1910" s="47" t="s">
        <v>4427</v>
      </c>
      <c r="E1910" s="47" t="s">
        <v>3429</v>
      </c>
      <c r="F1910" s="11" t="str">
        <f>IFERROR(VLOOKUP(VENTAS[[#This Row],[Código del producto Vendido]],STOCK[],5,FALSE),"-")</f>
        <v>Pullover negro de Calabaza</v>
      </c>
      <c r="G1910" s="47">
        <v>1</v>
      </c>
      <c r="H1910" s="48">
        <v>12</v>
      </c>
      <c r="I1910" s="14">
        <f>VENTAS[[#This Row],[Cantidad]]*VENTAS[[#This Row],[Precio Venta]]</f>
        <v>12</v>
      </c>
      <c r="J1910" s="14">
        <f>IF(VENTAS[[#This Row],[Nombre del Gestor]]&gt;1,VENTAS[[#This Row],[Total]]*10%,0)</f>
        <v>1.2</v>
      </c>
      <c r="K1910" s="14">
        <f>IFERROR(VLOOKUP(VENTAS[[#This Row],[Código del producto Vendido]],STOCK[],16,FALSE)*VENTAS[[#This Row],[Cantidad]]+VLOOKUP(VENTAS[[#This Row],[Código del producto Vendido]],STOCK[],19,FALSE)*VENTAS[[#This Row],[Cantidad]],VENTAS[[#This Row],[Total]])</f>
        <v>0</v>
      </c>
      <c r="L1910" s="14">
        <f>VENTAS[[#This Row],[Total]]-VENTAS[[#This Row],[Comisión 10%]]-VENTAS[[#This Row],[Costo SIN Comision]]</f>
        <v>10.8</v>
      </c>
      <c r="M1910" s="48"/>
      <c r="N1910" s="49" t="s">
        <v>4787</v>
      </c>
    </row>
    <row r="1911" s="4" customFormat="1" ht="20" hidden="1" customHeight="1" spans="1:14">
      <c r="A1911" s="46">
        <v>45581</v>
      </c>
      <c r="B1911" s="47"/>
      <c r="C1911" s="47"/>
      <c r="D1911" s="47" t="s">
        <v>4266</v>
      </c>
      <c r="E1911" s="47" t="s">
        <v>440</v>
      </c>
      <c r="F1911" s="11" t="str">
        <f>IFERROR(VLOOKUP(VENTAS[[#This Row],[Código del producto Vendido]],STOCK[],5,FALSE),"-")</f>
        <v>Blusa de cuello cisne</v>
      </c>
      <c r="G1911" s="47">
        <v>1</v>
      </c>
      <c r="H1911" s="48">
        <v>10</v>
      </c>
      <c r="I1911" s="14">
        <f>VENTAS[[#This Row],[Cantidad]]*VENTAS[[#This Row],[Precio Venta]]</f>
        <v>10</v>
      </c>
      <c r="J1911" s="14">
        <f>IF(VENTAS[[#This Row],[Nombre del Gestor]]&gt;1,VENTAS[[#This Row],[Total]]*10%,0)</f>
        <v>1</v>
      </c>
      <c r="K1911" s="14">
        <f>IFERROR(VLOOKUP(VENTAS[[#This Row],[Código del producto Vendido]],STOCK[],16,FALSE)*VENTAS[[#This Row],[Cantidad]]+VLOOKUP(VENTAS[[#This Row],[Código del producto Vendido]],STOCK[],19,FALSE)*VENTAS[[#This Row],[Cantidad]],VENTAS[[#This Row],[Total]])</f>
        <v>6.65666666666667</v>
      </c>
      <c r="L1911" s="14">
        <f>VENTAS[[#This Row],[Total]]-VENTAS[[#This Row],[Comisión 10%]]-VENTAS[[#This Row],[Costo SIN Comision]]</f>
        <v>2.34333333333333</v>
      </c>
      <c r="M1911" s="48"/>
      <c r="N1911" s="49" t="s">
        <v>4788</v>
      </c>
    </row>
    <row r="1912" s="4" customFormat="1" ht="20" hidden="1" customHeight="1" spans="1:14">
      <c r="A1912" s="46">
        <v>45581</v>
      </c>
      <c r="B1912" s="47"/>
      <c r="C1912" s="47"/>
      <c r="D1912" s="47" t="s">
        <v>4266</v>
      </c>
      <c r="E1912" s="47" t="s">
        <v>2273</v>
      </c>
      <c r="F1912" s="11" t="str">
        <f>IFERROR(VLOOKUP(VENTAS[[#This Row],[Código del producto Vendido]],STOCK[],5,FALSE),"-")</f>
        <v>Bolso shopper flores pequeñas coloridas</v>
      </c>
      <c r="G1912" s="47">
        <v>1</v>
      </c>
      <c r="H1912" s="48">
        <v>15</v>
      </c>
      <c r="I1912" s="14">
        <f>VENTAS[[#This Row],[Cantidad]]*VENTAS[[#This Row],[Precio Venta]]</f>
        <v>15</v>
      </c>
      <c r="J1912" s="14">
        <f>IF(VENTAS[[#This Row],[Nombre del Gestor]]&gt;1,VENTAS[[#This Row],[Total]]*10%,0)</f>
        <v>1.5</v>
      </c>
      <c r="K1912" s="14">
        <f>IFERROR(VLOOKUP(VENTAS[[#This Row],[Código del producto Vendido]],STOCK[],16,FALSE)*VENTAS[[#This Row],[Cantidad]]+VLOOKUP(VENTAS[[#This Row],[Código del producto Vendido]],STOCK[],19,FALSE)*VENTAS[[#This Row],[Cantidad]],VENTAS[[#This Row],[Total]])</f>
        <v>6.89</v>
      </c>
      <c r="L1912" s="14">
        <f>VENTAS[[#This Row],[Total]]-VENTAS[[#This Row],[Comisión 10%]]-VENTAS[[#This Row],[Costo SIN Comision]]</f>
        <v>6.61</v>
      </c>
      <c r="M1912" s="48"/>
      <c r="N1912" s="49" t="s">
        <v>4789</v>
      </c>
    </row>
    <row r="1913" s="4" customFormat="1" ht="20" hidden="1" customHeight="1" spans="1:14">
      <c r="A1913" s="46">
        <v>45581</v>
      </c>
      <c r="B1913" s="47"/>
      <c r="C1913" s="47"/>
      <c r="D1913" s="47" t="s">
        <v>4076</v>
      </c>
      <c r="E1913" s="47" t="s">
        <v>2806</v>
      </c>
      <c r="F1913" s="11" t="str">
        <f>IFERROR(VLOOKUP(VENTAS[[#This Row],[Código del producto Vendido]],STOCK[],5,FALSE),"-")</f>
        <v>Sandalias espadriles de cuña de correas transparentes</v>
      </c>
      <c r="G1913" s="47">
        <v>1</v>
      </c>
      <c r="H1913" s="48">
        <v>40</v>
      </c>
      <c r="I1913" s="14">
        <f>VENTAS[[#This Row],[Cantidad]]*VENTAS[[#This Row],[Precio Venta]]</f>
        <v>40</v>
      </c>
      <c r="J1913" s="14">
        <f>IF(VENTAS[[#This Row],[Nombre del Gestor]]&gt;1,VENTAS[[#This Row],[Total]]*10%,0)</f>
        <v>4</v>
      </c>
      <c r="K1913" s="14">
        <f>IFERROR(VLOOKUP(VENTAS[[#This Row],[Código del producto Vendido]],STOCK[],16,FALSE)*VENTAS[[#This Row],[Cantidad]]+VLOOKUP(VENTAS[[#This Row],[Código del producto Vendido]],STOCK[],19,FALSE)*VENTAS[[#This Row],[Cantidad]],VENTAS[[#This Row],[Total]])</f>
        <v>13.01</v>
      </c>
      <c r="L1913" s="14">
        <f>VENTAS[[#This Row],[Total]]-VENTAS[[#This Row],[Comisión 10%]]-VENTAS[[#This Row],[Costo SIN Comision]]</f>
        <v>22.99</v>
      </c>
      <c r="M1913" s="48"/>
      <c r="N1913" s="49" t="s">
        <v>4790</v>
      </c>
    </row>
    <row r="1914" s="4" customFormat="1" ht="20" hidden="1" customHeight="1" spans="1:14">
      <c r="A1914" s="46">
        <v>45581</v>
      </c>
      <c r="B1914" s="47"/>
      <c r="C1914" s="47"/>
      <c r="D1914" s="47" t="s">
        <v>4270</v>
      </c>
      <c r="E1914" s="47" t="s">
        <v>2932</v>
      </c>
      <c r="F1914" s="11" t="str">
        <f>IFERROR(VLOOKUP(VENTAS[[#This Row],[Código del producto Vendido]],STOCK[],5,FALSE),"-")</f>
        <v>Jeans de talle alto y pierna ancha color azul claro</v>
      </c>
      <c r="G1914" s="47">
        <v>1</v>
      </c>
      <c r="H1914" s="48">
        <v>30</v>
      </c>
      <c r="I1914" s="14">
        <f>VENTAS[[#This Row],[Cantidad]]*VENTAS[[#This Row],[Precio Venta]]</f>
        <v>30</v>
      </c>
      <c r="J1914" s="14">
        <f>IF(VENTAS[[#This Row],[Nombre del Gestor]]&gt;1,VENTAS[[#This Row],[Total]]*10%,0)</f>
        <v>3</v>
      </c>
      <c r="K1914" s="14">
        <f>IFERROR(VLOOKUP(VENTAS[[#This Row],[Código del producto Vendido]],STOCK[],16,FALSE)*VENTAS[[#This Row],[Cantidad]]+VLOOKUP(VENTAS[[#This Row],[Código del producto Vendido]],STOCK[],19,FALSE)*VENTAS[[#This Row],[Cantidad]],VENTAS[[#This Row],[Total]])</f>
        <v>12.47</v>
      </c>
      <c r="L1914" s="14">
        <f>VENTAS[[#This Row],[Total]]-VENTAS[[#This Row],[Comisión 10%]]-VENTAS[[#This Row],[Costo SIN Comision]]</f>
        <v>14.53</v>
      </c>
      <c r="M1914" s="48"/>
      <c r="N1914" s="49" t="s">
        <v>4791</v>
      </c>
    </row>
    <row r="1915" s="4" customFormat="1" ht="20" hidden="1" customHeight="1" spans="1:14">
      <c r="A1915" s="46">
        <v>45581</v>
      </c>
      <c r="B1915" s="47"/>
      <c r="C1915" s="47"/>
      <c r="D1915" s="47" t="s">
        <v>4266</v>
      </c>
      <c r="E1915" s="47" t="s">
        <v>3300</v>
      </c>
      <c r="F1915" s="11" t="str">
        <f>IFERROR(VLOOKUP(VENTAS[[#This Row],[Código del producto Vendido]],STOCK[],5,FALSE),"-")</f>
        <v>Conjunto de disfraz de policía (mono y cinturones)</v>
      </c>
      <c r="G1915" s="47">
        <v>1</v>
      </c>
      <c r="H1915" s="48">
        <v>25</v>
      </c>
      <c r="I1915" s="14">
        <f>VENTAS[[#This Row],[Cantidad]]*VENTAS[[#This Row],[Precio Venta]]</f>
        <v>25</v>
      </c>
      <c r="J1915" s="14">
        <f>IF(VENTAS[[#This Row],[Nombre del Gestor]]&gt;1,VENTAS[[#This Row],[Total]]*10%,0)</f>
        <v>2.5</v>
      </c>
      <c r="K1915" s="14">
        <f>IFERROR(VLOOKUP(VENTAS[[#This Row],[Código del producto Vendido]],STOCK[],16,FALSE)*VENTAS[[#This Row],[Cantidad]]+VLOOKUP(VENTAS[[#This Row],[Código del producto Vendido]],STOCK[],19,FALSE)*VENTAS[[#This Row],[Cantidad]],VENTAS[[#This Row],[Total]])</f>
        <v>0</v>
      </c>
      <c r="L1915" s="14">
        <f>VENTAS[[#This Row],[Total]]-VENTAS[[#This Row],[Comisión 10%]]-VENTAS[[#This Row],[Costo SIN Comision]]</f>
        <v>22.5</v>
      </c>
      <c r="M1915" s="48"/>
      <c r="N1915" s="49" t="s">
        <v>4792</v>
      </c>
    </row>
    <row r="1916" s="4" customFormat="1" ht="20" hidden="1" customHeight="1" spans="1:14">
      <c r="A1916" s="46">
        <v>45581</v>
      </c>
      <c r="B1916" s="47"/>
      <c r="C1916" s="47"/>
      <c r="D1916" s="47" t="s">
        <v>4266</v>
      </c>
      <c r="E1916" s="47" t="s">
        <v>3357</v>
      </c>
      <c r="F1916" s="11" t="str">
        <f>IFERROR(VLOOKUP(VENTAS[[#This Row],[Código del producto Vendido]],STOCK[],5,FALSE),"-")</f>
        <v>Mascara careta aterrradora</v>
      </c>
      <c r="G1916" s="47">
        <v>1</v>
      </c>
      <c r="H1916" s="48">
        <v>12</v>
      </c>
      <c r="I1916" s="14">
        <f>VENTAS[[#This Row],[Cantidad]]*VENTAS[[#This Row],[Precio Venta]]</f>
        <v>12</v>
      </c>
      <c r="J1916" s="14">
        <f>IF(VENTAS[[#This Row],[Nombre del Gestor]]&gt;1,VENTAS[[#This Row],[Total]]*10%,0)</f>
        <v>1.2</v>
      </c>
      <c r="K1916" s="14">
        <f>IFERROR(VLOOKUP(VENTAS[[#This Row],[Código del producto Vendido]],STOCK[],16,FALSE)*VENTAS[[#This Row],[Cantidad]]+VLOOKUP(VENTAS[[#This Row],[Código del producto Vendido]],STOCK[],19,FALSE)*VENTAS[[#This Row],[Cantidad]],VENTAS[[#This Row],[Total]])</f>
        <v>0</v>
      </c>
      <c r="L1916" s="14">
        <f>VENTAS[[#This Row],[Total]]-VENTAS[[#This Row],[Comisión 10%]]-VENTAS[[#This Row],[Costo SIN Comision]]</f>
        <v>10.8</v>
      </c>
      <c r="M1916" s="48"/>
      <c r="N1916" s="49" t="s">
        <v>4793</v>
      </c>
    </row>
    <row r="1917" s="4" customFormat="1" ht="20" hidden="1" customHeight="1" spans="1:14">
      <c r="A1917" s="46">
        <v>45581</v>
      </c>
      <c r="B1917" s="47"/>
      <c r="C1917" s="47"/>
      <c r="D1917" s="47" t="s">
        <v>4266</v>
      </c>
      <c r="E1917" s="47" t="s">
        <v>3443</v>
      </c>
      <c r="F1917" s="11" t="str">
        <f>IFERROR(VLOOKUP(VENTAS[[#This Row],[Código del producto Vendido]],STOCK[],5,FALSE),"-")</f>
        <v>Gafas de carrera para disfraz de motorista</v>
      </c>
      <c r="G1917" s="47">
        <v>1</v>
      </c>
      <c r="H1917" s="48">
        <v>10</v>
      </c>
      <c r="I1917" s="14">
        <f>VENTAS[[#This Row],[Cantidad]]*VENTAS[[#This Row],[Precio Venta]]</f>
        <v>10</v>
      </c>
      <c r="J1917" s="14">
        <f>IF(VENTAS[[#This Row],[Nombre del Gestor]]&gt;1,VENTAS[[#This Row],[Total]]*10%,0)</f>
        <v>1</v>
      </c>
      <c r="K1917" s="14">
        <f>IFERROR(VLOOKUP(VENTAS[[#This Row],[Código del producto Vendido]],STOCK[],16,FALSE)*VENTAS[[#This Row],[Cantidad]]+VLOOKUP(VENTAS[[#This Row],[Código del producto Vendido]],STOCK[],19,FALSE)*VENTAS[[#This Row],[Cantidad]],VENTAS[[#This Row],[Total]])</f>
        <v>0</v>
      </c>
      <c r="L1917" s="14">
        <f>VENTAS[[#This Row],[Total]]-VENTAS[[#This Row],[Comisión 10%]]-VENTAS[[#This Row],[Costo SIN Comision]]</f>
        <v>9</v>
      </c>
      <c r="M1917" s="48"/>
      <c r="N1917" s="49" t="s">
        <v>4794</v>
      </c>
    </row>
    <row r="1918" s="4" customFormat="1" ht="20" hidden="1" customHeight="1" spans="1:14">
      <c r="A1918" s="46">
        <v>45581</v>
      </c>
      <c r="B1918" s="47"/>
      <c r="C1918" s="47"/>
      <c r="D1918" s="47" t="s">
        <v>4266</v>
      </c>
      <c r="E1918" s="47" t="s">
        <v>3359</v>
      </c>
      <c r="F1918" s="11" t="str">
        <f>IFERROR(VLOOKUP(VENTAS[[#This Row],[Código del producto Vendido]],STOCK[],5,FALSE),"-")</f>
        <v>Máscara completa de payaso del terror con mini sombrero integrado</v>
      </c>
      <c r="G1918" s="47">
        <v>1</v>
      </c>
      <c r="H1918" s="48">
        <v>20</v>
      </c>
      <c r="I1918" s="14">
        <f>VENTAS[[#This Row],[Cantidad]]*VENTAS[[#This Row],[Precio Venta]]</f>
        <v>20</v>
      </c>
      <c r="J1918" s="14">
        <f>IF(VENTAS[[#This Row],[Nombre del Gestor]]&gt;1,VENTAS[[#This Row],[Total]]*10%,0)</f>
        <v>2</v>
      </c>
      <c r="K1918" s="14">
        <f>IFERROR(VLOOKUP(VENTAS[[#This Row],[Código del producto Vendido]],STOCK[],16,FALSE)*VENTAS[[#This Row],[Cantidad]]+VLOOKUP(VENTAS[[#This Row],[Código del producto Vendido]],STOCK[],19,FALSE)*VENTAS[[#This Row],[Cantidad]],VENTAS[[#This Row],[Total]])</f>
        <v>0</v>
      </c>
      <c r="L1918" s="14">
        <f>VENTAS[[#This Row],[Total]]-VENTAS[[#This Row],[Comisión 10%]]-VENTAS[[#This Row],[Costo SIN Comision]]</f>
        <v>18</v>
      </c>
      <c r="M1918" s="48"/>
      <c r="N1918" s="49" t="s">
        <v>4795</v>
      </c>
    </row>
    <row r="1919" s="4" customFormat="1" ht="20" hidden="1" customHeight="1" spans="1:14">
      <c r="A1919" s="46">
        <v>45581</v>
      </c>
      <c r="B1919" s="47"/>
      <c r="C1919" s="47"/>
      <c r="D1919" s="47" t="s">
        <v>4463</v>
      </c>
      <c r="E1919" s="47" t="s">
        <v>3323</v>
      </c>
      <c r="F1919" s="11" t="str">
        <f>IFERROR(VLOOKUP(VENTAS[[#This Row],[Código del producto Vendido]],STOCK[],5,FALSE),"-")</f>
        <v>Máscara de Bathman</v>
      </c>
      <c r="G1919" s="47">
        <v>1</v>
      </c>
      <c r="H1919" s="48">
        <v>6</v>
      </c>
      <c r="I1919" s="14">
        <f>VENTAS[[#This Row],[Cantidad]]*VENTAS[[#This Row],[Precio Venta]]</f>
        <v>6</v>
      </c>
      <c r="J1919" s="14">
        <f>IF(VENTAS[[#This Row],[Nombre del Gestor]]&gt;1,VENTAS[[#This Row],[Total]]*10%,0)</f>
        <v>0.6</v>
      </c>
      <c r="K1919" s="14">
        <f>IFERROR(VLOOKUP(VENTAS[[#This Row],[Código del producto Vendido]],STOCK[],16,FALSE)*VENTAS[[#This Row],[Cantidad]]+VLOOKUP(VENTAS[[#This Row],[Código del producto Vendido]],STOCK[],19,FALSE)*VENTAS[[#This Row],[Cantidad]],VENTAS[[#This Row],[Total]])</f>
        <v>0</v>
      </c>
      <c r="L1919" s="14">
        <f>VENTAS[[#This Row],[Total]]-VENTAS[[#This Row],[Comisión 10%]]-VENTAS[[#This Row],[Costo SIN Comision]]</f>
        <v>5.4</v>
      </c>
      <c r="M1919" s="48"/>
      <c r="N1919" s="49" t="s">
        <v>4796</v>
      </c>
    </row>
    <row r="1920" s="4" customFormat="1" ht="20" hidden="1" customHeight="1" spans="1:14">
      <c r="A1920" s="46">
        <v>45581</v>
      </c>
      <c r="B1920" s="47"/>
      <c r="C1920" s="47"/>
      <c r="D1920" s="47" t="s">
        <v>4463</v>
      </c>
      <c r="E1920" s="47" t="s">
        <v>3340</v>
      </c>
      <c r="F1920" s="11" t="str">
        <f>IFERROR(VLOOKUP(VENTAS[[#This Row],[Código del producto Vendido]],STOCK[],5,FALSE),"-")</f>
        <v>Vestido de Traje de conejita con diadema de orejas</v>
      </c>
      <c r="G1920" s="47">
        <v>1</v>
      </c>
      <c r="H1920" s="48">
        <v>25</v>
      </c>
      <c r="I1920" s="14">
        <f>VENTAS[[#This Row],[Cantidad]]*VENTAS[[#This Row],[Precio Venta]]</f>
        <v>25</v>
      </c>
      <c r="J1920" s="14">
        <f>IF(VENTAS[[#This Row],[Nombre del Gestor]]&gt;1,VENTAS[[#This Row],[Total]]*10%,0)</f>
        <v>2.5</v>
      </c>
      <c r="K1920" s="14">
        <f>IFERROR(VLOOKUP(VENTAS[[#This Row],[Código del producto Vendido]],STOCK[],16,FALSE)*VENTAS[[#This Row],[Cantidad]]+VLOOKUP(VENTAS[[#This Row],[Código del producto Vendido]],STOCK[],19,FALSE)*VENTAS[[#This Row],[Cantidad]],VENTAS[[#This Row],[Total]])</f>
        <v>0</v>
      </c>
      <c r="L1920" s="14">
        <f>VENTAS[[#This Row],[Total]]-VENTAS[[#This Row],[Comisión 10%]]-VENTAS[[#This Row],[Costo SIN Comision]]</f>
        <v>22.5</v>
      </c>
      <c r="M1920" s="48"/>
      <c r="N1920" s="49" t="s">
        <v>4797</v>
      </c>
    </row>
    <row r="1921" s="4" customFormat="1" ht="20" hidden="1" customHeight="1" spans="1:14">
      <c r="A1921" s="46">
        <v>45581</v>
      </c>
      <c r="B1921" s="47"/>
      <c r="C1921" s="47"/>
      <c r="D1921" s="47" t="s">
        <v>4463</v>
      </c>
      <c r="E1921" s="47" t="s">
        <v>3351</v>
      </c>
      <c r="F1921" s="11" t="str">
        <f>IFERROR(VLOOKUP(VENTAS[[#This Row],[Código del producto Vendido]],STOCK[],5,FALSE),"-")</f>
        <v>Conjunto de disfraz de 4 piezas (top, falda, medias y diadema)</v>
      </c>
      <c r="G1921" s="47">
        <v>1</v>
      </c>
      <c r="H1921" s="48">
        <v>25</v>
      </c>
      <c r="I1921" s="14">
        <f>VENTAS[[#This Row],[Cantidad]]*VENTAS[[#This Row],[Precio Venta]]</f>
        <v>25</v>
      </c>
      <c r="J1921" s="14">
        <f>IF(VENTAS[[#This Row],[Nombre del Gestor]]&gt;1,VENTAS[[#This Row],[Total]]*10%,0)</f>
        <v>2.5</v>
      </c>
      <c r="K1921" s="14">
        <f>IFERROR(VLOOKUP(VENTAS[[#This Row],[Código del producto Vendido]],STOCK[],16,FALSE)*VENTAS[[#This Row],[Cantidad]]+VLOOKUP(VENTAS[[#This Row],[Código del producto Vendido]],STOCK[],19,FALSE)*VENTAS[[#This Row],[Cantidad]],VENTAS[[#This Row],[Total]])</f>
        <v>0</v>
      </c>
      <c r="L1921" s="14">
        <f>VENTAS[[#This Row],[Total]]-VENTAS[[#This Row],[Comisión 10%]]-VENTAS[[#This Row],[Costo SIN Comision]]</f>
        <v>22.5</v>
      </c>
      <c r="M1921" s="48"/>
      <c r="N1921" s="49" t="s">
        <v>4798</v>
      </c>
    </row>
    <row r="1922" s="4" customFormat="1" ht="20" hidden="1" customHeight="1" spans="1:14">
      <c r="A1922" s="46">
        <v>45581</v>
      </c>
      <c r="B1922" s="47"/>
      <c r="C1922" s="47"/>
      <c r="D1922" s="47" t="s">
        <v>4463</v>
      </c>
      <c r="E1922" s="47" t="s">
        <v>3447</v>
      </c>
      <c r="F1922" s="11" t="str">
        <f>IFERROR(VLOOKUP(VENTAS[[#This Row],[Código del producto Vendido]],STOCK[],5,FALSE),"-")</f>
        <v>Antifaz bordado</v>
      </c>
      <c r="G1922" s="47">
        <v>1</v>
      </c>
      <c r="H1922" s="48">
        <v>4</v>
      </c>
      <c r="I1922" s="14">
        <f>VENTAS[[#This Row],[Cantidad]]*VENTAS[[#This Row],[Precio Venta]]</f>
        <v>4</v>
      </c>
      <c r="J1922" s="14">
        <f>IF(VENTAS[[#This Row],[Nombre del Gestor]]&gt;1,VENTAS[[#This Row],[Total]]*10%,0)</f>
        <v>0.4</v>
      </c>
      <c r="K1922" s="14">
        <f>IFERROR(VLOOKUP(VENTAS[[#This Row],[Código del producto Vendido]],STOCK[],16,FALSE)*VENTAS[[#This Row],[Cantidad]]+VLOOKUP(VENTAS[[#This Row],[Código del producto Vendido]],STOCK[],19,FALSE)*VENTAS[[#This Row],[Cantidad]],VENTAS[[#This Row],[Total]])</f>
        <v>0</v>
      </c>
      <c r="L1922" s="14">
        <f>VENTAS[[#This Row],[Total]]-VENTAS[[#This Row],[Comisión 10%]]-VENTAS[[#This Row],[Costo SIN Comision]]</f>
        <v>3.6</v>
      </c>
      <c r="M1922" s="48"/>
      <c r="N1922" s="49" t="s">
        <v>4799</v>
      </c>
    </row>
    <row r="1923" s="4" customFormat="1" ht="20" hidden="1" customHeight="1" spans="1:14">
      <c r="A1923" s="46">
        <v>45581</v>
      </c>
      <c r="B1923" s="47"/>
      <c r="C1923" s="47"/>
      <c r="D1923" s="47" t="s">
        <v>4463</v>
      </c>
      <c r="E1923" s="47" t="s">
        <v>3306</v>
      </c>
      <c r="F1923" s="11" t="str">
        <f>IFERROR(VLOOKUP(VENTAS[[#This Row],[Código del producto Vendido]],STOCK[],5,FALSE),"-")</f>
        <v>Máscara de El Grito</v>
      </c>
      <c r="G1923" s="47">
        <v>1</v>
      </c>
      <c r="H1923" s="48">
        <v>10</v>
      </c>
      <c r="I1923" s="14">
        <f>VENTAS[[#This Row],[Cantidad]]*VENTAS[[#This Row],[Precio Venta]]</f>
        <v>10</v>
      </c>
      <c r="J1923" s="14">
        <f>IF(VENTAS[[#This Row],[Nombre del Gestor]]&gt;1,VENTAS[[#This Row],[Total]]*10%,0)</f>
        <v>1</v>
      </c>
      <c r="K1923" s="14">
        <f>IFERROR(VLOOKUP(VENTAS[[#This Row],[Código del producto Vendido]],STOCK[],16,FALSE)*VENTAS[[#This Row],[Cantidad]]+VLOOKUP(VENTAS[[#This Row],[Código del producto Vendido]],STOCK[],19,FALSE)*VENTAS[[#This Row],[Cantidad]],VENTAS[[#This Row],[Total]])</f>
        <v>0</v>
      </c>
      <c r="L1923" s="14">
        <f>VENTAS[[#This Row],[Total]]-VENTAS[[#This Row],[Comisión 10%]]-VENTAS[[#This Row],[Costo SIN Comision]]</f>
        <v>9</v>
      </c>
      <c r="M1923" s="48"/>
      <c r="N1923" s="49" t="s">
        <v>4800</v>
      </c>
    </row>
    <row r="1924" s="4" customFormat="1" ht="20" hidden="1" customHeight="1" spans="1:14">
      <c r="A1924" s="46">
        <v>45581</v>
      </c>
      <c r="B1924" s="47"/>
      <c r="C1924" s="47"/>
      <c r="D1924" s="47" t="s">
        <v>4212</v>
      </c>
      <c r="E1924" s="47" t="s">
        <v>3370</v>
      </c>
      <c r="F1924" s="11" t="str">
        <f>IFERROR(VLOOKUP(VENTAS[[#This Row],[Código del producto Vendido]],STOCK[],5,FALSE),"-")</f>
        <v>Disfraz de Diosa griega color negro (vestido y cinturón)</v>
      </c>
      <c r="G1924" s="47">
        <v>1</v>
      </c>
      <c r="H1924" s="48">
        <v>25</v>
      </c>
      <c r="I1924" s="14">
        <f>VENTAS[[#This Row],[Cantidad]]*VENTAS[[#This Row],[Precio Venta]]</f>
        <v>25</v>
      </c>
      <c r="J1924" s="14">
        <f>IF(VENTAS[[#This Row],[Nombre del Gestor]]&gt;1,VENTAS[[#This Row],[Total]]*10%,0)</f>
        <v>2.5</v>
      </c>
      <c r="K1924" s="14">
        <f>IFERROR(VLOOKUP(VENTAS[[#This Row],[Código del producto Vendido]],STOCK[],16,FALSE)*VENTAS[[#This Row],[Cantidad]]+VLOOKUP(VENTAS[[#This Row],[Código del producto Vendido]],STOCK[],19,FALSE)*VENTAS[[#This Row],[Cantidad]],VENTAS[[#This Row],[Total]])</f>
        <v>0</v>
      </c>
      <c r="L1924" s="14">
        <f>VENTAS[[#This Row],[Total]]-VENTAS[[#This Row],[Comisión 10%]]-VENTAS[[#This Row],[Costo SIN Comision]]</f>
        <v>22.5</v>
      </c>
      <c r="M1924" s="48"/>
      <c r="N1924" s="49" t="s">
        <v>4801</v>
      </c>
    </row>
    <row r="1925" s="4" customFormat="1" ht="20" hidden="1" customHeight="1" spans="1:14">
      <c r="A1925" s="46">
        <v>45581</v>
      </c>
      <c r="B1925" s="47"/>
      <c r="C1925" s="47"/>
      <c r="D1925" s="47" t="s">
        <v>4272</v>
      </c>
      <c r="E1925" s="47" t="s">
        <v>2813</v>
      </c>
      <c r="F1925" s="45" t="str">
        <f>IFERROR(VLOOKUP(VENTAS[[#This Row],[Código del producto Vendido]],STOCK[],5,FALSE),"-")</f>
        <v>Bolso elegante de estilo sillín</v>
      </c>
      <c r="G1925" s="47">
        <v>1</v>
      </c>
      <c r="H1925" s="48">
        <v>22</v>
      </c>
      <c r="I1925" s="14">
        <f>VENTAS[[#This Row],[Cantidad]]*VENTAS[[#This Row],[Precio Venta]]</f>
        <v>22</v>
      </c>
      <c r="J1925" s="14">
        <f>IF(VENTAS[[#This Row],[Nombre del Gestor]]&gt;1,VENTAS[[#This Row],[Total]]*10%,0)</f>
        <v>2.2</v>
      </c>
      <c r="K1925" s="14">
        <f>IFERROR(VLOOKUP(VENTAS[[#This Row],[Código del producto Vendido]],STOCK[],16,FALSE)*VENTAS[[#This Row],[Cantidad]]+VLOOKUP(VENTAS[[#This Row],[Código del producto Vendido]],STOCK[],19,FALSE)*VENTAS[[#This Row],[Cantidad]],VENTAS[[#This Row],[Total]])</f>
        <v>10.28</v>
      </c>
      <c r="L1925" s="14">
        <f>VENTAS[[#This Row],[Total]]-VENTAS[[#This Row],[Comisión 10%]]-VENTAS[[#This Row],[Costo SIN Comision]]</f>
        <v>9.52</v>
      </c>
      <c r="M1925" s="48"/>
      <c r="N1925" s="49" t="s">
        <v>4802</v>
      </c>
    </row>
    <row r="1926" s="4" customFormat="1" ht="20" hidden="1" customHeight="1" spans="1:14">
      <c r="A1926" s="46">
        <v>45582</v>
      </c>
      <c r="B1926" s="47"/>
      <c r="C1926" s="47"/>
      <c r="D1926" s="47" t="s">
        <v>4463</v>
      </c>
      <c r="E1926" s="47" t="s">
        <v>3458</v>
      </c>
      <c r="F1926" s="11" t="str">
        <f>IFERROR(VLOOKUP(VENTAS[[#This Row],[Código del producto Vendido]],STOCK[],5,FALSE),"-")</f>
        <v>Conjunto de disfraz de 4 piezas (top, falda, medias y diadema)</v>
      </c>
      <c r="G1926" s="47">
        <v>1</v>
      </c>
      <c r="H1926" s="48">
        <v>25</v>
      </c>
      <c r="I1926" s="14">
        <f>VENTAS[[#This Row],[Cantidad]]*VENTAS[[#This Row],[Precio Venta]]</f>
        <v>25</v>
      </c>
      <c r="J1926" s="14">
        <f>IF(VENTAS[[#This Row],[Nombre del Gestor]]&gt;1,VENTAS[[#This Row],[Total]]*10%,0)</f>
        <v>2.5</v>
      </c>
      <c r="K1926" s="14">
        <f>IFERROR(VLOOKUP(VENTAS[[#This Row],[Código del producto Vendido]],STOCK[],16,FALSE)*VENTAS[[#This Row],[Cantidad]]+VLOOKUP(VENTAS[[#This Row],[Código del producto Vendido]],STOCK[],19,FALSE)*VENTAS[[#This Row],[Cantidad]],VENTAS[[#This Row],[Total]])</f>
        <v>0</v>
      </c>
      <c r="L1926" s="14">
        <f>VENTAS[[#This Row],[Total]]-VENTAS[[#This Row],[Comisión 10%]]-VENTAS[[#This Row],[Costo SIN Comision]]</f>
        <v>22.5</v>
      </c>
      <c r="M1926" s="48"/>
      <c r="N1926" s="49" t="s">
        <v>4803</v>
      </c>
    </row>
    <row r="1927" s="4" customFormat="1" ht="20" hidden="1" customHeight="1" spans="1:14">
      <c r="A1927" s="46">
        <v>45583</v>
      </c>
      <c r="B1927" s="47"/>
      <c r="C1927" s="47"/>
      <c r="D1927" s="47" t="s">
        <v>4266</v>
      </c>
      <c r="E1927" s="47" t="s">
        <v>3441</v>
      </c>
      <c r="F1927" s="11" t="str">
        <f>IFERROR(VLOOKUP(VENTAS[[#This Row],[Código del producto Vendido]],STOCK[],5,FALSE),"-")</f>
        <v>Mono disfraz de montadora de motocicleta</v>
      </c>
      <c r="G1927" s="47">
        <v>1</v>
      </c>
      <c r="H1927" s="48">
        <v>20</v>
      </c>
      <c r="I1927" s="14">
        <f>VENTAS[[#This Row],[Cantidad]]*VENTAS[[#This Row],[Precio Venta]]</f>
        <v>20</v>
      </c>
      <c r="J1927" s="14">
        <f>IF(VENTAS[[#This Row],[Nombre del Gestor]]&gt;1,VENTAS[[#This Row],[Total]]*10%,0)</f>
        <v>2</v>
      </c>
      <c r="K1927" s="14">
        <f>IFERROR(VLOOKUP(VENTAS[[#This Row],[Código del producto Vendido]],STOCK[],16,FALSE)*VENTAS[[#This Row],[Cantidad]]+VLOOKUP(VENTAS[[#This Row],[Código del producto Vendido]],STOCK[],19,FALSE)*VENTAS[[#This Row],[Cantidad]],VENTAS[[#This Row],[Total]])</f>
        <v>0</v>
      </c>
      <c r="L1927" s="14">
        <f>VENTAS[[#This Row],[Total]]-VENTAS[[#This Row],[Comisión 10%]]-VENTAS[[#This Row],[Costo SIN Comision]]</f>
        <v>18</v>
      </c>
      <c r="M1927" s="48"/>
      <c r="N1927" s="49" t="s">
        <v>4804</v>
      </c>
    </row>
    <row r="1928" s="4" customFormat="1" ht="20" hidden="1" customHeight="1" spans="1:14">
      <c r="A1928" s="46">
        <v>45583</v>
      </c>
      <c r="B1928" s="47"/>
      <c r="C1928" s="47"/>
      <c r="D1928" s="47" t="s">
        <v>4587</v>
      </c>
      <c r="E1928" s="47" t="s">
        <v>3364</v>
      </c>
      <c r="F1928" s="11" t="str">
        <f>IFERROR(VLOOKUP(VENTAS[[#This Row],[Código del producto Vendido]],STOCK[],5,FALSE),"-")</f>
        <v>Antifaz de conejo sexy</v>
      </c>
      <c r="G1928" s="47">
        <v>1</v>
      </c>
      <c r="H1928" s="48">
        <v>8</v>
      </c>
      <c r="I1928" s="14">
        <f>VENTAS[[#This Row],[Cantidad]]*VENTAS[[#This Row],[Precio Venta]]</f>
        <v>8</v>
      </c>
      <c r="J1928" s="14">
        <f>IF(VENTAS[[#This Row],[Nombre del Gestor]]&gt;1,VENTAS[[#This Row],[Total]]*10%,0)</f>
        <v>0.8</v>
      </c>
      <c r="K1928" s="14">
        <f>IFERROR(VLOOKUP(VENTAS[[#This Row],[Código del producto Vendido]],STOCK[],16,FALSE)*VENTAS[[#This Row],[Cantidad]]+VLOOKUP(VENTAS[[#This Row],[Código del producto Vendido]],STOCK[],19,FALSE)*VENTAS[[#This Row],[Cantidad]],VENTAS[[#This Row],[Total]])</f>
        <v>0</v>
      </c>
      <c r="L1928" s="14">
        <f>VENTAS[[#This Row],[Total]]-VENTAS[[#This Row],[Comisión 10%]]-VENTAS[[#This Row],[Costo SIN Comision]]</f>
        <v>7.2</v>
      </c>
      <c r="M1928" s="48"/>
      <c r="N1928" s="49" t="s">
        <v>4805</v>
      </c>
    </row>
    <row r="1929" s="4" customFormat="1" ht="20" hidden="1" customHeight="1" spans="1:14">
      <c r="A1929" s="46">
        <v>45583</v>
      </c>
      <c r="B1929" s="47"/>
      <c r="C1929" s="47"/>
      <c r="D1929" s="47" t="s">
        <v>4272</v>
      </c>
      <c r="E1929" s="47" t="s">
        <v>2776</v>
      </c>
      <c r="F1929" s="11" t="str">
        <f>IFERROR(VLOOKUP(VENTAS[[#This Row],[Código del producto Vendido]],STOCK[],5,FALSE),"-")</f>
        <v>Sandalias espadriles de saco nude atada al tobillo</v>
      </c>
      <c r="G1929" s="47">
        <v>1</v>
      </c>
      <c r="H1929" s="48">
        <v>35</v>
      </c>
      <c r="I1929" s="14">
        <f>VENTAS[[#This Row],[Cantidad]]*VENTAS[[#This Row],[Precio Venta]]</f>
        <v>35</v>
      </c>
      <c r="J1929" s="14">
        <f>IF(VENTAS[[#This Row],[Nombre del Gestor]]&gt;1,VENTAS[[#This Row],[Total]]*10%,0)</f>
        <v>3.5</v>
      </c>
      <c r="K1929" s="14">
        <f>IFERROR(VLOOKUP(VENTAS[[#This Row],[Código del producto Vendido]],STOCK[],16,FALSE)*VENTAS[[#This Row],[Cantidad]]+VLOOKUP(VENTAS[[#This Row],[Código del producto Vendido]],STOCK[],19,FALSE)*VENTAS[[#This Row],[Cantidad]],VENTAS[[#This Row],[Total]])</f>
        <v>12.15</v>
      </c>
      <c r="L1929" s="14">
        <f>VENTAS[[#This Row],[Total]]-VENTAS[[#This Row],[Comisión 10%]]-VENTAS[[#This Row],[Costo SIN Comision]]</f>
        <v>19.35</v>
      </c>
      <c r="M1929" s="48"/>
      <c r="N1929" s="49" t="s">
        <v>4806</v>
      </c>
    </row>
    <row r="1930" s="4" customFormat="1" ht="20" hidden="1" customHeight="1" spans="1:14">
      <c r="A1930" s="46">
        <v>45586</v>
      </c>
      <c r="B1930" s="47"/>
      <c r="C1930" s="47"/>
      <c r="D1930" s="47" t="s">
        <v>4212</v>
      </c>
      <c r="E1930" s="47" t="s">
        <v>2491</v>
      </c>
      <c r="F1930" s="11" t="str">
        <f>IFERROR(VLOOKUP(VENTAS[[#This Row],[Código del producto Vendido]],STOCK[],5,FALSE),"-")</f>
        <v>Sandalias prácticas chunky blanco crema</v>
      </c>
      <c r="G1930" s="47">
        <v>1</v>
      </c>
      <c r="H1930" s="48">
        <v>35</v>
      </c>
      <c r="I1930" s="14">
        <f>VENTAS[[#This Row],[Cantidad]]*VENTAS[[#This Row],[Precio Venta]]</f>
        <v>35</v>
      </c>
      <c r="J1930" s="14">
        <f>IF(VENTAS[[#This Row],[Nombre del Gestor]]&gt;1,VENTAS[[#This Row],[Total]]*10%,0)</f>
        <v>3.5</v>
      </c>
      <c r="K1930" s="14">
        <f>IFERROR(VLOOKUP(VENTAS[[#This Row],[Código del producto Vendido]],STOCK[],16,FALSE)*VENTAS[[#This Row],[Cantidad]]+VLOOKUP(VENTAS[[#This Row],[Código del producto Vendido]],STOCK[],19,FALSE)*VENTAS[[#This Row],[Cantidad]],VENTAS[[#This Row],[Total]])</f>
        <v>24.2174</v>
      </c>
      <c r="L1930" s="14">
        <f>VENTAS[[#This Row],[Total]]-VENTAS[[#This Row],[Comisión 10%]]-VENTAS[[#This Row],[Costo SIN Comision]]</f>
        <v>7.2826</v>
      </c>
      <c r="M1930" s="48"/>
      <c r="N1930" s="49" t="s">
        <v>4807</v>
      </c>
    </row>
    <row r="1931" s="4" customFormat="1" ht="20" hidden="1" customHeight="1" spans="1:14">
      <c r="A1931" s="46">
        <v>45586</v>
      </c>
      <c r="B1931" s="47"/>
      <c r="C1931" s="47"/>
      <c r="D1931" s="47" t="s">
        <v>4212</v>
      </c>
      <c r="E1931" s="47" t="s">
        <v>1062</v>
      </c>
      <c r="F1931" s="11" t="str">
        <f>IFERROR(VLOOKUP(VENTAS[[#This Row],[Código del producto Vendido]],STOCK[],5,FALSE),"-")</f>
        <v>Top corto blanco</v>
      </c>
      <c r="G1931" s="47">
        <v>1</v>
      </c>
      <c r="H1931" s="48">
        <v>7</v>
      </c>
      <c r="I1931" s="14">
        <f>VENTAS[[#This Row],[Cantidad]]*VENTAS[[#This Row],[Precio Venta]]</f>
        <v>7</v>
      </c>
      <c r="J1931" s="14">
        <f>IF(VENTAS[[#This Row],[Nombre del Gestor]]&gt;1,VENTAS[[#This Row],[Total]]*10%,0)</f>
        <v>0.7</v>
      </c>
      <c r="K1931" s="14">
        <f>IFERROR(VLOOKUP(VENTAS[[#This Row],[Código del producto Vendido]],STOCK[],16,FALSE)*VENTAS[[#This Row],[Cantidad]]+VLOOKUP(VENTAS[[#This Row],[Código del producto Vendido]],STOCK[],19,FALSE)*VENTAS[[#This Row],[Cantidad]],VENTAS[[#This Row],[Total]])</f>
        <v>4.40441176470588</v>
      </c>
      <c r="L1931" s="14">
        <f>VENTAS[[#This Row],[Total]]-VENTAS[[#This Row],[Comisión 10%]]-VENTAS[[#This Row],[Costo SIN Comision]]</f>
        <v>1.89558823529412</v>
      </c>
      <c r="M1931" s="48"/>
      <c r="N1931" s="49" t="s">
        <v>4808</v>
      </c>
    </row>
    <row r="1932" s="4" customFormat="1" ht="20" hidden="1" customHeight="1" spans="1:14">
      <c r="A1932" s="46">
        <v>45586</v>
      </c>
      <c r="B1932" s="47"/>
      <c r="C1932" s="47"/>
      <c r="D1932" s="47" t="s">
        <v>4212</v>
      </c>
      <c r="E1932" s="47" t="s">
        <v>2844</v>
      </c>
      <c r="F1932" s="11" t="str">
        <f>IFERROR(VLOOKUP(VENTAS[[#This Row],[Código del producto Vendido]],STOCK[],5,FALSE),"-")</f>
        <v>Pantalones largros rayados de moda de gran comodidad</v>
      </c>
      <c r="G1932" s="47">
        <v>1</v>
      </c>
      <c r="H1932" s="48">
        <v>22</v>
      </c>
      <c r="I1932" s="14">
        <f>VENTAS[[#This Row],[Cantidad]]*VENTAS[[#This Row],[Precio Venta]]</f>
        <v>22</v>
      </c>
      <c r="J1932" s="14">
        <f>IF(VENTAS[[#This Row],[Nombre del Gestor]]&gt;1,VENTAS[[#This Row],[Total]]*10%,0)</f>
        <v>2.2</v>
      </c>
      <c r="K1932" s="14">
        <f>IFERROR(VLOOKUP(VENTAS[[#This Row],[Código del producto Vendido]],STOCK[],16,FALSE)*VENTAS[[#This Row],[Cantidad]]+VLOOKUP(VENTAS[[#This Row],[Código del producto Vendido]],STOCK[],19,FALSE)*VENTAS[[#This Row],[Cantidad]],VENTAS[[#This Row],[Total]])</f>
        <v>10.52</v>
      </c>
      <c r="L1932" s="14">
        <f>VENTAS[[#This Row],[Total]]-VENTAS[[#This Row],[Comisión 10%]]-VENTAS[[#This Row],[Costo SIN Comision]]</f>
        <v>9.28</v>
      </c>
      <c r="M1932" s="48"/>
      <c r="N1932" s="49" t="s">
        <v>4809</v>
      </c>
    </row>
    <row r="1933" s="4" customFormat="1" ht="20" hidden="1" customHeight="1" spans="1:14">
      <c r="A1933" s="46">
        <v>45586</v>
      </c>
      <c r="B1933" s="47"/>
      <c r="C1933" s="47"/>
      <c r="D1933" s="47" t="s">
        <v>4272</v>
      </c>
      <c r="E1933" s="47" t="s">
        <v>3018</v>
      </c>
      <c r="F1933" s="11" t="str">
        <f>IFERROR(VLOOKUP(VENTAS[[#This Row],[Código del producto Vendido]],STOCK[],5,FALSE),"-")</f>
        <v>Sandalias de plataforma espadriles con correas doradas</v>
      </c>
      <c r="G1933" s="47">
        <v>1</v>
      </c>
      <c r="H1933" s="48">
        <v>40</v>
      </c>
      <c r="I1933" s="14">
        <f>VENTAS[[#This Row],[Cantidad]]*VENTAS[[#This Row],[Precio Venta]]</f>
        <v>40</v>
      </c>
      <c r="J1933" s="14">
        <f>IF(VENTAS[[#This Row],[Nombre del Gestor]]&gt;1,VENTAS[[#This Row],[Total]]*10%,0)</f>
        <v>4</v>
      </c>
      <c r="K1933" s="14">
        <f>IFERROR(VLOOKUP(VENTAS[[#This Row],[Código del producto Vendido]],STOCK[],16,FALSE)*VENTAS[[#This Row],[Cantidad]]+VLOOKUP(VENTAS[[#This Row],[Código del producto Vendido]],STOCK[],19,FALSE)*VENTAS[[#This Row],[Cantidad]],VENTAS[[#This Row],[Total]])</f>
        <v>11.65</v>
      </c>
      <c r="L1933" s="14">
        <f>VENTAS[[#This Row],[Total]]-VENTAS[[#This Row],[Comisión 10%]]-VENTAS[[#This Row],[Costo SIN Comision]]</f>
        <v>24.35</v>
      </c>
      <c r="M1933" s="48"/>
      <c r="N1933" s="49" t="s">
        <v>4810</v>
      </c>
    </row>
    <row r="1934" s="4" customFormat="1" ht="20" hidden="1" customHeight="1" spans="1:14">
      <c r="A1934" s="46">
        <v>45587</v>
      </c>
      <c r="B1934" s="47"/>
      <c r="C1934" s="47"/>
      <c r="D1934" s="47" t="s">
        <v>4365</v>
      </c>
      <c r="E1934" s="47" t="s">
        <v>3458</v>
      </c>
      <c r="F1934" s="11" t="str">
        <f>IFERROR(VLOOKUP(VENTAS[[#This Row],[Código del producto Vendido]],STOCK[],5,FALSE),"-")</f>
        <v>Conjunto de disfraz de 4 piezas (top, falda, medias y diadema)</v>
      </c>
      <c r="G1934" s="47">
        <v>1</v>
      </c>
      <c r="H1934" s="48">
        <v>25</v>
      </c>
      <c r="I1934" s="14">
        <f>VENTAS[[#This Row],[Cantidad]]*VENTAS[[#This Row],[Precio Venta]]</f>
        <v>25</v>
      </c>
      <c r="J1934" s="14">
        <f>IF(VENTAS[[#This Row],[Nombre del Gestor]]&gt;1,VENTAS[[#This Row],[Total]]*10%,0)</f>
        <v>2.5</v>
      </c>
      <c r="K1934" s="14">
        <f>IFERROR(VLOOKUP(VENTAS[[#This Row],[Código del producto Vendido]],STOCK[],16,FALSE)*VENTAS[[#This Row],[Cantidad]]+VLOOKUP(VENTAS[[#This Row],[Código del producto Vendido]],STOCK[],19,FALSE)*VENTAS[[#This Row],[Cantidad]],VENTAS[[#This Row],[Total]])</f>
        <v>0</v>
      </c>
      <c r="L1934" s="14">
        <f>VENTAS[[#This Row],[Total]]-VENTAS[[#This Row],[Comisión 10%]]-VENTAS[[#This Row],[Costo SIN Comision]]</f>
        <v>22.5</v>
      </c>
      <c r="M1934" s="48"/>
      <c r="N1934" s="49" t="s">
        <v>4811</v>
      </c>
    </row>
    <row r="1935" s="4" customFormat="1" ht="20" hidden="1" customHeight="1" spans="1:14">
      <c r="A1935" s="46">
        <v>45587</v>
      </c>
      <c r="B1935" s="47"/>
      <c r="C1935" s="47"/>
      <c r="D1935" s="47" t="s">
        <v>4222</v>
      </c>
      <c r="E1935" s="47" t="s">
        <v>3313</v>
      </c>
      <c r="F1935" s="11" t="str">
        <f>IFERROR(VLOOKUP(VENTAS[[#This Row],[Código del producto Vendido]],STOCK[],5,FALSE),"-")</f>
        <v>Vestido blanco para conformar disfraz</v>
      </c>
      <c r="G1935" s="47">
        <v>1</v>
      </c>
      <c r="H1935" s="48">
        <v>15</v>
      </c>
      <c r="I1935" s="14">
        <f>VENTAS[[#This Row],[Cantidad]]*VENTAS[[#This Row],[Precio Venta]]</f>
        <v>15</v>
      </c>
      <c r="J1935" s="14">
        <f>IF(VENTAS[[#This Row],[Nombre del Gestor]]&gt;1,VENTAS[[#This Row],[Total]]*10%,0)</f>
        <v>1.5</v>
      </c>
      <c r="K1935" s="14">
        <f>IFERROR(VLOOKUP(VENTAS[[#This Row],[Código del producto Vendido]],STOCK[],16,FALSE)*VENTAS[[#This Row],[Cantidad]]+VLOOKUP(VENTAS[[#This Row],[Código del producto Vendido]],STOCK[],19,FALSE)*VENTAS[[#This Row],[Cantidad]],VENTAS[[#This Row],[Total]])</f>
        <v>0</v>
      </c>
      <c r="L1935" s="14">
        <f>VENTAS[[#This Row],[Total]]-VENTAS[[#This Row],[Comisión 10%]]-VENTAS[[#This Row],[Costo SIN Comision]]</f>
        <v>13.5</v>
      </c>
      <c r="M1935" s="48"/>
      <c r="N1935" s="49" t="s">
        <v>4812</v>
      </c>
    </row>
    <row r="1936" s="4" customFormat="1" ht="20" hidden="1" customHeight="1" spans="1:14">
      <c r="A1936" s="46">
        <v>45587</v>
      </c>
      <c r="B1936" s="47"/>
      <c r="C1936" s="47"/>
      <c r="D1936" s="47" t="s">
        <v>4222</v>
      </c>
      <c r="E1936" s="47" t="s">
        <v>3302</v>
      </c>
      <c r="F1936" s="11" t="str">
        <f>IFERROR(VLOOKUP(VENTAS[[#This Row],[Código del producto Vendido]],STOCK[],5,FALSE),"-")</f>
        <v>Velo de novia para disfraz</v>
      </c>
      <c r="G1936" s="47">
        <v>1</v>
      </c>
      <c r="H1936" s="48">
        <v>10</v>
      </c>
      <c r="I1936" s="14">
        <f>VENTAS[[#This Row],[Cantidad]]*VENTAS[[#This Row],[Precio Venta]]</f>
        <v>10</v>
      </c>
      <c r="J1936" s="14">
        <f>IF(VENTAS[[#This Row],[Nombre del Gestor]]&gt;1,VENTAS[[#This Row],[Total]]*10%,0)</f>
        <v>1</v>
      </c>
      <c r="K1936" s="14">
        <f>IFERROR(VLOOKUP(VENTAS[[#This Row],[Código del producto Vendido]],STOCK[],16,FALSE)*VENTAS[[#This Row],[Cantidad]]+VLOOKUP(VENTAS[[#This Row],[Código del producto Vendido]],STOCK[],19,FALSE)*VENTAS[[#This Row],[Cantidad]],VENTAS[[#This Row],[Total]])</f>
        <v>0</v>
      </c>
      <c r="L1936" s="14">
        <f>VENTAS[[#This Row],[Total]]-VENTAS[[#This Row],[Comisión 10%]]-VENTAS[[#This Row],[Costo SIN Comision]]</f>
        <v>9</v>
      </c>
      <c r="M1936" s="48"/>
      <c r="N1936" s="49" t="s">
        <v>4813</v>
      </c>
    </row>
    <row r="1937" s="4" customFormat="1" ht="20" hidden="1" customHeight="1" spans="1:14">
      <c r="A1937" s="46">
        <v>45587</v>
      </c>
      <c r="B1937" s="47"/>
      <c r="C1937" s="47"/>
      <c r="D1937" s="47" t="s">
        <v>4814</v>
      </c>
      <c r="E1937" s="47" t="s">
        <v>3306</v>
      </c>
      <c r="F1937" s="11" t="str">
        <f>IFERROR(VLOOKUP(VENTAS[[#This Row],[Código del producto Vendido]],STOCK[],5,FALSE),"-")</f>
        <v>Máscara de El Grito</v>
      </c>
      <c r="G1937" s="47">
        <v>1</v>
      </c>
      <c r="H1937" s="48">
        <v>10</v>
      </c>
      <c r="I1937" s="14">
        <f>VENTAS[[#This Row],[Cantidad]]*VENTAS[[#This Row],[Precio Venta]]</f>
        <v>10</v>
      </c>
      <c r="J1937" s="14">
        <f>IF(VENTAS[[#This Row],[Nombre del Gestor]]&gt;1,VENTAS[[#This Row],[Total]]*10%,0)</f>
        <v>1</v>
      </c>
      <c r="K1937" s="14">
        <f>IFERROR(VLOOKUP(VENTAS[[#This Row],[Código del producto Vendido]],STOCK[],16,FALSE)*VENTAS[[#This Row],[Cantidad]]+VLOOKUP(VENTAS[[#This Row],[Código del producto Vendido]],STOCK[],19,FALSE)*VENTAS[[#This Row],[Cantidad]],VENTAS[[#This Row],[Total]])</f>
        <v>0</v>
      </c>
      <c r="L1937" s="14">
        <f>VENTAS[[#This Row],[Total]]-VENTAS[[#This Row],[Comisión 10%]]-VENTAS[[#This Row],[Costo SIN Comision]]</f>
        <v>9</v>
      </c>
      <c r="M1937" s="48"/>
      <c r="N1937" s="49" t="s">
        <v>4815</v>
      </c>
    </row>
    <row r="1938" s="4" customFormat="1" ht="20" hidden="1" customHeight="1" spans="1:14">
      <c r="A1938" s="46">
        <v>45587</v>
      </c>
      <c r="B1938" s="47"/>
      <c r="C1938" s="47"/>
      <c r="D1938" s="47" t="s">
        <v>4272</v>
      </c>
      <c r="E1938" s="47" t="s">
        <v>3292</v>
      </c>
      <c r="F1938" s="11" t="str">
        <f>IFERROR(VLOOKUP(VENTAS[[#This Row],[Código del producto Vendido]],STOCK[],5,FALSE),"-")</f>
        <v>Medias pantys con detalle de pierdas brillantes</v>
      </c>
      <c r="G1938" s="47">
        <v>1</v>
      </c>
      <c r="H1938" s="48">
        <v>8</v>
      </c>
      <c r="I1938" s="14">
        <f>VENTAS[[#This Row],[Cantidad]]*VENTAS[[#This Row],[Precio Venta]]</f>
        <v>8</v>
      </c>
      <c r="J1938" s="14">
        <f>IF(VENTAS[[#This Row],[Nombre del Gestor]]&gt;1,VENTAS[[#This Row],[Total]]*10%,0)</f>
        <v>0.8</v>
      </c>
      <c r="K1938" s="14">
        <f>IFERROR(VLOOKUP(VENTAS[[#This Row],[Código del producto Vendido]],STOCK[],16,FALSE)*VENTAS[[#This Row],[Cantidad]]+VLOOKUP(VENTAS[[#This Row],[Código del producto Vendido]],STOCK[],19,FALSE)*VENTAS[[#This Row],[Cantidad]],VENTAS[[#This Row],[Total]])</f>
        <v>0</v>
      </c>
      <c r="L1938" s="14">
        <f>VENTAS[[#This Row],[Total]]-VENTAS[[#This Row],[Comisión 10%]]-VENTAS[[#This Row],[Costo SIN Comision]]</f>
        <v>7.2</v>
      </c>
      <c r="M1938" s="48"/>
      <c r="N1938" s="49" t="s">
        <v>4816</v>
      </c>
    </row>
    <row r="1939" s="4" customFormat="1" ht="20" hidden="1" customHeight="1" spans="1:14">
      <c r="A1939" s="46">
        <v>45587</v>
      </c>
      <c r="B1939" s="47"/>
      <c r="C1939" s="47"/>
      <c r="D1939" s="47" t="s">
        <v>4376</v>
      </c>
      <c r="E1939" s="47" t="s">
        <v>3306</v>
      </c>
      <c r="F1939" s="11" t="str">
        <f>IFERROR(VLOOKUP(VENTAS[[#This Row],[Código del producto Vendido]],STOCK[],5,FALSE),"-")</f>
        <v>Máscara de El Grito</v>
      </c>
      <c r="G1939" s="47">
        <v>1</v>
      </c>
      <c r="H1939" s="48">
        <v>10</v>
      </c>
      <c r="I1939" s="14">
        <f>VENTAS[[#This Row],[Cantidad]]*VENTAS[[#This Row],[Precio Venta]]</f>
        <v>10</v>
      </c>
      <c r="J1939" s="14">
        <f>IF(VENTAS[[#This Row],[Nombre del Gestor]]&gt;1,VENTAS[[#This Row],[Total]]*10%,0)</f>
        <v>1</v>
      </c>
      <c r="K1939" s="14">
        <f>IFERROR(VLOOKUP(VENTAS[[#This Row],[Código del producto Vendido]],STOCK[],16,FALSE)*VENTAS[[#This Row],[Cantidad]]+VLOOKUP(VENTAS[[#This Row],[Código del producto Vendido]],STOCK[],19,FALSE)*VENTAS[[#This Row],[Cantidad]],VENTAS[[#This Row],[Total]])</f>
        <v>0</v>
      </c>
      <c r="L1939" s="14">
        <f>VENTAS[[#This Row],[Total]]-VENTAS[[#This Row],[Comisión 10%]]-VENTAS[[#This Row],[Costo SIN Comision]]</f>
        <v>9</v>
      </c>
      <c r="M1939" s="48"/>
      <c r="N1939" s="49" t="s">
        <v>4817</v>
      </c>
    </row>
    <row r="1940" s="4" customFormat="1" ht="20" hidden="1" customHeight="1" spans="1:14">
      <c r="A1940" s="46">
        <v>45587</v>
      </c>
      <c r="B1940" s="47"/>
      <c r="C1940" s="47"/>
      <c r="D1940" s="47" t="s">
        <v>4818</v>
      </c>
      <c r="E1940" s="47" t="s">
        <v>3306</v>
      </c>
      <c r="F1940" s="11" t="str">
        <f>IFERROR(VLOOKUP(VENTAS[[#This Row],[Código del producto Vendido]],STOCK[],5,FALSE),"-")</f>
        <v>Máscara de El Grito</v>
      </c>
      <c r="G1940" s="47">
        <v>1</v>
      </c>
      <c r="H1940" s="48">
        <v>10</v>
      </c>
      <c r="I1940" s="14">
        <f>VENTAS[[#This Row],[Cantidad]]*VENTAS[[#This Row],[Precio Venta]]</f>
        <v>10</v>
      </c>
      <c r="J1940" s="14">
        <f>IF(VENTAS[[#This Row],[Nombre del Gestor]]&gt;1,VENTAS[[#This Row],[Total]]*10%,0)</f>
        <v>1</v>
      </c>
      <c r="K1940" s="14">
        <f>IFERROR(VLOOKUP(VENTAS[[#This Row],[Código del producto Vendido]],STOCK[],16,FALSE)*VENTAS[[#This Row],[Cantidad]]+VLOOKUP(VENTAS[[#This Row],[Código del producto Vendido]],STOCK[],19,FALSE)*VENTAS[[#This Row],[Cantidad]],VENTAS[[#This Row],[Total]])</f>
        <v>0</v>
      </c>
      <c r="L1940" s="14">
        <f>VENTAS[[#This Row],[Total]]-VENTAS[[#This Row],[Comisión 10%]]-VENTAS[[#This Row],[Costo SIN Comision]]</f>
        <v>9</v>
      </c>
      <c r="M1940" s="48"/>
      <c r="N1940" s="49" t="s">
        <v>4819</v>
      </c>
    </row>
    <row r="1941" s="4" customFormat="1" ht="20" hidden="1" customHeight="1" spans="1:14">
      <c r="A1941" s="46">
        <v>45588</v>
      </c>
      <c r="B1941" s="47"/>
      <c r="C1941" s="47"/>
      <c r="D1941" s="47" t="s">
        <v>4300</v>
      </c>
      <c r="E1941" s="47" t="s">
        <v>3362</v>
      </c>
      <c r="F1941" s="11" t="str">
        <f>IFERROR(VLOOKUP(VENTAS[[#This Row],[Código del producto Vendido]],STOCK[],5,FALSE),"-")</f>
        <v>Máscara completa de esqueleto endemoniado con peluca</v>
      </c>
      <c r="G1941" s="47">
        <v>1</v>
      </c>
      <c r="H1941" s="48">
        <v>20</v>
      </c>
      <c r="I1941" s="14">
        <f>VENTAS[[#This Row],[Cantidad]]*VENTAS[[#This Row],[Precio Venta]]</f>
        <v>20</v>
      </c>
      <c r="J1941" s="14">
        <f>IF(VENTAS[[#This Row],[Nombre del Gestor]]&gt;1,VENTAS[[#This Row],[Total]]*10%,0)</f>
        <v>2</v>
      </c>
      <c r="K1941" s="14">
        <f>IFERROR(VLOOKUP(VENTAS[[#This Row],[Código del producto Vendido]],STOCK[],16,FALSE)*VENTAS[[#This Row],[Cantidad]]+VLOOKUP(VENTAS[[#This Row],[Código del producto Vendido]],STOCK[],19,FALSE)*VENTAS[[#This Row],[Cantidad]],VENTAS[[#This Row],[Total]])</f>
        <v>0</v>
      </c>
      <c r="L1941" s="14">
        <f>VENTAS[[#This Row],[Total]]-VENTAS[[#This Row],[Comisión 10%]]-VENTAS[[#This Row],[Costo SIN Comision]]</f>
        <v>18</v>
      </c>
      <c r="M1941" s="48"/>
      <c r="N1941" s="49" t="s">
        <v>4820</v>
      </c>
    </row>
    <row r="1942" s="4" customFormat="1" ht="20" hidden="1" customHeight="1" spans="1:14">
      <c r="A1942" s="46">
        <v>45588</v>
      </c>
      <c r="B1942" s="47"/>
      <c r="C1942" s="47"/>
      <c r="D1942" s="47" t="s">
        <v>4463</v>
      </c>
      <c r="E1942" s="47" t="s">
        <v>2831</v>
      </c>
      <c r="F1942" s="11" t="str">
        <f>IFERROR(VLOOKUP(VENTAS[[#This Row],[Código del producto Vendido]],STOCK[],5,FALSE),"-")</f>
        <v>Traje de baño en bloque de color </v>
      </c>
      <c r="G1942" s="47">
        <v>1</v>
      </c>
      <c r="H1942" s="48">
        <v>25</v>
      </c>
      <c r="I1942" s="14">
        <f>VENTAS[[#This Row],[Cantidad]]*VENTAS[[#This Row],[Precio Venta]]</f>
        <v>25</v>
      </c>
      <c r="J1942" s="14">
        <f>IF(VENTAS[[#This Row],[Nombre del Gestor]]&gt;1,VENTAS[[#This Row],[Total]]*10%,0)</f>
        <v>2.5</v>
      </c>
      <c r="K1942" s="14">
        <f>IFERROR(VLOOKUP(VENTAS[[#This Row],[Código del producto Vendido]],STOCK[],16,FALSE)*VENTAS[[#This Row],[Cantidad]]+VLOOKUP(VENTAS[[#This Row],[Código del producto Vendido]],STOCK[],19,FALSE)*VENTAS[[#This Row],[Cantidad]],VENTAS[[#This Row],[Total]])</f>
        <v>11.94</v>
      </c>
      <c r="L1942" s="14">
        <f>VENTAS[[#This Row],[Total]]-VENTAS[[#This Row],[Comisión 10%]]-VENTAS[[#This Row],[Costo SIN Comision]]</f>
        <v>10.56</v>
      </c>
      <c r="M1942" s="48"/>
      <c r="N1942" s="49" t="s">
        <v>4821</v>
      </c>
    </row>
    <row r="1943" s="4" customFormat="1" ht="20" hidden="1" customHeight="1" spans="1:14">
      <c r="A1943" s="46">
        <v>45588</v>
      </c>
      <c r="B1943" s="47"/>
      <c r="C1943" s="47"/>
      <c r="D1943" s="47" t="s">
        <v>4270</v>
      </c>
      <c r="E1943" s="47" t="s">
        <v>2905</v>
      </c>
      <c r="F1943" s="11" t="str">
        <f>IFERROR(VLOOKUP(VENTAS[[#This Row],[Código del producto Vendido]],STOCK[],5,FALSE),"-")</f>
        <v>Sujetador de gran confort antideslizante sin tirantes color crema</v>
      </c>
      <c r="G1943" s="47">
        <v>1</v>
      </c>
      <c r="H1943" s="48">
        <v>15</v>
      </c>
      <c r="I1943" s="14">
        <f>VENTAS[[#This Row],[Cantidad]]*VENTAS[[#This Row],[Precio Venta]]</f>
        <v>15</v>
      </c>
      <c r="J1943" s="14">
        <f>IF(VENTAS[[#This Row],[Nombre del Gestor]]&gt;1,VENTAS[[#This Row],[Total]]*10%,0)</f>
        <v>1.5</v>
      </c>
      <c r="K1943" s="14">
        <f>IFERROR(VLOOKUP(VENTAS[[#This Row],[Código del producto Vendido]],STOCK[],16,FALSE)*VENTAS[[#This Row],[Cantidad]]+VLOOKUP(VENTAS[[#This Row],[Código del producto Vendido]],STOCK[],19,FALSE)*VENTAS[[#This Row],[Cantidad]],VENTAS[[#This Row],[Total]])</f>
        <v>8.14</v>
      </c>
      <c r="L1943" s="14">
        <f>VENTAS[[#This Row],[Total]]-VENTAS[[#This Row],[Comisión 10%]]-VENTAS[[#This Row],[Costo SIN Comision]]</f>
        <v>5.36</v>
      </c>
      <c r="M1943" s="48"/>
      <c r="N1943" s="49" t="s">
        <v>4822</v>
      </c>
    </row>
    <row r="1944" s="4" customFormat="1" ht="20" hidden="1" customHeight="1" spans="1:14">
      <c r="A1944" s="46">
        <v>45588</v>
      </c>
      <c r="B1944" s="47"/>
      <c r="C1944" s="47"/>
      <c r="D1944" s="47" t="s">
        <v>4463</v>
      </c>
      <c r="E1944" s="47" t="s">
        <v>3014</v>
      </c>
      <c r="F1944" s="11" t="str">
        <f>IFERROR(VLOOKUP(VENTAS[[#This Row],[Código del producto Vendido]],STOCK[],5,FALSE),"-")</f>
        <v>Pantalón alto de pierna ancha color caramelo</v>
      </c>
      <c r="G1944" s="47">
        <v>1</v>
      </c>
      <c r="H1944" s="48">
        <v>30</v>
      </c>
      <c r="I1944" s="14">
        <f>VENTAS[[#This Row],[Cantidad]]*VENTAS[[#This Row],[Precio Venta]]</f>
        <v>30</v>
      </c>
      <c r="J1944" s="14">
        <f>IF(VENTAS[[#This Row],[Nombre del Gestor]]&gt;1,VENTAS[[#This Row],[Total]]*10%,0)</f>
        <v>3</v>
      </c>
      <c r="K1944" s="14">
        <f>IFERROR(VLOOKUP(VENTAS[[#This Row],[Código del producto Vendido]],STOCK[],16,FALSE)*VENTAS[[#This Row],[Cantidad]]+VLOOKUP(VENTAS[[#This Row],[Código del producto Vendido]],STOCK[],19,FALSE)*VENTAS[[#This Row],[Cantidad]],VENTAS[[#This Row],[Total]])</f>
        <v>12.63</v>
      </c>
      <c r="L1944" s="14">
        <f>VENTAS[[#This Row],[Total]]-VENTAS[[#This Row],[Comisión 10%]]-VENTAS[[#This Row],[Costo SIN Comision]]</f>
        <v>14.37</v>
      </c>
      <c r="M1944" s="48"/>
      <c r="N1944" s="49" t="s">
        <v>4823</v>
      </c>
    </row>
    <row r="1945" s="4" customFormat="1" ht="20" hidden="1" customHeight="1" spans="1:14">
      <c r="A1945" s="46">
        <v>45588</v>
      </c>
      <c r="B1945" s="47"/>
      <c r="C1945" s="47"/>
      <c r="D1945" s="47" t="s">
        <v>4587</v>
      </c>
      <c r="E1945" s="47" t="s">
        <v>1404</v>
      </c>
      <c r="F1945" s="11" t="str">
        <f>IFERROR(VLOOKUP(VENTAS[[#This Row],[Código del producto Vendido]],STOCK[],5,FALSE),"-")</f>
        <v>Top bustier corsetero</v>
      </c>
      <c r="G1945" s="47">
        <v>1</v>
      </c>
      <c r="H1945" s="48">
        <v>10</v>
      </c>
      <c r="I1945" s="14">
        <f>VENTAS[[#This Row],[Cantidad]]*VENTAS[[#This Row],[Precio Venta]]</f>
        <v>10</v>
      </c>
      <c r="J1945" s="14">
        <f>IF(VENTAS[[#This Row],[Nombre del Gestor]]&gt;1,VENTAS[[#This Row],[Total]]*10%,0)</f>
        <v>1</v>
      </c>
      <c r="K1945" s="14">
        <f>IFERROR(VLOOKUP(VENTAS[[#This Row],[Código del producto Vendido]],STOCK[],16,FALSE)*VENTAS[[#This Row],[Cantidad]]+VLOOKUP(VENTAS[[#This Row],[Código del producto Vendido]],STOCK[],19,FALSE)*VENTAS[[#This Row],[Cantidad]],VENTAS[[#This Row],[Total]])</f>
        <v>5.5</v>
      </c>
      <c r="L1945" s="14">
        <f>VENTAS[[#This Row],[Total]]-VENTAS[[#This Row],[Comisión 10%]]-VENTAS[[#This Row],[Costo SIN Comision]]</f>
        <v>3.5</v>
      </c>
      <c r="M1945" s="48"/>
      <c r="N1945" s="49" t="s">
        <v>4824</v>
      </c>
    </row>
    <row r="1946" s="4" customFormat="1" ht="20" hidden="1" customHeight="1" spans="1:14">
      <c r="A1946" s="46">
        <v>45588</v>
      </c>
      <c r="B1946" s="47"/>
      <c r="C1946" s="47"/>
      <c r="D1946" s="47" t="s">
        <v>4587</v>
      </c>
      <c r="E1946" s="47" t="s">
        <v>2905</v>
      </c>
      <c r="F1946" s="11" t="str">
        <f>IFERROR(VLOOKUP(VENTAS[[#This Row],[Código del producto Vendido]],STOCK[],5,FALSE),"-")</f>
        <v>Sujetador de gran confort antideslizante sin tirantes color crema</v>
      </c>
      <c r="G1946" s="47">
        <v>1</v>
      </c>
      <c r="H1946" s="48">
        <v>15</v>
      </c>
      <c r="I1946" s="14">
        <f>VENTAS[[#This Row],[Cantidad]]*VENTAS[[#This Row],[Precio Venta]]</f>
        <v>15</v>
      </c>
      <c r="J1946" s="14">
        <f>IF(VENTAS[[#This Row],[Nombre del Gestor]]&gt;1,VENTAS[[#This Row],[Total]]*10%,0)</f>
        <v>1.5</v>
      </c>
      <c r="K1946" s="14">
        <f>IFERROR(VLOOKUP(VENTAS[[#This Row],[Código del producto Vendido]],STOCK[],16,FALSE)*VENTAS[[#This Row],[Cantidad]]+VLOOKUP(VENTAS[[#This Row],[Código del producto Vendido]],STOCK[],19,FALSE)*VENTAS[[#This Row],[Cantidad]],VENTAS[[#This Row],[Total]])</f>
        <v>8.14</v>
      </c>
      <c r="L1946" s="14">
        <f>VENTAS[[#This Row],[Total]]-VENTAS[[#This Row],[Comisión 10%]]-VENTAS[[#This Row],[Costo SIN Comision]]</f>
        <v>5.36</v>
      </c>
      <c r="M1946" s="48"/>
      <c r="N1946" s="49" t="s">
        <v>4825</v>
      </c>
    </row>
    <row r="1947" s="4" customFormat="1" ht="20" hidden="1" customHeight="1" spans="1:14">
      <c r="A1947" s="46">
        <v>45588</v>
      </c>
      <c r="B1947" s="47"/>
      <c r="C1947" s="47"/>
      <c r="D1947" s="47" t="s">
        <v>4241</v>
      </c>
      <c r="E1947" s="47" t="s">
        <v>2984</v>
      </c>
      <c r="F1947" s="11" t="str">
        <f>IFERROR(VLOOKUP(VENTAS[[#This Row],[Código del producto Vendido]],STOCK[],5,FALSE),"-")</f>
        <v>Vestido playero largo de mangas con escote V</v>
      </c>
      <c r="G1947" s="47">
        <v>1</v>
      </c>
      <c r="H1947" s="48">
        <v>30</v>
      </c>
      <c r="I1947" s="14">
        <f>VENTAS[[#This Row],[Cantidad]]*VENTAS[[#This Row],[Precio Venta]]</f>
        <v>30</v>
      </c>
      <c r="J1947" s="14">
        <f>IF(VENTAS[[#This Row],[Nombre del Gestor]]&gt;1,VENTAS[[#This Row],[Total]]*10%,0)</f>
        <v>3</v>
      </c>
      <c r="K1947" s="14">
        <f>IFERROR(VLOOKUP(VENTAS[[#This Row],[Código del producto Vendido]],STOCK[],16,FALSE)*VENTAS[[#This Row],[Cantidad]]+VLOOKUP(VENTAS[[#This Row],[Código del producto Vendido]],STOCK[],19,FALSE)*VENTAS[[#This Row],[Cantidad]],VENTAS[[#This Row],[Total]])</f>
        <v>11.02</v>
      </c>
      <c r="L1947" s="14">
        <f>VENTAS[[#This Row],[Total]]-VENTAS[[#This Row],[Comisión 10%]]-VENTAS[[#This Row],[Costo SIN Comision]]</f>
        <v>15.98</v>
      </c>
      <c r="M1947" s="48"/>
      <c r="N1947" s="49" t="s">
        <v>4826</v>
      </c>
    </row>
    <row r="1948" s="4" customFormat="1" ht="20" hidden="1" customHeight="1" spans="1:14">
      <c r="A1948" s="46">
        <v>45588</v>
      </c>
      <c r="B1948" s="47"/>
      <c r="C1948" s="47"/>
      <c r="D1948" s="47" t="s">
        <v>4266</v>
      </c>
      <c r="E1948" s="47" t="s">
        <v>198</v>
      </c>
      <c r="F1948" s="11" t="str">
        <f>IFERROR(VLOOKUP(VENTAS[[#This Row],[Código del producto Vendido]],STOCK[],5,FALSE),"-")</f>
        <v>Falda de trabajo entallada</v>
      </c>
      <c r="G1948" s="47">
        <v>1</v>
      </c>
      <c r="H1948" s="48">
        <v>12</v>
      </c>
      <c r="I1948" s="14">
        <f>VENTAS[[#This Row],[Cantidad]]*VENTAS[[#This Row],[Precio Venta]]</f>
        <v>12</v>
      </c>
      <c r="J1948" s="14">
        <f>IF(VENTAS[[#This Row],[Nombre del Gestor]]&gt;1,VENTAS[[#This Row],[Total]]*10%,0)</f>
        <v>1.2</v>
      </c>
      <c r="K1948" s="14">
        <f>IFERROR(VLOOKUP(VENTAS[[#This Row],[Código del producto Vendido]],STOCK[],16,FALSE)*VENTAS[[#This Row],[Cantidad]]+VLOOKUP(VENTAS[[#This Row],[Código del producto Vendido]],STOCK[],19,FALSE)*VENTAS[[#This Row],[Cantidad]],VENTAS[[#This Row],[Total]])</f>
        <v>7.27333333333333</v>
      </c>
      <c r="L1948" s="14">
        <f>VENTAS[[#This Row],[Total]]-VENTAS[[#This Row],[Comisión 10%]]-VENTAS[[#This Row],[Costo SIN Comision]]</f>
        <v>3.52666666666667</v>
      </c>
      <c r="M1948" s="48"/>
      <c r="N1948" s="49" t="s">
        <v>4827</v>
      </c>
    </row>
    <row r="1949" s="4" customFormat="1" ht="20" hidden="1" customHeight="1" spans="1:14">
      <c r="A1949" s="46">
        <v>45588</v>
      </c>
      <c r="B1949" s="47"/>
      <c r="C1949" s="47"/>
      <c r="D1949" s="47" t="s">
        <v>4222</v>
      </c>
      <c r="E1949" s="47" t="s">
        <v>3447</v>
      </c>
      <c r="F1949" s="11" t="str">
        <f>IFERROR(VLOOKUP(VENTAS[[#This Row],[Código del producto Vendido]],STOCK[],5,FALSE),"-")</f>
        <v>Antifaz bordado</v>
      </c>
      <c r="G1949" s="47">
        <v>1</v>
      </c>
      <c r="H1949" s="48">
        <v>4</v>
      </c>
      <c r="I1949" s="14">
        <f>VENTAS[[#This Row],[Cantidad]]*VENTAS[[#This Row],[Precio Venta]]</f>
        <v>4</v>
      </c>
      <c r="J1949" s="14">
        <f>IF(VENTAS[[#This Row],[Nombre del Gestor]]&gt;1,VENTAS[[#This Row],[Total]]*10%,0)</f>
        <v>0.4</v>
      </c>
      <c r="K1949" s="14">
        <f>IFERROR(VLOOKUP(VENTAS[[#This Row],[Código del producto Vendido]],STOCK[],16,FALSE)*VENTAS[[#This Row],[Cantidad]]+VLOOKUP(VENTAS[[#This Row],[Código del producto Vendido]],STOCK[],19,FALSE)*VENTAS[[#This Row],[Cantidad]],VENTAS[[#This Row],[Total]])</f>
        <v>0</v>
      </c>
      <c r="L1949" s="14">
        <f>VENTAS[[#This Row],[Total]]-VENTAS[[#This Row],[Comisión 10%]]-VENTAS[[#This Row],[Costo SIN Comision]]</f>
        <v>3.6</v>
      </c>
      <c r="M1949" s="48"/>
      <c r="N1949" s="49" t="s">
        <v>4828</v>
      </c>
    </row>
    <row r="1950" s="4" customFormat="1" ht="20" hidden="1" customHeight="1" spans="1:14">
      <c r="A1950" s="46">
        <v>45588</v>
      </c>
      <c r="B1950" s="47"/>
      <c r="C1950" s="47"/>
      <c r="D1950" s="47" t="s">
        <v>4222</v>
      </c>
      <c r="E1950" s="47" t="s">
        <v>3449</v>
      </c>
      <c r="F1950" s="11" t="str">
        <f>IFERROR(VLOOKUP(VENTAS[[#This Row],[Código del producto Vendido]],STOCK[],5,FALSE),"-")</f>
        <v>Cuchillo bromista</v>
      </c>
      <c r="G1950" s="47">
        <v>1</v>
      </c>
      <c r="H1950" s="48">
        <v>5</v>
      </c>
      <c r="I1950" s="14">
        <f>VENTAS[[#This Row],[Cantidad]]*VENTAS[[#This Row],[Precio Venta]]</f>
        <v>5</v>
      </c>
      <c r="J1950" s="14">
        <f>IF(VENTAS[[#This Row],[Nombre del Gestor]]&gt;1,VENTAS[[#This Row],[Total]]*10%,0)</f>
        <v>0.5</v>
      </c>
      <c r="K1950" s="14">
        <f>IFERROR(VLOOKUP(VENTAS[[#This Row],[Código del producto Vendido]],STOCK[],16,FALSE)*VENTAS[[#This Row],[Cantidad]]+VLOOKUP(VENTAS[[#This Row],[Código del producto Vendido]],STOCK[],19,FALSE)*VENTAS[[#This Row],[Cantidad]],VENTAS[[#This Row],[Total]])</f>
        <v>0</v>
      </c>
      <c r="L1950" s="14">
        <f>VENTAS[[#This Row],[Total]]-VENTAS[[#This Row],[Comisión 10%]]-VENTAS[[#This Row],[Costo SIN Comision]]</f>
        <v>4.5</v>
      </c>
      <c r="M1950" s="48"/>
      <c r="N1950" s="49" t="s">
        <v>4829</v>
      </c>
    </row>
    <row r="1951" s="4" customFormat="1" ht="20" hidden="1" customHeight="1" spans="1:14">
      <c r="A1951" s="46">
        <v>45589</v>
      </c>
      <c r="B1951" s="47"/>
      <c r="C1951" s="47"/>
      <c r="D1951" s="47" t="s">
        <v>4266</v>
      </c>
      <c r="E1951" s="47" t="s">
        <v>3477</v>
      </c>
      <c r="F1951" s="11" t="str">
        <f>IFERROR(VLOOKUP(VENTAS[[#This Row],[Código del producto Vendido]],STOCK[],5,FALSE),"-")</f>
        <v>Set de 3 piezas de disfraz bunny (body, medias y diadema)</v>
      </c>
      <c r="G1951" s="47">
        <v>1</v>
      </c>
      <c r="H1951" s="48">
        <v>25</v>
      </c>
      <c r="I1951" s="14">
        <f>VENTAS[[#This Row],[Cantidad]]*VENTAS[[#This Row],[Precio Venta]]</f>
        <v>25</v>
      </c>
      <c r="J1951" s="14">
        <f>IF(VENTAS[[#This Row],[Nombre del Gestor]]&gt;1,VENTAS[[#This Row],[Total]]*10%,0)</f>
        <v>2.5</v>
      </c>
      <c r="K1951" s="14">
        <f>IFERROR(VLOOKUP(VENTAS[[#This Row],[Código del producto Vendido]],STOCK[],16,FALSE)*VENTAS[[#This Row],[Cantidad]]+VLOOKUP(VENTAS[[#This Row],[Código del producto Vendido]],STOCK[],19,FALSE)*VENTAS[[#This Row],[Cantidad]],VENTAS[[#This Row],[Total]])</f>
        <v>0</v>
      </c>
      <c r="L1951" s="14">
        <f>VENTAS[[#This Row],[Total]]-VENTAS[[#This Row],[Comisión 10%]]-VENTAS[[#This Row],[Costo SIN Comision]]</f>
        <v>22.5</v>
      </c>
      <c r="M1951" s="48"/>
      <c r="N1951" s="49" t="s">
        <v>4830</v>
      </c>
    </row>
    <row r="1952" s="4" customFormat="1" ht="20" hidden="1" customHeight="1" spans="1:14">
      <c r="A1952" s="46">
        <v>45589</v>
      </c>
      <c r="B1952" s="47"/>
      <c r="C1952" s="47"/>
      <c r="D1952" s="47" t="s">
        <v>4642</v>
      </c>
      <c r="E1952" s="47" t="s">
        <v>1705</v>
      </c>
      <c r="F1952" s="11" t="str">
        <f>IFERROR(VLOOKUP(VENTAS[[#This Row],[Código del producto Vendido]],STOCK[],5,FALSE),"-")</f>
        <v>Vestido ajustado con abertura de manga larga</v>
      </c>
      <c r="G1952" s="47">
        <v>1</v>
      </c>
      <c r="H1952" s="48">
        <v>20</v>
      </c>
      <c r="I1952" s="14">
        <f>VENTAS[[#This Row],[Cantidad]]*VENTAS[[#This Row],[Precio Venta]]</f>
        <v>20</v>
      </c>
      <c r="J1952" s="14">
        <f>IF(VENTAS[[#This Row],[Nombre del Gestor]]&gt;1,VENTAS[[#This Row],[Total]]*10%,0)</f>
        <v>2</v>
      </c>
      <c r="K1952" s="14">
        <f>IFERROR(VLOOKUP(VENTAS[[#This Row],[Código del producto Vendido]],STOCK[],16,FALSE)*VENTAS[[#This Row],[Cantidad]]+VLOOKUP(VENTAS[[#This Row],[Código del producto Vendido]],STOCK[],19,FALSE)*VENTAS[[#This Row],[Cantidad]],VENTAS[[#This Row],[Total]])</f>
        <v>9.97</v>
      </c>
      <c r="L1952" s="14">
        <f>VENTAS[[#This Row],[Total]]-VENTAS[[#This Row],[Comisión 10%]]-VENTAS[[#This Row],[Costo SIN Comision]]</f>
        <v>8.03</v>
      </c>
      <c r="M1952" s="48"/>
      <c r="N1952" s="49" t="s">
        <v>4831</v>
      </c>
    </row>
    <row r="1953" s="4" customFormat="1" ht="20" hidden="1" customHeight="1" spans="1:14">
      <c r="A1953" s="46">
        <v>45589</v>
      </c>
      <c r="B1953" s="47"/>
      <c r="C1953" s="47"/>
      <c r="D1953" s="47" t="s">
        <v>4272</v>
      </c>
      <c r="E1953" s="47" t="s">
        <v>2972</v>
      </c>
      <c r="F1953" s="11" t="str">
        <f>IFERROR(VLOOKUP(VENTAS[[#This Row],[Código del producto Vendido]],STOCK[],5,FALSE),"-")</f>
        <v>Vestido de un hombro con abertura trasera color azul celeste</v>
      </c>
      <c r="G1953" s="47">
        <v>1</v>
      </c>
      <c r="H1953" s="48">
        <v>25</v>
      </c>
      <c r="I1953" s="14">
        <f>VENTAS[[#This Row],[Cantidad]]*VENTAS[[#This Row],[Precio Venta]]</f>
        <v>25</v>
      </c>
      <c r="J1953" s="14">
        <f>IF(VENTAS[[#This Row],[Nombre del Gestor]]&gt;1,VENTAS[[#This Row],[Total]]*10%,0)</f>
        <v>2.5</v>
      </c>
      <c r="K1953" s="14">
        <f>IFERROR(VLOOKUP(VENTAS[[#This Row],[Código del producto Vendido]],STOCK[],16,FALSE)*VENTAS[[#This Row],[Cantidad]]+VLOOKUP(VENTAS[[#This Row],[Código del producto Vendido]],STOCK[],19,FALSE)*VENTAS[[#This Row],[Cantidad]],VENTAS[[#This Row],[Total]])</f>
        <v>12.32</v>
      </c>
      <c r="L1953" s="14">
        <f>VENTAS[[#This Row],[Total]]-VENTAS[[#This Row],[Comisión 10%]]-VENTAS[[#This Row],[Costo SIN Comision]]</f>
        <v>10.18</v>
      </c>
      <c r="M1953" s="48"/>
      <c r="N1953" s="49" t="s">
        <v>4832</v>
      </c>
    </row>
    <row r="1954" s="4" customFormat="1" ht="20" hidden="1" customHeight="1" spans="1:14">
      <c r="A1954" s="46">
        <v>45589</v>
      </c>
      <c r="B1954" s="47"/>
      <c r="C1954" s="47"/>
      <c r="D1954" s="47" t="s">
        <v>4266</v>
      </c>
      <c r="E1954" s="47" t="s">
        <v>3397</v>
      </c>
      <c r="F1954" s="11" t="str">
        <f>IFERROR(VLOOKUP(VENTAS[[#This Row],[Código del producto Vendido]],STOCK[],5,FALSE),"-")</f>
        <v>Cubre bocas de caravela</v>
      </c>
      <c r="G1954" s="47">
        <v>1</v>
      </c>
      <c r="H1954" s="48">
        <v>4</v>
      </c>
      <c r="I1954" s="14">
        <f>VENTAS[[#This Row],[Cantidad]]*VENTAS[[#This Row],[Precio Venta]]</f>
        <v>4</v>
      </c>
      <c r="J1954" s="14">
        <f>IF(VENTAS[[#This Row],[Nombre del Gestor]]&gt;1,VENTAS[[#This Row],[Total]]*10%,0)</f>
        <v>0.4</v>
      </c>
      <c r="K1954" s="14">
        <f>IFERROR(VLOOKUP(VENTAS[[#This Row],[Código del producto Vendido]],STOCK[],16,FALSE)*VENTAS[[#This Row],[Cantidad]]+VLOOKUP(VENTAS[[#This Row],[Código del producto Vendido]],STOCK[],19,FALSE)*VENTAS[[#This Row],[Cantidad]],VENTAS[[#This Row],[Total]])</f>
        <v>0</v>
      </c>
      <c r="L1954" s="14">
        <f>VENTAS[[#This Row],[Total]]-VENTAS[[#This Row],[Comisión 10%]]-VENTAS[[#This Row],[Costo SIN Comision]]</f>
        <v>3.6</v>
      </c>
      <c r="M1954" s="48"/>
      <c r="N1954" s="49" t="s">
        <v>4833</v>
      </c>
    </row>
    <row r="1955" s="4" customFormat="1" ht="20" hidden="1" customHeight="1" spans="1:14">
      <c r="A1955" s="46">
        <v>45589</v>
      </c>
      <c r="B1955" s="47"/>
      <c r="C1955" s="47"/>
      <c r="D1955" s="47" t="s">
        <v>4266</v>
      </c>
      <c r="E1955" s="47" t="s">
        <v>3399</v>
      </c>
      <c r="F1955" s="11" t="str">
        <f>IFERROR(VLOOKUP(VENTAS[[#This Row],[Código del producto Vendido]],STOCK[],5,FALSE),"-")</f>
        <v>Vestido poncho de esqueleto</v>
      </c>
      <c r="G1955" s="47">
        <v>1</v>
      </c>
      <c r="H1955" s="48">
        <v>18</v>
      </c>
      <c r="I1955" s="14">
        <f>VENTAS[[#This Row],[Cantidad]]*VENTAS[[#This Row],[Precio Venta]]</f>
        <v>18</v>
      </c>
      <c r="J1955" s="14">
        <f>IF(VENTAS[[#This Row],[Nombre del Gestor]]&gt;1,VENTAS[[#This Row],[Total]]*10%,0)</f>
        <v>1.8</v>
      </c>
      <c r="K1955" s="14">
        <f>IFERROR(VLOOKUP(VENTAS[[#This Row],[Código del producto Vendido]],STOCK[],16,FALSE)*VENTAS[[#This Row],[Cantidad]]+VLOOKUP(VENTAS[[#This Row],[Código del producto Vendido]],STOCK[],19,FALSE)*VENTAS[[#This Row],[Cantidad]],VENTAS[[#This Row],[Total]])</f>
        <v>0</v>
      </c>
      <c r="L1955" s="14">
        <f>VENTAS[[#This Row],[Total]]-VENTAS[[#This Row],[Comisión 10%]]-VENTAS[[#This Row],[Costo SIN Comision]]</f>
        <v>16.2</v>
      </c>
      <c r="M1955" s="48"/>
      <c r="N1955" s="49" t="s">
        <v>4834</v>
      </c>
    </row>
    <row r="1956" s="4" customFormat="1" ht="20" hidden="1" customHeight="1" spans="1:14">
      <c r="A1956" s="46">
        <v>45589</v>
      </c>
      <c r="B1956" s="47"/>
      <c r="C1956" s="47"/>
      <c r="D1956" s="47" t="s">
        <v>4290</v>
      </c>
      <c r="E1956" s="47" t="s">
        <v>2865</v>
      </c>
      <c r="F1956" s="11" t="str">
        <f>IFERROR(VLOOKUP(VENTAS[[#This Row],[Código del producto Vendido]],STOCK[],5,FALSE),"-")</f>
        <v>Vestido de espalda descubierta de color sólido y tirantes de espagueti</v>
      </c>
      <c r="G1956" s="47">
        <v>1</v>
      </c>
      <c r="H1956" s="48">
        <v>25</v>
      </c>
      <c r="I1956" s="14">
        <f>VENTAS[[#This Row],[Cantidad]]*VENTAS[[#This Row],[Precio Venta]]</f>
        <v>25</v>
      </c>
      <c r="J1956" s="14">
        <f>IF(VENTAS[[#This Row],[Nombre del Gestor]]&gt;1,VENTAS[[#This Row],[Total]]*10%,0)</f>
        <v>2.5</v>
      </c>
      <c r="K1956" s="14">
        <f>IFERROR(VLOOKUP(VENTAS[[#This Row],[Código del producto Vendido]],STOCK[],16,FALSE)*VENTAS[[#This Row],[Cantidad]]+VLOOKUP(VENTAS[[#This Row],[Código del producto Vendido]],STOCK[],19,FALSE)*VENTAS[[#This Row],[Cantidad]],VENTAS[[#This Row],[Total]])</f>
        <v>11.98</v>
      </c>
      <c r="L1956" s="14">
        <f>VENTAS[[#This Row],[Total]]-VENTAS[[#This Row],[Comisión 10%]]-VENTAS[[#This Row],[Costo SIN Comision]]</f>
        <v>10.52</v>
      </c>
      <c r="M1956" s="48"/>
      <c r="N1956" s="49" t="s">
        <v>4835</v>
      </c>
    </row>
    <row r="1957" s="4" customFormat="1" ht="20" hidden="1" customHeight="1" spans="1:14">
      <c r="A1957" s="46">
        <v>45589</v>
      </c>
      <c r="B1957" s="47"/>
      <c r="C1957" s="47"/>
      <c r="D1957" s="47" t="s">
        <v>4836</v>
      </c>
      <c r="E1957" s="47" t="s">
        <v>3454</v>
      </c>
      <c r="F1957" s="11" t="str">
        <f>IFERROR(VLOOKUP(VENTAS[[#This Row],[Código del producto Vendido]],STOCK[],5,FALSE),"-")</f>
        <v>Botas negras de pierna alta</v>
      </c>
      <c r="G1957" s="47">
        <v>1</v>
      </c>
      <c r="H1957" s="48">
        <v>50</v>
      </c>
      <c r="I1957" s="14">
        <f>VENTAS[[#This Row],[Cantidad]]*VENTAS[[#This Row],[Precio Venta]]</f>
        <v>50</v>
      </c>
      <c r="J1957" s="14">
        <f>IF(VENTAS[[#This Row],[Nombre del Gestor]]&gt;1,VENTAS[[#This Row],[Total]]*10%,0)</f>
        <v>5</v>
      </c>
      <c r="K1957" s="14">
        <f>IFERROR(VLOOKUP(VENTAS[[#This Row],[Código del producto Vendido]],STOCK[],16,FALSE)*VENTAS[[#This Row],[Cantidad]]+VLOOKUP(VENTAS[[#This Row],[Código del producto Vendido]],STOCK[],19,FALSE)*VENTAS[[#This Row],[Cantidad]],VENTAS[[#This Row],[Total]])</f>
        <v>0</v>
      </c>
      <c r="L1957" s="14">
        <f>VENTAS[[#This Row],[Total]]-VENTAS[[#This Row],[Comisión 10%]]-VENTAS[[#This Row],[Costo SIN Comision]]</f>
        <v>45</v>
      </c>
      <c r="M1957" s="48"/>
      <c r="N1957" s="49" t="s">
        <v>4837</v>
      </c>
    </row>
    <row r="1958" s="4" customFormat="1" ht="20" hidden="1" customHeight="1" spans="1:14">
      <c r="A1958" s="46">
        <v>45590</v>
      </c>
      <c r="B1958" s="47"/>
      <c r="C1958" s="47"/>
      <c r="D1958" s="47" t="s">
        <v>4272</v>
      </c>
      <c r="E1958" s="47" t="s">
        <v>3472</v>
      </c>
      <c r="F1958" s="45" t="str">
        <f>IFERROR(VLOOKUP(VENTAS[[#This Row],[Código del producto Vendido]],STOCK[],5,FALSE),"-")</f>
        <v>Máscara completa de Miles Morales</v>
      </c>
      <c r="G1958" s="47">
        <v>1</v>
      </c>
      <c r="H1958" s="48">
        <v>10</v>
      </c>
      <c r="I1958" s="14">
        <f>VENTAS[[#This Row],[Cantidad]]*VENTAS[[#This Row],[Precio Venta]]</f>
        <v>10</v>
      </c>
      <c r="J1958" s="14">
        <f>IF(VENTAS[[#This Row],[Nombre del Gestor]]&gt;1,VENTAS[[#This Row],[Total]]*10%,0)</f>
        <v>1</v>
      </c>
      <c r="K1958" s="14">
        <f>IFERROR(VLOOKUP(VENTAS[[#This Row],[Código del producto Vendido]],STOCK[],16,FALSE)*VENTAS[[#This Row],[Cantidad]]+VLOOKUP(VENTAS[[#This Row],[Código del producto Vendido]],STOCK[],19,FALSE)*VENTAS[[#This Row],[Cantidad]],VENTAS[[#This Row],[Total]])</f>
        <v>0</v>
      </c>
      <c r="L1958" s="14">
        <f>VENTAS[[#This Row],[Total]]-VENTAS[[#This Row],[Comisión 10%]]-VENTAS[[#This Row],[Costo SIN Comision]]</f>
        <v>9</v>
      </c>
      <c r="M1958" s="48"/>
      <c r="N1958" s="49" t="s">
        <v>4838</v>
      </c>
    </row>
    <row r="1959" s="4" customFormat="1" ht="20" hidden="1" customHeight="1" spans="1:14">
      <c r="A1959" s="46">
        <v>45590</v>
      </c>
      <c r="B1959" s="47"/>
      <c r="C1959" s="47"/>
      <c r="D1959" s="47"/>
      <c r="E1959" s="47" t="s">
        <v>2804</v>
      </c>
      <c r="F1959" s="11" t="str">
        <f>IFERROR(VLOOKUP(VENTAS[[#This Row],[Código del producto Vendido]],STOCK[],5,FALSE),"-")</f>
        <v>Sandalias espadriles de cuña de correas transparentes</v>
      </c>
      <c r="G1959" s="47">
        <v>1</v>
      </c>
      <c r="H1959" s="48">
        <v>40</v>
      </c>
      <c r="I1959" s="14">
        <f>VENTAS[[#This Row],[Cantidad]]*VENTAS[[#This Row],[Precio Venta]]</f>
        <v>40</v>
      </c>
      <c r="J1959" s="14">
        <f>IF(VENTAS[[#This Row],[Nombre del Gestor]]&gt;1,VENTAS[[#This Row],[Total]]*10%,0)</f>
        <v>0</v>
      </c>
      <c r="K1959" s="14">
        <f>IFERROR(VLOOKUP(VENTAS[[#This Row],[Código del producto Vendido]],STOCK[],16,FALSE)*VENTAS[[#This Row],[Cantidad]]+VLOOKUP(VENTAS[[#This Row],[Código del producto Vendido]],STOCK[],19,FALSE)*VENTAS[[#This Row],[Cantidad]],VENTAS[[#This Row],[Total]])</f>
        <v>13.01</v>
      </c>
      <c r="L1959" s="14">
        <f>VENTAS[[#This Row],[Total]]-VENTAS[[#This Row],[Comisión 10%]]-VENTAS[[#This Row],[Costo SIN Comision]]</f>
        <v>26.99</v>
      </c>
      <c r="M1959" s="48"/>
      <c r="N1959" s="49" t="s">
        <v>4839</v>
      </c>
    </row>
    <row r="1960" s="4" customFormat="1" ht="20" hidden="1" customHeight="1" spans="1:14">
      <c r="A1960" s="46">
        <v>45590</v>
      </c>
      <c r="B1960" s="47"/>
      <c r="C1960" s="47"/>
      <c r="D1960" s="47" t="s">
        <v>4840</v>
      </c>
      <c r="E1960" s="47" t="s">
        <v>3478</v>
      </c>
      <c r="F1960" s="11" t="str">
        <f>IFERROR(VLOOKUP(VENTAS[[#This Row],[Código del producto Vendido]],STOCK[],5,FALSE),"-")</f>
        <v>Peluca negra con flequillo</v>
      </c>
      <c r="G1960" s="47">
        <v>1</v>
      </c>
      <c r="H1960" s="48">
        <v>10</v>
      </c>
      <c r="I1960" s="14">
        <f>VENTAS[[#This Row],[Cantidad]]*VENTAS[[#This Row],[Precio Venta]]</f>
        <v>10</v>
      </c>
      <c r="J1960" s="14">
        <f>IF(VENTAS[[#This Row],[Nombre del Gestor]]&gt;1,VENTAS[[#This Row],[Total]]*10%,0)</f>
        <v>1</v>
      </c>
      <c r="K1960" s="14">
        <f>IFERROR(VLOOKUP(VENTAS[[#This Row],[Código del producto Vendido]],STOCK[],16,FALSE)*VENTAS[[#This Row],[Cantidad]]+VLOOKUP(VENTAS[[#This Row],[Código del producto Vendido]],STOCK[],19,FALSE)*VENTAS[[#This Row],[Cantidad]],VENTAS[[#This Row],[Total]])</f>
        <v>0</v>
      </c>
      <c r="L1960" s="14">
        <f>VENTAS[[#This Row],[Total]]-VENTAS[[#This Row],[Comisión 10%]]-VENTAS[[#This Row],[Costo SIN Comision]]</f>
        <v>9</v>
      </c>
      <c r="M1960" s="48"/>
      <c r="N1960" s="49" t="s">
        <v>4841</v>
      </c>
    </row>
    <row r="1961" s="4" customFormat="1" ht="20" hidden="1" customHeight="1" spans="1:14">
      <c r="A1961" s="46">
        <v>45590</v>
      </c>
      <c r="B1961" s="47"/>
      <c r="C1961" s="47"/>
      <c r="D1961" s="47" t="s">
        <v>4463</v>
      </c>
      <c r="E1961" s="47" t="s">
        <v>3376</v>
      </c>
      <c r="F1961" s="11" t="str">
        <f>IFERROR(VLOOKUP(VENTAS[[#This Row],[Código del producto Vendido]],STOCK[],5,FALSE),"-")</f>
        <v>Juego de 4 piezas para disfraz de abejita</v>
      </c>
      <c r="G1961" s="47">
        <v>1</v>
      </c>
      <c r="H1961" s="48">
        <v>15</v>
      </c>
      <c r="I1961" s="14">
        <f>VENTAS[[#This Row],[Cantidad]]*VENTAS[[#This Row],[Precio Venta]]</f>
        <v>15</v>
      </c>
      <c r="J1961" s="14">
        <f>IF(VENTAS[[#This Row],[Nombre del Gestor]]&gt;1,VENTAS[[#This Row],[Total]]*10%,0)</f>
        <v>1.5</v>
      </c>
      <c r="K1961" s="14">
        <f>IFERROR(VLOOKUP(VENTAS[[#This Row],[Código del producto Vendido]],STOCK[],16,FALSE)*VENTAS[[#This Row],[Cantidad]]+VLOOKUP(VENTAS[[#This Row],[Código del producto Vendido]],STOCK[],19,FALSE)*VENTAS[[#This Row],[Cantidad]],VENTAS[[#This Row],[Total]])</f>
        <v>0</v>
      </c>
      <c r="L1961" s="14">
        <f>VENTAS[[#This Row],[Total]]-VENTAS[[#This Row],[Comisión 10%]]-VENTAS[[#This Row],[Costo SIN Comision]]</f>
        <v>13.5</v>
      </c>
      <c r="M1961" s="48"/>
      <c r="N1961" s="49" t="s">
        <v>4842</v>
      </c>
    </row>
    <row r="1962" s="4" customFormat="1" ht="20" hidden="1" customHeight="1" spans="1:14">
      <c r="A1962" s="46">
        <v>45590</v>
      </c>
      <c r="B1962" s="47"/>
      <c r="C1962" s="47"/>
      <c r="D1962" s="47" t="s">
        <v>4463</v>
      </c>
      <c r="E1962" s="47" t="s">
        <v>3342</v>
      </c>
      <c r="F1962" s="11" t="str">
        <f>IFERROR(VLOOKUP(VENTAS[[#This Row],[Código del producto Vendido]],STOCK[],5,FALSE),"-")</f>
        <v>Vestido de Traje de conejita con diadema de orejas</v>
      </c>
      <c r="G1962" s="47">
        <v>1</v>
      </c>
      <c r="H1962" s="48">
        <v>25</v>
      </c>
      <c r="I1962" s="14">
        <f>VENTAS[[#This Row],[Cantidad]]*VENTAS[[#This Row],[Precio Venta]]</f>
        <v>25</v>
      </c>
      <c r="J1962" s="14">
        <f>IF(VENTAS[[#This Row],[Nombre del Gestor]]&gt;1,VENTAS[[#This Row],[Total]]*10%,0)</f>
        <v>2.5</v>
      </c>
      <c r="K1962" s="14">
        <f>IFERROR(VLOOKUP(VENTAS[[#This Row],[Código del producto Vendido]],STOCK[],16,FALSE)*VENTAS[[#This Row],[Cantidad]]+VLOOKUP(VENTAS[[#This Row],[Código del producto Vendido]],STOCK[],19,FALSE)*VENTAS[[#This Row],[Cantidad]],VENTAS[[#This Row],[Total]])</f>
        <v>0</v>
      </c>
      <c r="L1962" s="14">
        <f>VENTAS[[#This Row],[Total]]-VENTAS[[#This Row],[Comisión 10%]]-VENTAS[[#This Row],[Costo SIN Comision]]</f>
        <v>22.5</v>
      </c>
      <c r="M1962" s="48"/>
      <c r="N1962" s="49" t="s">
        <v>4843</v>
      </c>
    </row>
    <row r="1963" s="4" customFormat="1" ht="20" hidden="1" customHeight="1" spans="1:14">
      <c r="A1963" s="46">
        <v>45590</v>
      </c>
      <c r="B1963" s="47"/>
      <c r="C1963" s="47"/>
      <c r="D1963" s="47" t="s">
        <v>4463</v>
      </c>
      <c r="E1963" s="47" t="s">
        <v>3292</v>
      </c>
      <c r="F1963" s="11" t="str">
        <f>IFERROR(VLOOKUP(VENTAS[[#This Row],[Código del producto Vendido]],STOCK[],5,FALSE),"-")</f>
        <v>Medias pantys con detalle de pierdas brillantes</v>
      </c>
      <c r="G1963" s="47">
        <v>1</v>
      </c>
      <c r="H1963" s="48">
        <v>8</v>
      </c>
      <c r="I1963" s="14">
        <f>VENTAS[[#This Row],[Cantidad]]*VENTAS[[#This Row],[Precio Venta]]</f>
        <v>8</v>
      </c>
      <c r="J1963" s="14">
        <f>IF(VENTAS[[#This Row],[Nombre del Gestor]]&gt;1,VENTAS[[#This Row],[Total]]*10%,0)</f>
        <v>0.8</v>
      </c>
      <c r="K1963" s="14">
        <f>IFERROR(VLOOKUP(VENTAS[[#This Row],[Código del producto Vendido]],STOCK[],16,FALSE)*VENTAS[[#This Row],[Cantidad]]+VLOOKUP(VENTAS[[#This Row],[Código del producto Vendido]],STOCK[],19,FALSE)*VENTAS[[#This Row],[Cantidad]],VENTAS[[#This Row],[Total]])</f>
        <v>0</v>
      </c>
      <c r="L1963" s="14">
        <f>VENTAS[[#This Row],[Total]]-VENTAS[[#This Row],[Comisión 10%]]-VENTAS[[#This Row],[Costo SIN Comision]]</f>
        <v>7.2</v>
      </c>
      <c r="M1963" s="48"/>
      <c r="N1963" s="49" t="s">
        <v>4844</v>
      </c>
    </row>
    <row r="1964" s="4" customFormat="1" ht="20" hidden="1" customHeight="1" spans="1:14">
      <c r="A1964" s="46">
        <v>45590</v>
      </c>
      <c r="B1964" s="47"/>
      <c r="C1964" s="47"/>
      <c r="D1964" s="47"/>
      <c r="E1964" s="47" t="s">
        <v>3362</v>
      </c>
      <c r="F1964" s="11" t="str">
        <f>IFERROR(VLOOKUP(VENTAS[[#This Row],[Código del producto Vendido]],STOCK[],5,FALSE),"-")</f>
        <v>Máscara completa de esqueleto endemoniado con peluca</v>
      </c>
      <c r="G1964" s="47">
        <v>1</v>
      </c>
      <c r="H1964" s="48">
        <v>20</v>
      </c>
      <c r="I1964" s="14">
        <f>VENTAS[[#This Row],[Cantidad]]*VENTAS[[#This Row],[Precio Venta]]</f>
        <v>20</v>
      </c>
      <c r="J1964" s="14">
        <f>IF(VENTAS[[#This Row],[Nombre del Gestor]]&gt;1,VENTAS[[#This Row],[Total]]*10%,0)</f>
        <v>0</v>
      </c>
      <c r="K1964" s="14">
        <f>IFERROR(VLOOKUP(VENTAS[[#This Row],[Código del producto Vendido]],STOCK[],16,FALSE)*VENTAS[[#This Row],[Cantidad]]+VLOOKUP(VENTAS[[#This Row],[Código del producto Vendido]],STOCK[],19,FALSE)*VENTAS[[#This Row],[Cantidad]],VENTAS[[#This Row],[Total]])</f>
        <v>0</v>
      </c>
      <c r="L1964" s="14">
        <f>VENTAS[[#This Row],[Total]]-VENTAS[[#This Row],[Comisión 10%]]-VENTAS[[#This Row],[Costo SIN Comision]]</f>
        <v>20</v>
      </c>
      <c r="M1964" s="48"/>
      <c r="N1964" s="49" t="s">
        <v>4845</v>
      </c>
    </row>
    <row r="1965" s="4" customFormat="1" ht="20" hidden="1" customHeight="1" spans="1:14">
      <c r="A1965" s="46">
        <v>45590</v>
      </c>
      <c r="B1965" s="47"/>
      <c r="C1965" s="47"/>
      <c r="D1965" s="47"/>
      <c r="E1965" s="47" t="s">
        <v>3401</v>
      </c>
      <c r="F1965" s="11" t="str">
        <f>IFERROR(VLOOKUP(VENTAS[[#This Row],[Código del producto Vendido]],STOCK[],5,FALSE),"-")</f>
        <v>Vestido poncho de esqueleto</v>
      </c>
      <c r="G1965" s="47">
        <v>1</v>
      </c>
      <c r="H1965" s="48">
        <v>18</v>
      </c>
      <c r="I1965" s="14">
        <f>VENTAS[[#This Row],[Cantidad]]*VENTAS[[#This Row],[Precio Venta]]</f>
        <v>18</v>
      </c>
      <c r="J1965" s="14">
        <f>IF(VENTAS[[#This Row],[Nombre del Gestor]]&gt;1,VENTAS[[#This Row],[Total]]*10%,0)</f>
        <v>0</v>
      </c>
      <c r="K1965" s="14">
        <f>IFERROR(VLOOKUP(VENTAS[[#This Row],[Código del producto Vendido]],STOCK[],16,FALSE)*VENTAS[[#This Row],[Cantidad]]+VLOOKUP(VENTAS[[#This Row],[Código del producto Vendido]],STOCK[],19,FALSE)*VENTAS[[#This Row],[Cantidad]],VENTAS[[#This Row],[Total]])</f>
        <v>0</v>
      </c>
      <c r="L1965" s="14">
        <f>VENTAS[[#This Row],[Total]]-VENTAS[[#This Row],[Comisión 10%]]-VENTAS[[#This Row],[Costo SIN Comision]]</f>
        <v>18</v>
      </c>
      <c r="M1965" s="48"/>
      <c r="N1965" s="49" t="s">
        <v>4846</v>
      </c>
    </row>
    <row r="1966" s="4" customFormat="1" ht="20" hidden="1" customHeight="1" spans="1:14">
      <c r="A1966" s="46">
        <v>45590</v>
      </c>
      <c r="B1966" s="47"/>
      <c r="C1966" s="47"/>
      <c r="D1966" s="47"/>
      <c r="E1966" s="47" t="s">
        <v>3370</v>
      </c>
      <c r="F1966" s="11" t="str">
        <f>IFERROR(VLOOKUP(VENTAS[[#This Row],[Código del producto Vendido]],STOCK[],5,FALSE),"-")</f>
        <v>Disfraz de Diosa griega color negro (vestido y cinturón)</v>
      </c>
      <c r="G1966" s="47">
        <v>1</v>
      </c>
      <c r="H1966" s="48">
        <v>25</v>
      </c>
      <c r="I1966" s="14">
        <f>VENTAS[[#This Row],[Cantidad]]*VENTAS[[#This Row],[Precio Venta]]</f>
        <v>25</v>
      </c>
      <c r="J1966" s="14">
        <f>IF(VENTAS[[#This Row],[Nombre del Gestor]]&gt;1,VENTAS[[#This Row],[Total]]*10%,0)</f>
        <v>0</v>
      </c>
      <c r="K1966" s="14">
        <f>IFERROR(VLOOKUP(VENTAS[[#This Row],[Código del producto Vendido]],STOCK[],16,FALSE)*VENTAS[[#This Row],[Cantidad]]+VLOOKUP(VENTAS[[#This Row],[Código del producto Vendido]],STOCK[],19,FALSE)*VENTAS[[#This Row],[Cantidad]],VENTAS[[#This Row],[Total]])</f>
        <v>0</v>
      </c>
      <c r="L1966" s="14">
        <f>VENTAS[[#This Row],[Total]]-VENTAS[[#This Row],[Comisión 10%]]-VENTAS[[#This Row],[Costo SIN Comision]]</f>
        <v>25</v>
      </c>
      <c r="M1966" s="48"/>
      <c r="N1966" s="49" t="s">
        <v>4847</v>
      </c>
    </row>
    <row r="1967" s="4" customFormat="1" ht="20" hidden="1" customHeight="1" spans="1:14">
      <c r="A1967" s="46">
        <v>45590</v>
      </c>
      <c r="B1967" s="47"/>
      <c r="C1967" s="47"/>
      <c r="D1967" s="47"/>
      <c r="E1967" s="47" t="s">
        <v>3436</v>
      </c>
      <c r="F1967" s="11" t="str">
        <f>IFERROR(VLOOKUP(VENTAS[[#This Row],[Código del producto Vendido]],STOCK[],5,FALSE),"-")</f>
        <v>Pullover naranja calabaza</v>
      </c>
      <c r="G1967" s="47">
        <v>1</v>
      </c>
      <c r="H1967" s="48">
        <v>12</v>
      </c>
      <c r="I1967" s="14">
        <f>VENTAS[[#This Row],[Cantidad]]*VENTAS[[#This Row],[Precio Venta]]</f>
        <v>12</v>
      </c>
      <c r="J1967" s="14">
        <f>IF(VENTAS[[#This Row],[Nombre del Gestor]]&gt;1,VENTAS[[#This Row],[Total]]*10%,0)</f>
        <v>0</v>
      </c>
      <c r="K1967" s="14">
        <f>IFERROR(VLOOKUP(VENTAS[[#This Row],[Código del producto Vendido]],STOCK[],16,FALSE)*VENTAS[[#This Row],[Cantidad]]+VLOOKUP(VENTAS[[#This Row],[Código del producto Vendido]],STOCK[],19,FALSE)*VENTAS[[#This Row],[Cantidad]],VENTAS[[#This Row],[Total]])</f>
        <v>0</v>
      </c>
      <c r="L1967" s="14">
        <f>VENTAS[[#This Row],[Total]]-VENTAS[[#This Row],[Comisión 10%]]-VENTAS[[#This Row],[Costo SIN Comision]]</f>
        <v>12</v>
      </c>
      <c r="M1967" s="48"/>
      <c r="N1967" s="49" t="s">
        <v>4848</v>
      </c>
    </row>
    <row r="1968" s="4" customFormat="1" ht="20" hidden="1" customHeight="1" spans="1:14">
      <c r="A1968" s="46">
        <v>45590</v>
      </c>
      <c r="B1968" s="47"/>
      <c r="C1968" s="47"/>
      <c r="D1968" s="47"/>
      <c r="E1968" s="47" t="s">
        <v>3386</v>
      </c>
      <c r="F1968" s="11" t="str">
        <f>IFERROR(VLOOKUP(VENTAS[[#This Row],[Código del producto Vendido]],STOCK[],5,FALSE),"-")</f>
        <v>Diadema de calabaza</v>
      </c>
      <c r="G1968" s="47">
        <v>1</v>
      </c>
      <c r="H1968" s="48">
        <v>4</v>
      </c>
      <c r="I1968" s="14">
        <f>VENTAS[[#This Row],[Cantidad]]*VENTAS[[#This Row],[Precio Venta]]</f>
        <v>4</v>
      </c>
      <c r="J1968" s="14">
        <f>IF(VENTAS[[#This Row],[Nombre del Gestor]]&gt;1,VENTAS[[#This Row],[Total]]*10%,0)</f>
        <v>0</v>
      </c>
      <c r="K1968" s="14">
        <f>IFERROR(VLOOKUP(VENTAS[[#This Row],[Código del producto Vendido]],STOCK[],16,FALSE)*VENTAS[[#This Row],[Cantidad]]+VLOOKUP(VENTAS[[#This Row],[Código del producto Vendido]],STOCK[],19,FALSE)*VENTAS[[#This Row],[Cantidad]],VENTAS[[#This Row],[Total]])</f>
        <v>0</v>
      </c>
      <c r="L1968" s="14">
        <f>VENTAS[[#This Row],[Total]]-VENTAS[[#This Row],[Comisión 10%]]-VENTAS[[#This Row],[Costo SIN Comision]]</f>
        <v>4</v>
      </c>
      <c r="M1968" s="48"/>
      <c r="N1968" s="49" t="s">
        <v>4849</v>
      </c>
    </row>
    <row r="1969" s="4" customFormat="1" ht="20" hidden="1" customHeight="1" spans="1:14">
      <c r="A1969" s="46">
        <v>45590</v>
      </c>
      <c r="B1969" s="47"/>
      <c r="C1969" s="47"/>
      <c r="D1969" s="47" t="s">
        <v>4463</v>
      </c>
      <c r="E1969" s="47" t="s">
        <v>2787</v>
      </c>
      <c r="F1969" s="11" t="str">
        <f>IFERROR(VLOOKUP(VENTAS[[#This Row],[Código del producto Vendido]],STOCK[],5,FALSE),"-")</f>
        <v>Sandalias doradas de tiras anchas para toda ocasión</v>
      </c>
      <c r="G1969" s="47">
        <v>1</v>
      </c>
      <c r="H1969" s="48">
        <v>20</v>
      </c>
      <c r="I1969" s="14">
        <f>VENTAS[[#This Row],[Cantidad]]*VENTAS[[#This Row],[Precio Venta]]</f>
        <v>20</v>
      </c>
      <c r="J1969" s="14">
        <f>IF(VENTAS[[#This Row],[Nombre del Gestor]]&gt;1,VENTAS[[#This Row],[Total]]*10%,0)</f>
        <v>2</v>
      </c>
      <c r="K1969" s="14">
        <f>IFERROR(VLOOKUP(VENTAS[[#This Row],[Código del producto Vendido]],STOCK[],16,FALSE)*VENTAS[[#This Row],[Cantidad]]+VLOOKUP(VENTAS[[#This Row],[Código del producto Vendido]],STOCK[],19,FALSE)*VENTAS[[#This Row],[Cantidad]],VENTAS[[#This Row],[Total]])</f>
        <v>6.65</v>
      </c>
      <c r="L1969" s="14">
        <f>VENTAS[[#This Row],[Total]]-VENTAS[[#This Row],[Comisión 10%]]-VENTAS[[#This Row],[Costo SIN Comision]]</f>
        <v>11.35</v>
      </c>
      <c r="M1969" s="48"/>
      <c r="N1969" s="49" t="s">
        <v>4850</v>
      </c>
    </row>
    <row r="1970" s="4" customFormat="1" ht="20" hidden="1" customHeight="1" spans="1:14">
      <c r="A1970" s="46">
        <v>45590</v>
      </c>
      <c r="B1970" s="47"/>
      <c r="C1970" s="47"/>
      <c r="D1970" s="47" t="s">
        <v>4270</v>
      </c>
      <c r="E1970" s="47" t="s">
        <v>2522</v>
      </c>
      <c r="F1970" s="11" t="str">
        <f>IFERROR(VLOOKUP(VENTAS[[#This Row],[Código del producto Vendido]],STOCK[],5,FALSE),"-")</f>
        <v>Pantalones cortos de mezclilla de moda</v>
      </c>
      <c r="G1970" s="47">
        <v>1</v>
      </c>
      <c r="H1970" s="48">
        <v>25</v>
      </c>
      <c r="I1970" s="14">
        <f>VENTAS[[#This Row],[Cantidad]]*VENTAS[[#This Row],[Precio Venta]]</f>
        <v>25</v>
      </c>
      <c r="J1970" s="14">
        <f>IF(VENTAS[[#This Row],[Nombre del Gestor]]&gt;1,VENTAS[[#This Row],[Total]]*10%,0)</f>
        <v>2.5</v>
      </c>
      <c r="K1970" s="14">
        <f>IFERROR(VLOOKUP(VENTAS[[#This Row],[Código del producto Vendido]],STOCK[],16,FALSE)*VENTAS[[#This Row],[Cantidad]]+VLOOKUP(VENTAS[[#This Row],[Código del producto Vendido]],STOCK[],19,FALSE)*VENTAS[[#This Row],[Cantidad]],VENTAS[[#This Row],[Total]])</f>
        <v>15.79</v>
      </c>
      <c r="L1970" s="14">
        <f>VENTAS[[#This Row],[Total]]-VENTAS[[#This Row],[Comisión 10%]]-VENTAS[[#This Row],[Costo SIN Comision]]</f>
        <v>6.71</v>
      </c>
      <c r="M1970" s="48"/>
      <c r="N1970" s="49" t="s">
        <v>4851</v>
      </c>
    </row>
    <row r="1971" s="4" customFormat="1" ht="20" hidden="1" customHeight="1" spans="1:14">
      <c r="A1971" s="46">
        <v>45590</v>
      </c>
      <c r="B1971" s="47"/>
      <c r="C1971" s="47"/>
      <c r="D1971" s="47" t="s">
        <v>4266</v>
      </c>
      <c r="E1971" s="47" t="s">
        <v>3323</v>
      </c>
      <c r="F1971" s="11" t="str">
        <f>IFERROR(VLOOKUP(VENTAS[[#This Row],[Código del producto Vendido]],STOCK[],5,FALSE),"-")</f>
        <v>Máscara de Bathman</v>
      </c>
      <c r="G1971" s="47">
        <v>1</v>
      </c>
      <c r="H1971" s="48">
        <v>6</v>
      </c>
      <c r="I1971" s="14">
        <f>VENTAS[[#This Row],[Cantidad]]*VENTAS[[#This Row],[Precio Venta]]</f>
        <v>6</v>
      </c>
      <c r="J1971" s="14">
        <f>IF(VENTAS[[#This Row],[Nombre del Gestor]]&gt;1,VENTAS[[#This Row],[Total]]*10%,0)</f>
        <v>0.6</v>
      </c>
      <c r="K1971" s="14">
        <f>IFERROR(VLOOKUP(VENTAS[[#This Row],[Código del producto Vendido]],STOCK[],16,FALSE)*VENTAS[[#This Row],[Cantidad]]+VLOOKUP(VENTAS[[#This Row],[Código del producto Vendido]],STOCK[],19,FALSE)*VENTAS[[#This Row],[Cantidad]],VENTAS[[#This Row],[Total]])</f>
        <v>0</v>
      </c>
      <c r="L1971" s="14">
        <f>VENTAS[[#This Row],[Total]]-VENTAS[[#This Row],[Comisión 10%]]-VENTAS[[#This Row],[Costo SIN Comision]]</f>
        <v>5.4</v>
      </c>
      <c r="M1971" s="48"/>
      <c r="N1971" s="49" t="s">
        <v>4852</v>
      </c>
    </row>
    <row r="1972" s="4" customFormat="1" ht="20" hidden="1" customHeight="1" spans="1:14">
      <c r="A1972" s="46">
        <v>45590</v>
      </c>
      <c r="B1972" s="47"/>
      <c r="C1972" s="47"/>
      <c r="D1972" s="47" t="s">
        <v>4266</v>
      </c>
      <c r="E1972" s="47" t="s">
        <v>3364</v>
      </c>
      <c r="F1972" s="11" t="str">
        <f>IFERROR(VLOOKUP(VENTAS[[#This Row],[Código del producto Vendido]],STOCK[],5,FALSE),"-")</f>
        <v>Antifaz de conejo sexy</v>
      </c>
      <c r="G1972" s="47">
        <v>1</v>
      </c>
      <c r="H1972" s="48">
        <v>8</v>
      </c>
      <c r="I1972" s="14">
        <f>VENTAS[[#This Row],[Cantidad]]*VENTAS[[#This Row],[Precio Venta]]</f>
        <v>8</v>
      </c>
      <c r="J1972" s="14">
        <f>IF(VENTAS[[#This Row],[Nombre del Gestor]]&gt;1,VENTAS[[#This Row],[Total]]*10%,0)</f>
        <v>0.8</v>
      </c>
      <c r="K1972" s="14">
        <f>IFERROR(VLOOKUP(VENTAS[[#This Row],[Código del producto Vendido]],STOCK[],16,FALSE)*VENTAS[[#This Row],[Cantidad]]+VLOOKUP(VENTAS[[#This Row],[Código del producto Vendido]],STOCK[],19,FALSE)*VENTAS[[#This Row],[Cantidad]],VENTAS[[#This Row],[Total]])</f>
        <v>0</v>
      </c>
      <c r="L1972" s="14">
        <f>VENTAS[[#This Row],[Total]]-VENTAS[[#This Row],[Comisión 10%]]-VENTAS[[#This Row],[Costo SIN Comision]]</f>
        <v>7.2</v>
      </c>
      <c r="M1972" s="48"/>
      <c r="N1972" s="49" t="s">
        <v>4853</v>
      </c>
    </row>
    <row r="1973" s="4" customFormat="1" ht="20" hidden="1" customHeight="1" spans="1:14">
      <c r="A1973" s="46">
        <v>45590</v>
      </c>
      <c r="B1973" s="47"/>
      <c r="C1973" s="47"/>
      <c r="D1973" s="47" t="s">
        <v>4463</v>
      </c>
      <c r="E1973" s="47" t="s">
        <v>3449</v>
      </c>
      <c r="F1973" s="11" t="str">
        <f>IFERROR(VLOOKUP(VENTAS[[#This Row],[Código del producto Vendido]],STOCK[],5,FALSE),"-")</f>
        <v>Cuchillo bromista</v>
      </c>
      <c r="G1973" s="47">
        <v>1</v>
      </c>
      <c r="H1973" s="48">
        <v>5</v>
      </c>
      <c r="I1973" s="14">
        <f>VENTAS[[#This Row],[Cantidad]]*VENTAS[[#This Row],[Precio Venta]]</f>
        <v>5</v>
      </c>
      <c r="J1973" s="14">
        <f>IF(VENTAS[[#This Row],[Nombre del Gestor]]&gt;1,VENTAS[[#This Row],[Total]]*10%,0)</f>
        <v>0.5</v>
      </c>
      <c r="K1973" s="14">
        <f>IFERROR(VLOOKUP(VENTAS[[#This Row],[Código del producto Vendido]],STOCK[],16,FALSE)*VENTAS[[#This Row],[Cantidad]]+VLOOKUP(VENTAS[[#This Row],[Código del producto Vendido]],STOCK[],19,FALSE)*VENTAS[[#This Row],[Cantidad]],VENTAS[[#This Row],[Total]])</f>
        <v>0</v>
      </c>
      <c r="L1973" s="14">
        <f>VENTAS[[#This Row],[Total]]-VENTAS[[#This Row],[Comisión 10%]]-VENTAS[[#This Row],[Costo SIN Comision]]</f>
        <v>4.5</v>
      </c>
      <c r="M1973" s="48"/>
      <c r="N1973" s="49" t="s">
        <v>4854</v>
      </c>
    </row>
    <row r="1974" s="4" customFormat="1" ht="20" hidden="1" customHeight="1" spans="1:14">
      <c r="A1974" s="46">
        <v>45590</v>
      </c>
      <c r="B1974" s="47"/>
      <c r="C1974" s="47"/>
      <c r="D1974" s="47"/>
      <c r="E1974" s="47" t="s">
        <v>3449</v>
      </c>
      <c r="F1974" s="11" t="str">
        <f>IFERROR(VLOOKUP(VENTAS[[#This Row],[Código del producto Vendido]],STOCK[],5,FALSE),"-")</f>
        <v>Cuchillo bromista</v>
      </c>
      <c r="G1974" s="47">
        <v>1</v>
      </c>
      <c r="H1974" s="48">
        <v>5</v>
      </c>
      <c r="I1974" s="14">
        <f>VENTAS[[#This Row],[Cantidad]]*VENTAS[[#This Row],[Precio Venta]]</f>
        <v>5</v>
      </c>
      <c r="J1974" s="14">
        <f>IF(VENTAS[[#This Row],[Nombre del Gestor]]&gt;1,VENTAS[[#This Row],[Total]]*10%,0)</f>
        <v>0</v>
      </c>
      <c r="K1974" s="14">
        <f>IFERROR(VLOOKUP(VENTAS[[#This Row],[Código del producto Vendido]],STOCK[],16,FALSE)*VENTAS[[#This Row],[Cantidad]]+VLOOKUP(VENTAS[[#This Row],[Código del producto Vendido]],STOCK[],19,FALSE)*VENTAS[[#This Row],[Cantidad]],VENTAS[[#This Row],[Total]])</f>
        <v>0</v>
      </c>
      <c r="L1974" s="14">
        <f>VENTAS[[#This Row],[Total]]-VENTAS[[#This Row],[Comisión 10%]]-VENTAS[[#This Row],[Costo SIN Comision]]</f>
        <v>5</v>
      </c>
      <c r="M1974" s="48"/>
      <c r="N1974" s="49" t="s">
        <v>4855</v>
      </c>
    </row>
    <row r="1975" s="4" customFormat="1" ht="20" hidden="1" customHeight="1" spans="1:14">
      <c r="A1975" s="46">
        <v>45590</v>
      </c>
      <c r="B1975" s="47"/>
      <c r="C1975" s="47"/>
      <c r="D1975" s="47" t="s">
        <v>4581</v>
      </c>
      <c r="E1975" s="47" t="s">
        <v>3476</v>
      </c>
      <c r="F1975" s="11" t="str">
        <f>IFERROR(VLOOKUP(VENTAS[[#This Row],[Código del producto Vendido]],STOCK[],5,FALSE),"-")</f>
        <v>Vestido de Traje de conejita con diadema de orejas</v>
      </c>
      <c r="G1975" s="47">
        <v>1</v>
      </c>
      <c r="H1975" s="48">
        <v>25</v>
      </c>
      <c r="I1975" s="14">
        <f>VENTAS[[#This Row],[Cantidad]]*VENTAS[[#This Row],[Precio Venta]]</f>
        <v>25</v>
      </c>
      <c r="J1975" s="14">
        <f>IF(VENTAS[[#This Row],[Nombre del Gestor]]&gt;1,VENTAS[[#This Row],[Total]]*10%,0)</f>
        <v>2.5</v>
      </c>
      <c r="K1975" s="14">
        <f>IFERROR(VLOOKUP(VENTAS[[#This Row],[Código del producto Vendido]],STOCK[],16,FALSE)*VENTAS[[#This Row],[Cantidad]]+VLOOKUP(VENTAS[[#This Row],[Código del producto Vendido]],STOCK[],19,FALSE)*VENTAS[[#This Row],[Cantidad]],VENTAS[[#This Row],[Total]])</f>
        <v>0</v>
      </c>
      <c r="L1975" s="14">
        <f>VENTAS[[#This Row],[Total]]-VENTAS[[#This Row],[Comisión 10%]]-VENTAS[[#This Row],[Costo SIN Comision]]</f>
        <v>22.5</v>
      </c>
      <c r="M1975" s="48"/>
      <c r="N1975" s="49" t="s">
        <v>4856</v>
      </c>
    </row>
    <row r="1976" s="4" customFormat="1" ht="20" hidden="1" customHeight="1" spans="1:14">
      <c r="A1976" s="46">
        <v>45590</v>
      </c>
      <c r="B1976" s="47"/>
      <c r="C1976" s="47"/>
      <c r="D1976" s="47" t="s">
        <v>4857</v>
      </c>
      <c r="E1976" s="47" t="s">
        <v>3013</v>
      </c>
      <c r="F1976" s="11" t="str">
        <f>IFERROR(VLOOKUP(VENTAS[[#This Row],[Código del producto Vendido]],STOCK[],5,FALSE),"-")</f>
        <v>Pantalón alto de pierna ancha color caramelo</v>
      </c>
      <c r="G1976" s="47">
        <v>1</v>
      </c>
      <c r="H1976" s="48">
        <v>30</v>
      </c>
      <c r="I1976" s="14">
        <f>VENTAS[[#This Row],[Cantidad]]*VENTAS[[#This Row],[Precio Venta]]</f>
        <v>30</v>
      </c>
      <c r="J1976" s="14">
        <f>IF(VENTAS[[#This Row],[Nombre del Gestor]]&gt;1,VENTAS[[#This Row],[Total]]*10%,0)</f>
        <v>3</v>
      </c>
      <c r="K1976" s="14">
        <f>IFERROR(VLOOKUP(VENTAS[[#This Row],[Código del producto Vendido]],STOCK[],16,FALSE)*VENTAS[[#This Row],[Cantidad]]+VLOOKUP(VENTAS[[#This Row],[Código del producto Vendido]],STOCK[],19,FALSE)*VENTAS[[#This Row],[Cantidad]],VENTAS[[#This Row],[Total]])</f>
        <v>12.63</v>
      </c>
      <c r="L1976" s="14">
        <f>VENTAS[[#This Row],[Total]]-VENTAS[[#This Row],[Comisión 10%]]-VENTAS[[#This Row],[Costo SIN Comision]]</f>
        <v>14.37</v>
      </c>
      <c r="M1976" s="48"/>
      <c r="N1976" s="49" t="s">
        <v>4858</v>
      </c>
    </row>
    <row r="1977" s="4" customFormat="1" ht="20" hidden="1" customHeight="1" spans="1:14">
      <c r="A1977" s="46">
        <v>45590</v>
      </c>
      <c r="B1977" s="47"/>
      <c r="C1977" s="47"/>
      <c r="D1977" s="47" t="s">
        <v>4857</v>
      </c>
      <c r="E1977" s="47" t="s">
        <v>3010</v>
      </c>
      <c r="F1977" s="11" t="str">
        <f>IFERROR(VLOOKUP(VENTAS[[#This Row],[Código del producto Vendido]],STOCK[],5,FALSE),"-")</f>
        <v>Pantalón alto de pierna ancha color caramelo</v>
      </c>
      <c r="G1977" s="47">
        <v>1</v>
      </c>
      <c r="H1977" s="48">
        <v>30</v>
      </c>
      <c r="I1977" s="14">
        <f>VENTAS[[#This Row],[Cantidad]]*VENTAS[[#This Row],[Precio Venta]]</f>
        <v>30</v>
      </c>
      <c r="J1977" s="14">
        <f>IF(VENTAS[[#This Row],[Nombre del Gestor]]&gt;1,VENTAS[[#This Row],[Total]]*10%,0)</f>
        <v>3</v>
      </c>
      <c r="K1977" s="14">
        <f>IFERROR(VLOOKUP(VENTAS[[#This Row],[Código del producto Vendido]],STOCK[],16,FALSE)*VENTAS[[#This Row],[Cantidad]]+VLOOKUP(VENTAS[[#This Row],[Código del producto Vendido]],STOCK[],19,FALSE)*VENTAS[[#This Row],[Cantidad]],VENTAS[[#This Row],[Total]])</f>
        <v>12.63</v>
      </c>
      <c r="L1977" s="14">
        <f>VENTAS[[#This Row],[Total]]-VENTAS[[#This Row],[Comisión 10%]]-VENTAS[[#This Row],[Costo SIN Comision]]</f>
        <v>14.37</v>
      </c>
      <c r="M1977" s="48"/>
      <c r="N1977" s="49" t="s">
        <v>4859</v>
      </c>
    </row>
    <row r="1978" s="4" customFormat="1" ht="20" hidden="1" customHeight="1" spans="1:14">
      <c r="A1978" s="46">
        <v>45590</v>
      </c>
      <c r="B1978" s="47"/>
      <c r="C1978" s="47"/>
      <c r="D1978" s="47" t="s">
        <v>4857</v>
      </c>
      <c r="E1978" s="47" t="s">
        <v>3014</v>
      </c>
      <c r="F1978" s="11" t="str">
        <f>IFERROR(VLOOKUP(VENTAS[[#This Row],[Código del producto Vendido]],STOCK[],5,FALSE),"-")</f>
        <v>Pantalón alto de pierna ancha color caramelo</v>
      </c>
      <c r="G1978" s="47">
        <v>1</v>
      </c>
      <c r="H1978" s="48">
        <v>30</v>
      </c>
      <c r="I1978" s="14">
        <f>VENTAS[[#This Row],[Cantidad]]*VENTAS[[#This Row],[Precio Venta]]</f>
        <v>30</v>
      </c>
      <c r="J1978" s="14">
        <f>IF(VENTAS[[#This Row],[Nombre del Gestor]]&gt;1,VENTAS[[#This Row],[Total]]*10%,0)</f>
        <v>3</v>
      </c>
      <c r="K1978" s="14">
        <f>IFERROR(VLOOKUP(VENTAS[[#This Row],[Código del producto Vendido]],STOCK[],16,FALSE)*VENTAS[[#This Row],[Cantidad]]+VLOOKUP(VENTAS[[#This Row],[Código del producto Vendido]],STOCK[],19,FALSE)*VENTAS[[#This Row],[Cantidad]],VENTAS[[#This Row],[Total]])</f>
        <v>12.63</v>
      </c>
      <c r="L1978" s="14">
        <f>VENTAS[[#This Row],[Total]]-VENTAS[[#This Row],[Comisión 10%]]-VENTAS[[#This Row],[Costo SIN Comision]]</f>
        <v>14.37</v>
      </c>
      <c r="M1978" s="48"/>
      <c r="N1978" s="49" t="s">
        <v>4860</v>
      </c>
    </row>
    <row r="1979" s="4" customFormat="1" ht="20" hidden="1" customHeight="1" spans="1:14">
      <c r="A1979" s="46">
        <v>45590</v>
      </c>
      <c r="B1979" s="47"/>
      <c r="C1979" s="47"/>
      <c r="D1979" s="47" t="s">
        <v>4463</v>
      </c>
      <c r="E1979" s="47" t="s">
        <v>3349</v>
      </c>
      <c r="F1979" s="11" t="str">
        <f>IFERROR(VLOOKUP(VENTAS[[#This Row],[Código del producto Vendido]],STOCK[],5,FALSE),"-")</f>
        <v>Conjunto de disfraz de 4 piezas (top, falda, medias y diadema)</v>
      </c>
      <c r="G1979" s="47">
        <v>1</v>
      </c>
      <c r="H1979" s="48">
        <v>25</v>
      </c>
      <c r="I1979" s="14">
        <f>VENTAS[[#This Row],[Cantidad]]*VENTAS[[#This Row],[Precio Venta]]</f>
        <v>25</v>
      </c>
      <c r="J1979" s="14">
        <f>IF(VENTAS[[#This Row],[Nombre del Gestor]]&gt;1,VENTAS[[#This Row],[Total]]*10%,0)</f>
        <v>2.5</v>
      </c>
      <c r="K1979" s="14">
        <f>IFERROR(VLOOKUP(VENTAS[[#This Row],[Código del producto Vendido]],STOCK[],16,FALSE)*VENTAS[[#This Row],[Cantidad]]+VLOOKUP(VENTAS[[#This Row],[Código del producto Vendido]],STOCK[],19,FALSE)*VENTAS[[#This Row],[Cantidad]],VENTAS[[#This Row],[Total]])</f>
        <v>0</v>
      </c>
      <c r="L1979" s="14">
        <f>VENTAS[[#This Row],[Total]]-VENTAS[[#This Row],[Comisión 10%]]-VENTAS[[#This Row],[Costo SIN Comision]]</f>
        <v>22.5</v>
      </c>
      <c r="M1979" s="48"/>
      <c r="N1979" s="49" t="s">
        <v>4861</v>
      </c>
    </row>
    <row r="1980" s="4" customFormat="1" ht="20" hidden="1" customHeight="1" spans="1:14">
      <c r="A1980" s="46">
        <v>45590</v>
      </c>
      <c r="B1980" s="47"/>
      <c r="C1980" s="47"/>
      <c r="D1980" s="47" t="s">
        <v>4420</v>
      </c>
      <c r="E1980" s="47" t="s">
        <v>3313</v>
      </c>
      <c r="F1980" s="11" t="str">
        <f>IFERROR(VLOOKUP(VENTAS[[#This Row],[Código del producto Vendido]],STOCK[],5,FALSE),"-")</f>
        <v>Vestido blanco para conformar disfraz</v>
      </c>
      <c r="G1980" s="47">
        <v>1</v>
      </c>
      <c r="H1980" s="48">
        <v>15</v>
      </c>
      <c r="I1980" s="14">
        <f>VENTAS[[#This Row],[Cantidad]]*VENTAS[[#This Row],[Precio Venta]]</f>
        <v>15</v>
      </c>
      <c r="J1980" s="14">
        <f>IF(VENTAS[[#This Row],[Nombre del Gestor]]&gt;1,VENTAS[[#This Row],[Total]]*10%,0)</f>
        <v>1.5</v>
      </c>
      <c r="K1980" s="14">
        <f>IFERROR(VLOOKUP(VENTAS[[#This Row],[Código del producto Vendido]],STOCK[],16,FALSE)*VENTAS[[#This Row],[Cantidad]]+VLOOKUP(VENTAS[[#This Row],[Código del producto Vendido]],STOCK[],19,FALSE)*VENTAS[[#This Row],[Cantidad]],VENTAS[[#This Row],[Total]])</f>
        <v>0</v>
      </c>
      <c r="L1980" s="14">
        <f>VENTAS[[#This Row],[Total]]-VENTAS[[#This Row],[Comisión 10%]]-VENTAS[[#This Row],[Costo SIN Comision]]</f>
        <v>13.5</v>
      </c>
      <c r="M1980" s="48"/>
      <c r="N1980" s="49" t="s">
        <v>4862</v>
      </c>
    </row>
    <row r="1981" s="4" customFormat="1" ht="20" hidden="1" customHeight="1" spans="1:14">
      <c r="A1981" s="46">
        <v>45590</v>
      </c>
      <c r="B1981" s="47"/>
      <c r="C1981" s="47"/>
      <c r="D1981" s="47" t="s">
        <v>4266</v>
      </c>
      <c r="E1981" s="47" t="s">
        <v>3001</v>
      </c>
      <c r="F1981" s="11" t="str">
        <f>IFERROR(VLOOKUP(VENTAS[[#This Row],[Código del producto Vendido]],STOCK[],5,FALSE),"-")</f>
        <v>Traje de baño enterizo elegante de un hombro talla grande </v>
      </c>
      <c r="G1981" s="47">
        <v>1</v>
      </c>
      <c r="H1981" s="48">
        <v>28</v>
      </c>
      <c r="I1981" s="14">
        <f>VENTAS[[#This Row],[Cantidad]]*VENTAS[[#This Row],[Precio Venta]]</f>
        <v>28</v>
      </c>
      <c r="J1981" s="14">
        <f>IF(VENTAS[[#This Row],[Nombre del Gestor]]&gt;1,VENTAS[[#This Row],[Total]]*10%,0)</f>
        <v>2.8</v>
      </c>
      <c r="K1981" s="14">
        <f>IFERROR(VLOOKUP(VENTAS[[#This Row],[Código del producto Vendido]],STOCK[],16,FALSE)*VENTAS[[#This Row],[Cantidad]]+VLOOKUP(VENTAS[[#This Row],[Código del producto Vendido]],STOCK[],19,FALSE)*VENTAS[[#This Row],[Cantidad]],VENTAS[[#This Row],[Total]])</f>
        <v>13.33</v>
      </c>
      <c r="L1981" s="14">
        <f>VENTAS[[#This Row],[Total]]-VENTAS[[#This Row],[Comisión 10%]]-VENTAS[[#This Row],[Costo SIN Comision]]</f>
        <v>11.87</v>
      </c>
      <c r="M1981" s="48"/>
      <c r="N1981" s="49" t="s">
        <v>4863</v>
      </c>
    </row>
    <row r="1982" s="4" customFormat="1" ht="20" hidden="1" customHeight="1" spans="1:14">
      <c r="A1982" s="46">
        <v>45591</v>
      </c>
      <c r="B1982" s="47"/>
      <c r="C1982" s="47"/>
      <c r="D1982" s="47" t="s">
        <v>4300</v>
      </c>
      <c r="E1982" s="47" t="s">
        <v>2931</v>
      </c>
      <c r="F1982" s="11" t="str">
        <f>IFERROR(VLOOKUP(VENTAS[[#This Row],[Código del producto Vendido]],STOCK[],5,FALSE),"-")</f>
        <v>Jeans de talle alto y pierna ancha color azul claro</v>
      </c>
      <c r="G1982" s="47">
        <v>1</v>
      </c>
      <c r="H1982" s="48">
        <v>30</v>
      </c>
      <c r="I1982" s="14">
        <f>VENTAS[[#This Row],[Cantidad]]*VENTAS[[#This Row],[Precio Venta]]</f>
        <v>30</v>
      </c>
      <c r="J1982" s="14">
        <f>IF(VENTAS[[#This Row],[Nombre del Gestor]]&gt;1,VENTAS[[#This Row],[Total]]*10%,0)</f>
        <v>3</v>
      </c>
      <c r="K1982" s="14">
        <f>IFERROR(VLOOKUP(VENTAS[[#This Row],[Código del producto Vendido]],STOCK[],16,FALSE)*VENTAS[[#This Row],[Cantidad]]+VLOOKUP(VENTAS[[#This Row],[Código del producto Vendido]],STOCK[],19,FALSE)*VENTAS[[#This Row],[Cantidad]],VENTAS[[#This Row],[Total]])</f>
        <v>12.47</v>
      </c>
      <c r="L1982" s="14">
        <f>VENTAS[[#This Row],[Total]]-VENTAS[[#This Row],[Comisión 10%]]-VENTAS[[#This Row],[Costo SIN Comision]]</f>
        <v>14.53</v>
      </c>
      <c r="M1982" s="48"/>
      <c r="N1982" s="49" t="s">
        <v>4864</v>
      </c>
    </row>
    <row r="1983" s="4" customFormat="1" ht="20" hidden="1" customHeight="1" spans="1:14">
      <c r="A1983" s="46">
        <v>45592</v>
      </c>
      <c r="B1983" s="47"/>
      <c r="C1983" s="47"/>
      <c r="D1983" s="47" t="s">
        <v>4365</v>
      </c>
      <c r="E1983" s="47" t="s">
        <v>3312</v>
      </c>
      <c r="F1983" s="11" t="str">
        <f>IFERROR(VLOOKUP(VENTAS[[#This Row],[Código del producto Vendido]],STOCK[],5,FALSE),"-")</f>
        <v>Vestido blanco para conformar disfraz</v>
      </c>
      <c r="G1983" s="47">
        <v>1</v>
      </c>
      <c r="H1983" s="48">
        <v>15</v>
      </c>
      <c r="I1983" s="14">
        <f>VENTAS[[#This Row],[Cantidad]]*VENTAS[[#This Row],[Precio Venta]]</f>
        <v>15</v>
      </c>
      <c r="J1983" s="14">
        <f>IF(VENTAS[[#This Row],[Nombre del Gestor]]&gt;1,VENTAS[[#This Row],[Total]]*10%,0)</f>
        <v>1.5</v>
      </c>
      <c r="K1983" s="14">
        <f>IFERROR(VLOOKUP(VENTAS[[#This Row],[Código del producto Vendido]],STOCK[],16,FALSE)*VENTAS[[#This Row],[Cantidad]]+VLOOKUP(VENTAS[[#This Row],[Código del producto Vendido]],STOCK[],19,FALSE)*VENTAS[[#This Row],[Cantidad]],VENTAS[[#This Row],[Total]])</f>
        <v>0</v>
      </c>
      <c r="L1983" s="14">
        <f>VENTAS[[#This Row],[Total]]-VENTAS[[#This Row],[Comisión 10%]]-VENTAS[[#This Row],[Costo SIN Comision]]</f>
        <v>13.5</v>
      </c>
      <c r="M1983" s="48"/>
      <c r="N1983" s="49" t="s">
        <v>4865</v>
      </c>
    </row>
    <row r="1984" s="4" customFormat="1" ht="20" hidden="1" customHeight="1" spans="1:14">
      <c r="A1984" s="46">
        <v>45592</v>
      </c>
      <c r="B1984" s="47"/>
      <c r="C1984" s="47"/>
      <c r="D1984" s="47" t="s">
        <v>4365</v>
      </c>
      <c r="E1984" s="47" t="s">
        <v>3302</v>
      </c>
      <c r="F1984" s="11" t="str">
        <f>IFERROR(VLOOKUP(VENTAS[[#This Row],[Código del producto Vendido]],STOCK[],5,FALSE),"-")</f>
        <v>Velo de novia para disfraz</v>
      </c>
      <c r="G1984" s="47">
        <v>1</v>
      </c>
      <c r="H1984" s="48">
        <v>10</v>
      </c>
      <c r="I1984" s="14">
        <f>VENTAS[[#This Row],[Cantidad]]*VENTAS[[#This Row],[Precio Venta]]</f>
        <v>10</v>
      </c>
      <c r="J1984" s="14">
        <f>IF(VENTAS[[#This Row],[Nombre del Gestor]]&gt;1,VENTAS[[#This Row],[Total]]*10%,0)</f>
        <v>1</v>
      </c>
      <c r="K1984" s="14">
        <f>IFERROR(VLOOKUP(VENTAS[[#This Row],[Código del producto Vendido]],STOCK[],16,FALSE)*VENTAS[[#This Row],[Cantidad]]+VLOOKUP(VENTAS[[#This Row],[Código del producto Vendido]],STOCK[],19,FALSE)*VENTAS[[#This Row],[Cantidad]],VENTAS[[#This Row],[Total]])</f>
        <v>0</v>
      </c>
      <c r="L1984" s="14">
        <f>VENTAS[[#This Row],[Total]]-VENTAS[[#This Row],[Comisión 10%]]-VENTAS[[#This Row],[Costo SIN Comision]]</f>
        <v>9</v>
      </c>
      <c r="M1984" s="48"/>
      <c r="N1984" s="49" t="s">
        <v>4866</v>
      </c>
    </row>
    <row r="1985" s="4" customFormat="1" ht="20" hidden="1" customHeight="1" spans="1:14">
      <c r="A1985" s="46">
        <v>45592</v>
      </c>
      <c r="B1985" s="47"/>
      <c r="C1985" s="47"/>
      <c r="D1985" s="47" t="s">
        <v>4365</v>
      </c>
      <c r="E1985" s="47" t="s">
        <v>3304</v>
      </c>
      <c r="F1985" s="11" t="str">
        <f>IFERROR(VLOOKUP(VENTAS[[#This Row],[Código del producto Vendido]],STOCK[],5,FALSE),"-")</f>
        <v>Guantes largos blancos traslúcidos</v>
      </c>
      <c r="G1985" s="47">
        <v>1</v>
      </c>
      <c r="H1985" s="48">
        <v>8</v>
      </c>
      <c r="I1985" s="14">
        <f>VENTAS[[#This Row],[Cantidad]]*VENTAS[[#This Row],[Precio Venta]]</f>
        <v>8</v>
      </c>
      <c r="J1985" s="14">
        <f>IF(VENTAS[[#This Row],[Nombre del Gestor]]&gt;1,VENTAS[[#This Row],[Total]]*10%,0)</f>
        <v>0.8</v>
      </c>
      <c r="K1985" s="14">
        <f>IFERROR(VLOOKUP(VENTAS[[#This Row],[Código del producto Vendido]],STOCK[],16,FALSE)*VENTAS[[#This Row],[Cantidad]]+VLOOKUP(VENTAS[[#This Row],[Código del producto Vendido]],STOCK[],19,FALSE)*VENTAS[[#This Row],[Cantidad]],VENTAS[[#This Row],[Total]])</f>
        <v>0</v>
      </c>
      <c r="L1985" s="14">
        <f>VENTAS[[#This Row],[Total]]-VENTAS[[#This Row],[Comisión 10%]]-VENTAS[[#This Row],[Costo SIN Comision]]</f>
        <v>7.2</v>
      </c>
      <c r="M1985" s="48"/>
      <c r="N1985" s="49" t="s">
        <v>4867</v>
      </c>
    </row>
    <row r="1986" s="4" customFormat="1" ht="20" hidden="1" customHeight="1" spans="1:14">
      <c r="A1986" s="46">
        <v>45592</v>
      </c>
      <c r="B1986" s="47"/>
      <c r="C1986" s="47"/>
      <c r="D1986" s="47" t="s">
        <v>4868</v>
      </c>
      <c r="E1986" s="47" t="s">
        <v>3376</v>
      </c>
      <c r="F1986" s="11" t="str">
        <f>IFERROR(VLOOKUP(VENTAS[[#This Row],[Código del producto Vendido]],STOCK[],5,FALSE),"-")</f>
        <v>Juego de 4 piezas para disfraz de abejita</v>
      </c>
      <c r="G1986" s="47">
        <v>1</v>
      </c>
      <c r="H1986" s="48">
        <v>15</v>
      </c>
      <c r="I1986" s="14">
        <f>VENTAS[[#This Row],[Cantidad]]*VENTAS[[#This Row],[Precio Venta]]</f>
        <v>15</v>
      </c>
      <c r="J1986" s="14">
        <f>IF(VENTAS[[#This Row],[Nombre del Gestor]]&gt;1,VENTAS[[#This Row],[Total]]*10%,0)</f>
        <v>1.5</v>
      </c>
      <c r="K1986" s="14">
        <f>IFERROR(VLOOKUP(VENTAS[[#This Row],[Código del producto Vendido]],STOCK[],16,FALSE)*VENTAS[[#This Row],[Cantidad]]+VLOOKUP(VENTAS[[#This Row],[Código del producto Vendido]],STOCK[],19,FALSE)*VENTAS[[#This Row],[Cantidad]],VENTAS[[#This Row],[Total]])</f>
        <v>0</v>
      </c>
      <c r="L1986" s="14">
        <f>VENTAS[[#This Row],[Total]]-VENTAS[[#This Row],[Comisión 10%]]-VENTAS[[#This Row],[Costo SIN Comision]]</f>
        <v>13.5</v>
      </c>
      <c r="M1986" s="48"/>
      <c r="N1986" s="49" t="s">
        <v>4869</v>
      </c>
    </row>
    <row r="1987" s="4" customFormat="1" ht="20" hidden="1" customHeight="1" spans="1:14">
      <c r="A1987" s="46">
        <v>45592</v>
      </c>
      <c r="B1987" s="47"/>
      <c r="C1987" s="47"/>
      <c r="D1987" s="47" t="s">
        <v>4222</v>
      </c>
      <c r="E1987" s="47" t="s">
        <v>3469</v>
      </c>
      <c r="F1987" s="11" t="str">
        <f>IFERROR(VLOOKUP(VENTAS[[#This Row],[Código del producto Vendido]],STOCK[],5,FALSE),"-")</f>
        <v>Máscara completa de hombre araña</v>
      </c>
      <c r="G1987" s="47">
        <v>1</v>
      </c>
      <c r="H1987" s="48">
        <v>10</v>
      </c>
      <c r="I1987" s="14">
        <f>VENTAS[[#This Row],[Cantidad]]*VENTAS[[#This Row],[Precio Venta]]</f>
        <v>10</v>
      </c>
      <c r="J1987" s="14">
        <f>IF(VENTAS[[#This Row],[Nombre del Gestor]]&gt;1,VENTAS[[#This Row],[Total]]*10%,0)</f>
        <v>1</v>
      </c>
      <c r="K1987" s="14">
        <f>IFERROR(VLOOKUP(VENTAS[[#This Row],[Código del producto Vendido]],STOCK[],16,FALSE)*VENTAS[[#This Row],[Cantidad]]+VLOOKUP(VENTAS[[#This Row],[Código del producto Vendido]],STOCK[],19,FALSE)*VENTAS[[#This Row],[Cantidad]],VENTAS[[#This Row],[Total]])</f>
        <v>0</v>
      </c>
      <c r="L1987" s="14">
        <f>VENTAS[[#This Row],[Total]]-VENTAS[[#This Row],[Comisión 10%]]-VENTAS[[#This Row],[Costo SIN Comision]]</f>
        <v>9</v>
      </c>
      <c r="M1987" s="48"/>
      <c r="N1987" s="49" t="s">
        <v>4870</v>
      </c>
    </row>
    <row r="1988" s="4" customFormat="1" ht="20" hidden="1" customHeight="1" spans="1:14">
      <c r="A1988" s="46">
        <v>45592</v>
      </c>
      <c r="B1988" s="47"/>
      <c r="C1988" s="47"/>
      <c r="D1988" s="47" t="s">
        <v>4076</v>
      </c>
      <c r="E1988" s="47" t="s">
        <v>1385</v>
      </c>
      <c r="F1988" s="11" t="str">
        <f>IFERROR(VLOOKUP(VENTAS[[#This Row],[Código del producto Vendido]],STOCK[],5,FALSE),"-")</f>
        <v>Medias de mallas</v>
      </c>
      <c r="G1988" s="47">
        <v>1</v>
      </c>
      <c r="H1988" s="48">
        <v>3</v>
      </c>
      <c r="I1988" s="14">
        <f>VENTAS[[#This Row],[Cantidad]]*VENTAS[[#This Row],[Precio Venta]]</f>
        <v>3</v>
      </c>
      <c r="J1988" s="14">
        <f>IF(VENTAS[[#This Row],[Nombre del Gestor]]&gt;1,VENTAS[[#This Row],[Total]]*10%,0)</f>
        <v>0.3</v>
      </c>
      <c r="K1988" s="14">
        <f>IFERROR(VLOOKUP(VENTAS[[#This Row],[Código del producto Vendido]],STOCK[],16,FALSE)*VENTAS[[#This Row],[Cantidad]]+VLOOKUP(VENTAS[[#This Row],[Código del producto Vendido]],STOCK[],19,FALSE)*VENTAS[[#This Row],[Cantidad]],VENTAS[[#This Row],[Total]])</f>
        <v>1.8</v>
      </c>
      <c r="L1988" s="14">
        <f>VENTAS[[#This Row],[Total]]-VENTAS[[#This Row],[Comisión 10%]]-VENTAS[[#This Row],[Costo SIN Comision]]</f>
        <v>0.9</v>
      </c>
      <c r="M1988" s="48"/>
      <c r="N1988" s="49" t="s">
        <v>4871</v>
      </c>
    </row>
    <row r="1989" s="4" customFormat="1" ht="20" hidden="1" customHeight="1" spans="1:14">
      <c r="A1989" s="46">
        <v>45592</v>
      </c>
      <c r="B1989" s="47"/>
      <c r="C1989" s="47"/>
      <c r="D1989" s="47" t="s">
        <v>4076</v>
      </c>
      <c r="E1989" s="47" t="s">
        <v>3459</v>
      </c>
      <c r="F1989" s="11" t="str">
        <f>IFERROR(VLOOKUP(VENTAS[[#This Row],[Código del producto Vendido]],STOCK[],5,FALSE),"-")</f>
        <v>Diadema rosas rojas</v>
      </c>
      <c r="G1989" s="47">
        <v>2</v>
      </c>
      <c r="H1989" s="48">
        <v>5</v>
      </c>
      <c r="I1989" s="14">
        <f>VENTAS[[#This Row],[Cantidad]]*VENTAS[[#This Row],[Precio Venta]]</f>
        <v>10</v>
      </c>
      <c r="J1989" s="14">
        <f>IF(VENTAS[[#This Row],[Nombre del Gestor]]&gt;1,VENTAS[[#This Row],[Total]]*10%,0)</f>
        <v>1</v>
      </c>
      <c r="K1989" s="14">
        <f>IFERROR(VLOOKUP(VENTAS[[#This Row],[Código del producto Vendido]],STOCK[],16,FALSE)*VENTAS[[#This Row],[Cantidad]]+VLOOKUP(VENTAS[[#This Row],[Código del producto Vendido]],STOCK[],19,FALSE)*VENTAS[[#This Row],[Cantidad]],VENTAS[[#This Row],[Total]])</f>
        <v>0</v>
      </c>
      <c r="L1989" s="14">
        <f>VENTAS[[#This Row],[Total]]-VENTAS[[#This Row],[Comisión 10%]]-VENTAS[[#This Row],[Costo SIN Comision]]</f>
        <v>9</v>
      </c>
      <c r="M1989" s="48"/>
      <c r="N1989" s="49" t="s">
        <v>4872</v>
      </c>
    </row>
    <row r="1990" s="4" customFormat="1" ht="20" hidden="1" customHeight="1" spans="1:14">
      <c r="A1990" s="46">
        <v>45593</v>
      </c>
      <c r="B1990" s="47"/>
      <c r="C1990" s="47"/>
      <c r="D1990" s="47" t="s">
        <v>4365</v>
      </c>
      <c r="E1990" s="47" t="s">
        <v>3300</v>
      </c>
      <c r="F1990" s="11" t="str">
        <f>IFERROR(VLOOKUP(VENTAS[[#This Row],[Código del producto Vendido]],STOCK[],5,FALSE),"-")</f>
        <v>Conjunto de disfraz de policía (mono y cinturones)</v>
      </c>
      <c r="G1990" s="47">
        <v>1</v>
      </c>
      <c r="H1990" s="48">
        <v>25</v>
      </c>
      <c r="I1990" s="14">
        <f>VENTAS[[#This Row],[Cantidad]]*VENTAS[[#This Row],[Precio Venta]]</f>
        <v>25</v>
      </c>
      <c r="J1990" s="14">
        <f>IF(VENTAS[[#This Row],[Nombre del Gestor]]&gt;1,VENTAS[[#This Row],[Total]]*10%,0)</f>
        <v>2.5</v>
      </c>
      <c r="K1990" s="14">
        <f>IFERROR(VLOOKUP(VENTAS[[#This Row],[Código del producto Vendido]],STOCK[],16,FALSE)*VENTAS[[#This Row],[Cantidad]]+VLOOKUP(VENTAS[[#This Row],[Código del producto Vendido]],STOCK[],19,FALSE)*VENTAS[[#This Row],[Cantidad]],VENTAS[[#This Row],[Total]])</f>
        <v>0</v>
      </c>
      <c r="L1990" s="14">
        <f>VENTAS[[#This Row],[Total]]-VENTAS[[#This Row],[Comisión 10%]]-VENTAS[[#This Row],[Costo SIN Comision]]</f>
        <v>22.5</v>
      </c>
      <c r="M1990" s="48"/>
      <c r="N1990" s="49" t="s">
        <v>4873</v>
      </c>
    </row>
    <row r="1991" s="4" customFormat="1" ht="20" hidden="1" customHeight="1" spans="1:14">
      <c r="A1991" s="46">
        <v>45593</v>
      </c>
      <c r="B1991" s="47"/>
      <c r="C1991" s="47"/>
      <c r="D1991" s="47" t="s">
        <v>4365</v>
      </c>
      <c r="E1991" s="47" t="s">
        <v>3407</v>
      </c>
      <c r="F1991" s="11" t="str">
        <f>IFERROR(VLOOKUP(VENTAS[[#This Row],[Código del producto Vendido]],STOCK[],5,FALSE),"-")</f>
        <v>Disfraz de angel con cinturón y diadema</v>
      </c>
      <c r="G1991" s="47">
        <v>1</v>
      </c>
      <c r="H1991" s="48">
        <v>22</v>
      </c>
      <c r="I1991" s="14">
        <f>VENTAS[[#This Row],[Cantidad]]*VENTAS[[#This Row],[Precio Venta]]</f>
        <v>22</v>
      </c>
      <c r="J1991" s="14">
        <f>IF(VENTAS[[#This Row],[Nombre del Gestor]]&gt;1,VENTAS[[#This Row],[Total]]*10%,0)</f>
        <v>2.2</v>
      </c>
      <c r="K1991" s="14">
        <f>IFERROR(VLOOKUP(VENTAS[[#This Row],[Código del producto Vendido]],STOCK[],16,FALSE)*VENTAS[[#This Row],[Cantidad]]+VLOOKUP(VENTAS[[#This Row],[Código del producto Vendido]],STOCK[],19,FALSE)*VENTAS[[#This Row],[Cantidad]],VENTAS[[#This Row],[Total]])</f>
        <v>0</v>
      </c>
      <c r="L1991" s="14">
        <f>VENTAS[[#This Row],[Total]]-VENTAS[[#This Row],[Comisión 10%]]-VENTAS[[#This Row],[Costo SIN Comision]]</f>
        <v>19.8</v>
      </c>
      <c r="M1991" s="48"/>
      <c r="N1991" s="49" t="s">
        <v>4874</v>
      </c>
    </row>
    <row r="1992" s="4" customFormat="1" ht="20" hidden="1" customHeight="1" spans="1:14">
      <c r="A1992" s="46">
        <v>45593</v>
      </c>
      <c r="B1992" s="47"/>
      <c r="C1992" s="47"/>
      <c r="D1992" s="47" t="s">
        <v>4266</v>
      </c>
      <c r="E1992" s="47" t="s">
        <v>2993</v>
      </c>
      <c r="F1992" s="11" t="str">
        <f>IFERROR(VLOOKUP(VENTAS[[#This Row],[Código del producto Vendido]],STOCK[],5,FALSE),"-")</f>
        <v>Camiseta de moda con estampado de cereza</v>
      </c>
      <c r="G1992" s="47">
        <v>1</v>
      </c>
      <c r="H1992" s="48">
        <v>15</v>
      </c>
      <c r="I1992" s="14">
        <f>VENTAS[[#This Row],[Cantidad]]*VENTAS[[#This Row],[Precio Venta]]</f>
        <v>15</v>
      </c>
      <c r="J1992" s="14">
        <f>IF(VENTAS[[#This Row],[Nombre del Gestor]]&gt;1,VENTAS[[#This Row],[Total]]*10%,0)</f>
        <v>1.5</v>
      </c>
      <c r="K1992" s="14">
        <f>IFERROR(VLOOKUP(VENTAS[[#This Row],[Código del producto Vendido]],STOCK[],16,FALSE)*VENTAS[[#This Row],[Cantidad]]+VLOOKUP(VENTAS[[#This Row],[Código del producto Vendido]],STOCK[],19,FALSE)*VENTAS[[#This Row],[Cantidad]],VENTAS[[#This Row],[Total]])</f>
        <v>5.92</v>
      </c>
      <c r="L1992" s="14">
        <f>VENTAS[[#This Row],[Total]]-VENTAS[[#This Row],[Comisión 10%]]-VENTAS[[#This Row],[Costo SIN Comision]]</f>
        <v>7.58</v>
      </c>
      <c r="M1992" s="48"/>
      <c r="N1992" s="49" t="s">
        <v>4875</v>
      </c>
    </row>
    <row r="1993" s="4" customFormat="1" ht="20" hidden="1" customHeight="1" spans="1:14">
      <c r="A1993" s="46">
        <v>45593</v>
      </c>
      <c r="B1993" s="47"/>
      <c r="C1993" s="47"/>
      <c r="D1993" s="47" t="s">
        <v>4463</v>
      </c>
      <c r="E1993" s="47" t="s">
        <v>3346</v>
      </c>
      <c r="F1993" s="11" t="str">
        <f>IFERROR(VLOOKUP(VENTAS[[#This Row],[Código del producto Vendido]],STOCK[],5,FALSE),"-")</f>
        <v>Disfraz de diosa egipcia con mangas doradas y banda para la cintura</v>
      </c>
      <c r="G1993" s="47">
        <v>1</v>
      </c>
      <c r="H1993" s="48">
        <v>25</v>
      </c>
      <c r="I1993" s="14">
        <f>VENTAS[[#This Row],[Cantidad]]*VENTAS[[#This Row],[Precio Venta]]</f>
        <v>25</v>
      </c>
      <c r="J1993" s="14">
        <f>IF(VENTAS[[#This Row],[Nombre del Gestor]]&gt;1,VENTAS[[#This Row],[Total]]*10%,0)</f>
        <v>2.5</v>
      </c>
      <c r="K1993" s="14">
        <f>IFERROR(VLOOKUP(VENTAS[[#This Row],[Código del producto Vendido]],STOCK[],16,FALSE)*VENTAS[[#This Row],[Cantidad]]+VLOOKUP(VENTAS[[#This Row],[Código del producto Vendido]],STOCK[],19,FALSE)*VENTAS[[#This Row],[Cantidad]],VENTAS[[#This Row],[Total]])</f>
        <v>0</v>
      </c>
      <c r="L1993" s="14">
        <f>VENTAS[[#This Row],[Total]]-VENTAS[[#This Row],[Comisión 10%]]-VENTAS[[#This Row],[Costo SIN Comision]]</f>
        <v>22.5</v>
      </c>
      <c r="M1993" s="48"/>
      <c r="N1993" s="49" t="s">
        <v>4876</v>
      </c>
    </row>
    <row r="1994" s="4" customFormat="1" ht="20" hidden="1" customHeight="1" spans="1:14">
      <c r="A1994" s="46">
        <v>45593</v>
      </c>
      <c r="B1994" s="47"/>
      <c r="C1994" s="47"/>
      <c r="D1994" s="47" t="s">
        <v>4463</v>
      </c>
      <c r="E1994" s="47" t="s">
        <v>3380</v>
      </c>
      <c r="F1994" s="11" t="str">
        <f>IFERROR(VLOOKUP(VENTAS[[#This Row],[Código del producto Vendido]],STOCK[],5,FALSE),"-")</f>
        <v>Máscaras led verde de baterías</v>
      </c>
      <c r="G1994" s="47">
        <v>1</v>
      </c>
      <c r="H1994" s="48">
        <v>15</v>
      </c>
      <c r="I1994" s="14">
        <f>VENTAS[[#This Row],[Cantidad]]*VENTAS[[#This Row],[Precio Venta]]</f>
        <v>15</v>
      </c>
      <c r="J1994" s="14">
        <f>IF(VENTAS[[#This Row],[Nombre del Gestor]]&gt;1,VENTAS[[#This Row],[Total]]*10%,0)</f>
        <v>1.5</v>
      </c>
      <c r="K1994" s="14">
        <f>IFERROR(VLOOKUP(VENTAS[[#This Row],[Código del producto Vendido]],STOCK[],16,FALSE)*VENTAS[[#This Row],[Cantidad]]+VLOOKUP(VENTAS[[#This Row],[Código del producto Vendido]],STOCK[],19,FALSE)*VENTAS[[#This Row],[Cantidad]],VENTAS[[#This Row],[Total]])</f>
        <v>0</v>
      </c>
      <c r="L1994" s="14">
        <f>VENTAS[[#This Row],[Total]]-VENTAS[[#This Row],[Comisión 10%]]-VENTAS[[#This Row],[Costo SIN Comision]]</f>
        <v>13.5</v>
      </c>
      <c r="M1994" s="48"/>
      <c r="N1994" s="49" t="s">
        <v>4877</v>
      </c>
    </row>
    <row r="1995" s="4" customFormat="1" ht="20" hidden="1" customHeight="1" spans="1:14">
      <c r="A1995" s="46">
        <v>45593</v>
      </c>
      <c r="B1995" s="47"/>
      <c r="C1995" s="47"/>
      <c r="D1995" s="47" t="s">
        <v>4463</v>
      </c>
      <c r="E1995" s="47" t="s">
        <v>3314</v>
      </c>
      <c r="F1995" s="11" t="str">
        <f>IFERROR(VLOOKUP(VENTAS[[#This Row],[Código del producto Vendido]],STOCK[],5,FALSE),"-")</f>
        <v>Mono disfraz Mortal Kombat (mono y cuerdas rojas)</v>
      </c>
      <c r="G1995" s="47">
        <v>1</v>
      </c>
      <c r="H1995" s="48">
        <v>20</v>
      </c>
      <c r="I1995" s="14">
        <f>VENTAS[[#This Row],[Cantidad]]*VENTAS[[#This Row],[Precio Venta]]</f>
        <v>20</v>
      </c>
      <c r="J1995" s="14">
        <f>IF(VENTAS[[#This Row],[Nombre del Gestor]]&gt;1,VENTAS[[#This Row],[Total]]*10%,0)</f>
        <v>2</v>
      </c>
      <c r="K1995" s="14">
        <f>IFERROR(VLOOKUP(VENTAS[[#This Row],[Código del producto Vendido]],STOCK[],16,FALSE)*VENTAS[[#This Row],[Cantidad]]+VLOOKUP(VENTAS[[#This Row],[Código del producto Vendido]],STOCK[],19,FALSE)*VENTAS[[#This Row],[Cantidad]],VENTAS[[#This Row],[Total]])</f>
        <v>0</v>
      </c>
      <c r="L1995" s="14">
        <f>VENTAS[[#This Row],[Total]]-VENTAS[[#This Row],[Comisión 10%]]-VENTAS[[#This Row],[Costo SIN Comision]]</f>
        <v>18</v>
      </c>
      <c r="M1995" s="48"/>
      <c r="N1995" s="49" t="s">
        <v>4878</v>
      </c>
    </row>
    <row r="1996" s="4" customFormat="1" ht="20" hidden="1" customHeight="1" spans="1:14">
      <c r="A1996" s="46">
        <v>45593</v>
      </c>
      <c r="B1996" s="47"/>
      <c r="C1996" s="47"/>
      <c r="D1996" s="47" t="s">
        <v>4463</v>
      </c>
      <c r="E1996" s="47" t="s">
        <v>3477</v>
      </c>
      <c r="F1996" s="11" t="str">
        <f>IFERROR(VLOOKUP(VENTAS[[#This Row],[Código del producto Vendido]],STOCK[],5,FALSE),"-")</f>
        <v>Set de 3 piezas de disfraz bunny (body, medias y diadema)</v>
      </c>
      <c r="G1996" s="47">
        <v>1</v>
      </c>
      <c r="H1996" s="48">
        <v>25</v>
      </c>
      <c r="I1996" s="14">
        <f>VENTAS[[#This Row],[Cantidad]]*VENTAS[[#This Row],[Precio Venta]]</f>
        <v>25</v>
      </c>
      <c r="J1996" s="14">
        <f>IF(VENTAS[[#This Row],[Nombre del Gestor]]&gt;1,VENTAS[[#This Row],[Total]]*10%,0)</f>
        <v>2.5</v>
      </c>
      <c r="K1996" s="14">
        <f>IFERROR(VLOOKUP(VENTAS[[#This Row],[Código del producto Vendido]],STOCK[],16,FALSE)*VENTAS[[#This Row],[Cantidad]]+VLOOKUP(VENTAS[[#This Row],[Código del producto Vendido]],STOCK[],19,FALSE)*VENTAS[[#This Row],[Cantidad]],VENTAS[[#This Row],[Total]])</f>
        <v>0</v>
      </c>
      <c r="L1996" s="14">
        <f>VENTAS[[#This Row],[Total]]-VENTAS[[#This Row],[Comisión 10%]]-VENTAS[[#This Row],[Costo SIN Comision]]</f>
        <v>22.5</v>
      </c>
      <c r="M1996" s="48"/>
      <c r="N1996" s="49" t="s">
        <v>4879</v>
      </c>
    </row>
    <row r="1997" s="4" customFormat="1" ht="20" hidden="1" customHeight="1" spans="1:14">
      <c r="A1997" s="46">
        <v>45593</v>
      </c>
      <c r="B1997" s="47"/>
      <c r="C1997" s="47"/>
      <c r="D1997" s="47" t="s">
        <v>4463</v>
      </c>
      <c r="E1997" s="47" t="s">
        <v>3346</v>
      </c>
      <c r="F1997" s="11" t="str">
        <f>IFERROR(VLOOKUP(VENTAS[[#This Row],[Código del producto Vendido]],STOCK[],5,FALSE),"-")</f>
        <v>Disfraz de diosa egipcia con mangas doradas y banda para la cintura</v>
      </c>
      <c r="G1997" s="47">
        <v>1</v>
      </c>
      <c r="H1997" s="48">
        <v>25</v>
      </c>
      <c r="I1997" s="14">
        <f>VENTAS[[#This Row],[Cantidad]]*VENTAS[[#This Row],[Precio Venta]]</f>
        <v>25</v>
      </c>
      <c r="J1997" s="14">
        <f>IF(VENTAS[[#This Row],[Nombre del Gestor]]&gt;1,VENTAS[[#This Row],[Total]]*10%,0)</f>
        <v>2.5</v>
      </c>
      <c r="K1997" s="14">
        <f>IFERROR(VLOOKUP(VENTAS[[#This Row],[Código del producto Vendido]],STOCK[],16,FALSE)*VENTAS[[#This Row],[Cantidad]]+VLOOKUP(VENTAS[[#This Row],[Código del producto Vendido]],STOCK[],19,FALSE)*VENTAS[[#This Row],[Cantidad]],VENTAS[[#This Row],[Total]])</f>
        <v>0</v>
      </c>
      <c r="L1997" s="14">
        <f>VENTAS[[#This Row],[Total]]-VENTAS[[#This Row],[Comisión 10%]]-VENTAS[[#This Row],[Costo SIN Comision]]</f>
        <v>22.5</v>
      </c>
      <c r="M1997" s="48"/>
      <c r="N1997" s="49" t="s">
        <v>4880</v>
      </c>
    </row>
    <row r="1998" s="4" customFormat="1" ht="20" hidden="1" customHeight="1" spans="1:14">
      <c r="A1998" s="46">
        <v>45593</v>
      </c>
      <c r="B1998" s="47"/>
      <c r="C1998" s="47"/>
      <c r="D1998" s="47" t="s">
        <v>4463</v>
      </c>
      <c r="E1998" s="47" t="s">
        <v>3012</v>
      </c>
      <c r="F1998" s="11" t="str">
        <f>IFERROR(VLOOKUP(VENTAS[[#This Row],[Código del producto Vendido]],STOCK[],5,FALSE),"-")</f>
        <v>Pantalón alto de pierna ancha color caramelo</v>
      </c>
      <c r="G1998" s="47">
        <v>1</v>
      </c>
      <c r="H1998" s="48">
        <v>30</v>
      </c>
      <c r="I1998" s="14">
        <f>VENTAS[[#This Row],[Cantidad]]*VENTAS[[#This Row],[Precio Venta]]</f>
        <v>30</v>
      </c>
      <c r="J1998" s="14">
        <f>IF(VENTAS[[#This Row],[Nombre del Gestor]]&gt;1,VENTAS[[#This Row],[Total]]*10%,0)</f>
        <v>3</v>
      </c>
      <c r="K1998" s="14">
        <f>IFERROR(VLOOKUP(VENTAS[[#This Row],[Código del producto Vendido]],STOCK[],16,FALSE)*VENTAS[[#This Row],[Cantidad]]+VLOOKUP(VENTAS[[#This Row],[Código del producto Vendido]],STOCK[],19,FALSE)*VENTAS[[#This Row],[Cantidad]],VENTAS[[#This Row],[Total]])</f>
        <v>12.63</v>
      </c>
      <c r="L1998" s="14">
        <f>VENTAS[[#This Row],[Total]]-VENTAS[[#This Row],[Comisión 10%]]-VENTAS[[#This Row],[Costo SIN Comision]]</f>
        <v>14.37</v>
      </c>
      <c r="M1998" s="48"/>
      <c r="N1998" s="49" t="s">
        <v>4881</v>
      </c>
    </row>
    <row r="1999" s="4" customFormat="1" ht="20" hidden="1" customHeight="1" spans="1:14">
      <c r="A1999" s="46">
        <v>45593</v>
      </c>
      <c r="B1999" s="47"/>
      <c r="C1999" s="47"/>
      <c r="D1999" s="47" t="s">
        <v>4463</v>
      </c>
      <c r="E1999" s="47" t="s">
        <v>2434</v>
      </c>
      <c r="F1999" s="11" t="str">
        <f>IFERROR(VLOOKUP(VENTAS[[#This Row],[Código del producto Vendido]],STOCK[],5,FALSE),"-")</f>
        <v>Pantalón ancho con cordón ajustable</v>
      </c>
      <c r="G1999" s="47">
        <v>1</v>
      </c>
      <c r="H1999" s="48">
        <v>23</v>
      </c>
      <c r="I1999" s="14">
        <f>VENTAS[[#This Row],[Cantidad]]*VENTAS[[#This Row],[Precio Venta]]</f>
        <v>23</v>
      </c>
      <c r="J1999" s="14">
        <f>IF(VENTAS[[#This Row],[Nombre del Gestor]]&gt;1,VENTAS[[#This Row],[Total]]*10%,0)</f>
        <v>2.3</v>
      </c>
      <c r="K1999" s="14">
        <f>IFERROR(VLOOKUP(VENTAS[[#This Row],[Código del producto Vendido]],STOCK[],16,FALSE)*VENTAS[[#This Row],[Cantidad]]+VLOOKUP(VENTAS[[#This Row],[Código del producto Vendido]],STOCK[],19,FALSE)*VENTAS[[#This Row],[Cantidad]],VENTAS[[#This Row],[Total]])</f>
        <v>11.4353349001175</v>
      </c>
      <c r="L1999" s="14">
        <f>VENTAS[[#This Row],[Total]]-VENTAS[[#This Row],[Comisión 10%]]-VENTAS[[#This Row],[Costo SIN Comision]]</f>
        <v>9.26466509988249</v>
      </c>
      <c r="M1999" s="48"/>
      <c r="N1999" s="49" t="s">
        <v>4882</v>
      </c>
    </row>
    <row r="2000" s="4" customFormat="1" ht="20" hidden="1" customHeight="1" spans="1:14">
      <c r="A2000" s="46">
        <v>45593</v>
      </c>
      <c r="B2000" s="47"/>
      <c r="C2000" s="47"/>
      <c r="D2000" s="47" t="s">
        <v>4463</v>
      </c>
      <c r="E2000" s="47" t="s">
        <v>1064</v>
      </c>
      <c r="F2000" s="11" t="str">
        <f>IFERROR(VLOOKUP(VENTAS[[#This Row],[Código del producto Vendido]],STOCK[],5,FALSE),"-")</f>
        <v>Top cami carrera</v>
      </c>
      <c r="G2000" s="47">
        <v>1</v>
      </c>
      <c r="H2000" s="48">
        <v>7</v>
      </c>
      <c r="I2000" s="14">
        <f>VENTAS[[#This Row],[Cantidad]]*VENTAS[[#This Row],[Precio Venta]]</f>
        <v>7</v>
      </c>
      <c r="J2000" s="14">
        <f>IF(VENTAS[[#This Row],[Nombre del Gestor]]&gt;1,VENTAS[[#This Row],[Total]]*10%,0)</f>
        <v>0.7</v>
      </c>
      <c r="K2000" s="14">
        <f>IFERROR(VLOOKUP(VENTAS[[#This Row],[Código del producto Vendido]],STOCK[],16,FALSE)*VENTAS[[#This Row],[Cantidad]]+VLOOKUP(VENTAS[[#This Row],[Código del producto Vendido]],STOCK[],19,FALSE)*VENTAS[[#This Row],[Cantidad]],VENTAS[[#This Row],[Total]])</f>
        <v>4.99264705882353</v>
      </c>
      <c r="L2000" s="14">
        <f>VENTAS[[#This Row],[Total]]-VENTAS[[#This Row],[Comisión 10%]]-VENTAS[[#This Row],[Costo SIN Comision]]</f>
        <v>1.30735294117647</v>
      </c>
      <c r="M2000" s="48"/>
      <c r="N2000" s="49" t="s">
        <v>4883</v>
      </c>
    </row>
    <row r="2001" s="4" customFormat="1" ht="20" hidden="1" customHeight="1" spans="1:14">
      <c r="A2001" s="46">
        <v>45593</v>
      </c>
      <c r="B2001" s="47"/>
      <c r="C2001" s="47"/>
      <c r="D2001" s="47" t="s">
        <v>4463</v>
      </c>
      <c r="E2001" s="47" t="s">
        <v>2916</v>
      </c>
      <c r="F2001" s="11" t="str">
        <f>IFERROR(VLOOKUP(VENTAS[[#This Row],[Código del producto Vendido]],STOCK[],5,FALSE),"-")</f>
        <v>Chaleco de traje estilo blazer color negro</v>
      </c>
      <c r="G2001" s="47">
        <v>1</v>
      </c>
      <c r="H2001" s="48">
        <v>25</v>
      </c>
      <c r="I2001" s="14">
        <f>VENTAS[[#This Row],[Cantidad]]*VENTAS[[#This Row],[Precio Venta]]</f>
        <v>25</v>
      </c>
      <c r="J2001" s="14">
        <f>IF(VENTAS[[#This Row],[Nombre del Gestor]]&gt;1,VENTAS[[#This Row],[Total]]*10%,0)</f>
        <v>2.5</v>
      </c>
      <c r="K2001" s="14">
        <f>IFERROR(VLOOKUP(VENTAS[[#This Row],[Código del producto Vendido]],STOCK[],16,FALSE)*VENTAS[[#This Row],[Cantidad]]+VLOOKUP(VENTAS[[#This Row],[Código del producto Vendido]],STOCK[],19,FALSE)*VENTAS[[#This Row],[Cantidad]],VENTAS[[#This Row],[Total]])</f>
        <v>11.96</v>
      </c>
      <c r="L2001" s="14">
        <f>VENTAS[[#This Row],[Total]]-VENTAS[[#This Row],[Comisión 10%]]-VENTAS[[#This Row],[Costo SIN Comision]]</f>
        <v>10.54</v>
      </c>
      <c r="M2001" s="48"/>
      <c r="N2001" s="49" t="s">
        <v>4884</v>
      </c>
    </row>
    <row r="2002" s="4" customFormat="1" ht="20" hidden="1" customHeight="1" spans="1:14">
      <c r="A2002" s="46">
        <v>45593</v>
      </c>
      <c r="B2002" s="47"/>
      <c r="C2002" s="47"/>
      <c r="D2002" s="47" t="s">
        <v>4266</v>
      </c>
      <c r="E2002" s="47" t="s">
        <v>3447</v>
      </c>
      <c r="F2002" s="11" t="str">
        <f>IFERROR(VLOOKUP(VENTAS[[#This Row],[Código del producto Vendido]],STOCK[],5,FALSE),"-")</f>
        <v>Antifaz bordado</v>
      </c>
      <c r="G2002" s="47">
        <v>1</v>
      </c>
      <c r="H2002" s="48">
        <v>4</v>
      </c>
      <c r="I2002" s="14">
        <f>VENTAS[[#This Row],[Cantidad]]*VENTAS[[#This Row],[Precio Venta]]</f>
        <v>4</v>
      </c>
      <c r="J2002" s="14">
        <f>IF(VENTAS[[#This Row],[Nombre del Gestor]]&gt;1,VENTAS[[#This Row],[Total]]*10%,0)</f>
        <v>0.4</v>
      </c>
      <c r="K2002" s="14">
        <f>IFERROR(VLOOKUP(VENTAS[[#This Row],[Código del producto Vendido]],STOCK[],16,FALSE)*VENTAS[[#This Row],[Cantidad]]+VLOOKUP(VENTAS[[#This Row],[Código del producto Vendido]],STOCK[],19,FALSE)*VENTAS[[#This Row],[Cantidad]],VENTAS[[#This Row],[Total]])</f>
        <v>0</v>
      </c>
      <c r="L2002" s="14">
        <f>VENTAS[[#This Row],[Total]]-VENTAS[[#This Row],[Comisión 10%]]-VENTAS[[#This Row],[Costo SIN Comision]]</f>
        <v>3.6</v>
      </c>
      <c r="M2002" s="48"/>
      <c r="N2002" s="49" t="s">
        <v>4885</v>
      </c>
    </row>
    <row r="2003" s="4" customFormat="1" ht="20" hidden="1" customHeight="1" spans="1:14">
      <c r="A2003" s="46">
        <v>45593</v>
      </c>
      <c r="B2003" s="47"/>
      <c r="C2003" s="47"/>
      <c r="D2003" s="47" t="s">
        <v>4266</v>
      </c>
      <c r="E2003" s="47" t="s">
        <v>3364</v>
      </c>
      <c r="F2003" s="11" t="str">
        <f>IFERROR(VLOOKUP(VENTAS[[#This Row],[Código del producto Vendido]],STOCK[],5,FALSE),"-")</f>
        <v>Antifaz de conejo sexy</v>
      </c>
      <c r="G2003" s="47">
        <v>1</v>
      </c>
      <c r="H2003" s="48">
        <v>8</v>
      </c>
      <c r="I2003" s="14">
        <f>VENTAS[[#This Row],[Cantidad]]*VENTAS[[#This Row],[Precio Venta]]</f>
        <v>8</v>
      </c>
      <c r="J2003" s="14">
        <f>IF(VENTAS[[#This Row],[Nombre del Gestor]]&gt;1,VENTAS[[#This Row],[Total]]*10%,0)</f>
        <v>0.8</v>
      </c>
      <c r="K2003" s="14">
        <f>IFERROR(VLOOKUP(VENTAS[[#This Row],[Código del producto Vendido]],STOCK[],16,FALSE)*VENTAS[[#This Row],[Cantidad]]+VLOOKUP(VENTAS[[#This Row],[Código del producto Vendido]],STOCK[],19,FALSE)*VENTAS[[#This Row],[Cantidad]],VENTAS[[#This Row],[Total]])</f>
        <v>0</v>
      </c>
      <c r="L2003" s="14">
        <f>VENTAS[[#This Row],[Total]]-VENTAS[[#This Row],[Comisión 10%]]-VENTAS[[#This Row],[Costo SIN Comision]]</f>
        <v>7.2</v>
      </c>
      <c r="M2003" s="48"/>
      <c r="N2003" s="49" t="s">
        <v>4886</v>
      </c>
    </row>
    <row r="2004" s="4" customFormat="1" ht="20" hidden="1" customHeight="1" spans="1:14">
      <c r="A2004" s="46">
        <v>45593</v>
      </c>
      <c r="B2004" s="47"/>
      <c r="C2004" s="47"/>
      <c r="D2004" s="47" t="s">
        <v>4266</v>
      </c>
      <c r="E2004" s="47" t="s">
        <v>3371</v>
      </c>
      <c r="F2004" s="11" t="str">
        <f>IFERROR(VLOOKUP(VENTAS[[#This Row],[Código del producto Vendido]],STOCK[],5,FALSE),"-")</f>
        <v>Diadema minimalista de diablito</v>
      </c>
      <c r="G2004" s="47">
        <v>1</v>
      </c>
      <c r="H2004" s="48">
        <v>5</v>
      </c>
      <c r="I2004" s="14">
        <f>VENTAS[[#This Row],[Cantidad]]*VENTAS[[#This Row],[Precio Venta]]</f>
        <v>5</v>
      </c>
      <c r="J2004" s="14">
        <f>IF(VENTAS[[#This Row],[Nombre del Gestor]]&gt;1,VENTAS[[#This Row],[Total]]*10%,0)</f>
        <v>0.5</v>
      </c>
      <c r="K2004" s="14">
        <f>IFERROR(VLOOKUP(VENTAS[[#This Row],[Código del producto Vendido]],STOCK[],16,FALSE)*VENTAS[[#This Row],[Cantidad]]+VLOOKUP(VENTAS[[#This Row],[Código del producto Vendido]],STOCK[],19,FALSE)*VENTAS[[#This Row],[Cantidad]],VENTAS[[#This Row],[Total]])</f>
        <v>0</v>
      </c>
      <c r="L2004" s="14">
        <f>VENTAS[[#This Row],[Total]]-VENTAS[[#This Row],[Comisión 10%]]-VENTAS[[#This Row],[Costo SIN Comision]]</f>
        <v>4.5</v>
      </c>
      <c r="M2004" s="48"/>
      <c r="N2004" s="49" t="s">
        <v>4887</v>
      </c>
    </row>
    <row r="2005" s="4" customFormat="1" ht="20" hidden="1" customHeight="1" spans="1:14">
      <c r="A2005" s="46">
        <v>45593</v>
      </c>
      <c r="B2005" s="47"/>
      <c r="C2005" s="47"/>
      <c r="D2005" s="47" t="s">
        <v>4470</v>
      </c>
      <c r="E2005" s="47" t="s">
        <v>3302</v>
      </c>
      <c r="F2005" s="11" t="str">
        <f>IFERROR(VLOOKUP(VENTAS[[#This Row],[Código del producto Vendido]],STOCK[],5,FALSE),"-")</f>
        <v>Velo de novia para disfraz</v>
      </c>
      <c r="G2005" s="47">
        <v>1</v>
      </c>
      <c r="H2005" s="48">
        <v>10</v>
      </c>
      <c r="I2005" s="14">
        <f>VENTAS[[#This Row],[Cantidad]]*VENTAS[[#This Row],[Precio Venta]]</f>
        <v>10</v>
      </c>
      <c r="J2005" s="14">
        <f>IF(VENTAS[[#This Row],[Nombre del Gestor]]&gt;1,VENTAS[[#This Row],[Total]]*10%,0)</f>
        <v>1</v>
      </c>
      <c r="K2005" s="14">
        <f>IFERROR(VLOOKUP(VENTAS[[#This Row],[Código del producto Vendido]],STOCK[],16,FALSE)*VENTAS[[#This Row],[Cantidad]]+VLOOKUP(VENTAS[[#This Row],[Código del producto Vendido]],STOCK[],19,FALSE)*VENTAS[[#This Row],[Cantidad]],VENTAS[[#This Row],[Total]])</f>
        <v>0</v>
      </c>
      <c r="L2005" s="14">
        <f>VENTAS[[#This Row],[Total]]-VENTAS[[#This Row],[Comisión 10%]]-VENTAS[[#This Row],[Costo SIN Comision]]</f>
        <v>9</v>
      </c>
      <c r="M2005" s="48"/>
      <c r="N2005" s="49" t="s">
        <v>4888</v>
      </c>
    </row>
    <row r="2006" s="4" customFormat="1" ht="20" hidden="1" customHeight="1" spans="1:14">
      <c r="A2006" s="46">
        <v>45593</v>
      </c>
      <c r="B2006" s="47"/>
      <c r="C2006" s="47"/>
      <c r="D2006" s="47" t="s">
        <v>4463</v>
      </c>
      <c r="E2006" s="47" t="s">
        <v>3334</v>
      </c>
      <c r="F2006" s="11" t="str">
        <f>IFERROR(VLOOKUP(VENTAS[[#This Row],[Código del producto Vendido]],STOCK[],5,FALSE),"-")</f>
        <v>Diadema minimalista de diablito</v>
      </c>
      <c r="G2006" s="47">
        <v>1</v>
      </c>
      <c r="H2006" s="48">
        <v>5</v>
      </c>
      <c r="I2006" s="14">
        <f>VENTAS[[#This Row],[Cantidad]]*VENTAS[[#This Row],[Precio Venta]]</f>
        <v>5</v>
      </c>
      <c r="J2006" s="14">
        <f>IF(VENTAS[[#This Row],[Nombre del Gestor]]&gt;1,VENTAS[[#This Row],[Total]]*10%,0)</f>
        <v>0.5</v>
      </c>
      <c r="K2006" s="14">
        <f>IFERROR(VLOOKUP(VENTAS[[#This Row],[Código del producto Vendido]],STOCK[],16,FALSE)*VENTAS[[#This Row],[Cantidad]]+VLOOKUP(VENTAS[[#This Row],[Código del producto Vendido]],STOCK[],19,FALSE)*VENTAS[[#This Row],[Cantidad]],VENTAS[[#This Row],[Total]])</f>
        <v>0</v>
      </c>
      <c r="L2006" s="14">
        <f>VENTAS[[#This Row],[Total]]-VENTAS[[#This Row],[Comisión 10%]]-VENTAS[[#This Row],[Costo SIN Comision]]</f>
        <v>4.5</v>
      </c>
      <c r="M2006" s="48"/>
      <c r="N2006" s="49" t="s">
        <v>4889</v>
      </c>
    </row>
    <row r="2007" s="4" customFormat="1" ht="20" hidden="1" customHeight="1" spans="1:14">
      <c r="A2007" s="46">
        <v>45594</v>
      </c>
      <c r="B2007" s="47"/>
      <c r="C2007" s="47"/>
      <c r="D2007" s="47" t="s">
        <v>4272</v>
      </c>
      <c r="E2007" s="47" t="s">
        <v>3371</v>
      </c>
      <c r="F2007" s="45" t="str">
        <f>IFERROR(VLOOKUP(VENTAS[[#This Row],[Código del producto Vendido]],STOCK[],5,FALSE),"-")</f>
        <v>Diadema minimalista de diablito</v>
      </c>
      <c r="G2007" s="47">
        <v>1</v>
      </c>
      <c r="H2007" s="48">
        <v>5</v>
      </c>
      <c r="I2007" s="14">
        <f>VENTAS[[#This Row],[Cantidad]]*VENTAS[[#This Row],[Precio Venta]]</f>
        <v>5</v>
      </c>
      <c r="J2007" s="14">
        <f>IF(VENTAS[[#This Row],[Nombre del Gestor]]&gt;1,VENTAS[[#This Row],[Total]]*10%,0)</f>
        <v>0.5</v>
      </c>
      <c r="K2007" s="14">
        <f>IFERROR(VLOOKUP(VENTAS[[#This Row],[Código del producto Vendido]],STOCK[],16,FALSE)*VENTAS[[#This Row],[Cantidad]]+VLOOKUP(VENTAS[[#This Row],[Código del producto Vendido]],STOCK[],19,FALSE)*VENTAS[[#This Row],[Cantidad]],VENTAS[[#This Row],[Total]])</f>
        <v>0</v>
      </c>
      <c r="L2007" s="14">
        <f>VENTAS[[#This Row],[Total]]-VENTAS[[#This Row],[Comisión 10%]]-VENTAS[[#This Row],[Costo SIN Comision]]</f>
        <v>4.5</v>
      </c>
      <c r="M2007" s="48"/>
      <c r="N2007" s="49" t="s">
        <v>4890</v>
      </c>
    </row>
    <row r="2008" s="4" customFormat="1" ht="20" hidden="1" customHeight="1" spans="1:14">
      <c r="A2008" s="46">
        <v>45594</v>
      </c>
      <c r="B2008" s="47"/>
      <c r="C2008" s="47"/>
      <c r="D2008" s="47" t="s">
        <v>4272</v>
      </c>
      <c r="E2008" s="47" t="s">
        <v>3447</v>
      </c>
      <c r="F2008" s="45" t="str">
        <f>IFERROR(VLOOKUP(VENTAS[[#This Row],[Código del producto Vendido]],STOCK[],5,FALSE),"-")</f>
        <v>Antifaz bordado</v>
      </c>
      <c r="G2008" s="47">
        <v>1</v>
      </c>
      <c r="H2008" s="48">
        <v>4</v>
      </c>
      <c r="I2008" s="14">
        <f>VENTAS[[#This Row],[Cantidad]]*VENTAS[[#This Row],[Precio Venta]]</f>
        <v>4</v>
      </c>
      <c r="J2008" s="14">
        <f>IF(VENTAS[[#This Row],[Nombre del Gestor]]&gt;1,VENTAS[[#This Row],[Total]]*10%,0)</f>
        <v>0.4</v>
      </c>
      <c r="K2008" s="14">
        <f>IFERROR(VLOOKUP(VENTAS[[#This Row],[Código del producto Vendido]],STOCK[],16,FALSE)*VENTAS[[#This Row],[Cantidad]]+VLOOKUP(VENTAS[[#This Row],[Código del producto Vendido]],STOCK[],19,FALSE)*VENTAS[[#This Row],[Cantidad]],VENTAS[[#This Row],[Total]])</f>
        <v>0</v>
      </c>
      <c r="L2008" s="14">
        <f>VENTAS[[#This Row],[Total]]-VENTAS[[#This Row],[Comisión 10%]]-VENTAS[[#This Row],[Costo SIN Comision]]</f>
        <v>3.6</v>
      </c>
      <c r="M2008" s="48"/>
      <c r="N2008" s="49" t="s">
        <v>4891</v>
      </c>
    </row>
    <row r="2009" s="4" customFormat="1" ht="20" hidden="1" customHeight="1" spans="1:14">
      <c r="A2009" s="46">
        <v>45594</v>
      </c>
      <c r="B2009" s="47"/>
      <c r="C2009" s="47"/>
      <c r="D2009" s="47" t="s">
        <v>4270</v>
      </c>
      <c r="E2009" s="47" t="s">
        <v>2932</v>
      </c>
      <c r="F2009" s="11" t="str">
        <f>IFERROR(VLOOKUP(VENTAS[[#This Row],[Código del producto Vendido]],STOCK[],5,FALSE),"-")</f>
        <v>Jeans de talle alto y pierna ancha color azul claro</v>
      </c>
      <c r="G2009" s="47">
        <v>1</v>
      </c>
      <c r="H2009" s="48">
        <v>30</v>
      </c>
      <c r="I2009" s="14">
        <f>VENTAS[[#This Row],[Cantidad]]*VENTAS[[#This Row],[Precio Venta]]</f>
        <v>30</v>
      </c>
      <c r="J2009" s="14">
        <f>IF(VENTAS[[#This Row],[Nombre del Gestor]]&gt;1,VENTAS[[#This Row],[Total]]*10%,0)</f>
        <v>3</v>
      </c>
      <c r="K2009" s="14">
        <f>IFERROR(VLOOKUP(VENTAS[[#This Row],[Código del producto Vendido]],STOCK[],16,FALSE)*VENTAS[[#This Row],[Cantidad]]+VLOOKUP(VENTAS[[#This Row],[Código del producto Vendido]],STOCK[],19,FALSE)*VENTAS[[#This Row],[Cantidad]],VENTAS[[#This Row],[Total]])</f>
        <v>12.47</v>
      </c>
      <c r="L2009" s="14">
        <f>VENTAS[[#This Row],[Total]]-VENTAS[[#This Row],[Comisión 10%]]-VENTAS[[#This Row],[Costo SIN Comision]]</f>
        <v>14.53</v>
      </c>
      <c r="M2009" s="48"/>
      <c r="N2009" s="49" t="s">
        <v>4892</v>
      </c>
    </row>
    <row r="2010" s="4" customFormat="1" ht="20" hidden="1" customHeight="1" spans="1:14">
      <c r="A2010" s="46">
        <v>45594</v>
      </c>
      <c r="B2010" s="47"/>
      <c r="C2010" s="47"/>
      <c r="D2010" s="47" t="s">
        <v>4076</v>
      </c>
      <c r="E2010" s="47" t="s">
        <v>3362</v>
      </c>
      <c r="F2010" s="11" t="str">
        <f>IFERROR(VLOOKUP(VENTAS[[#This Row],[Código del producto Vendido]],STOCK[],5,FALSE),"-")</f>
        <v>Máscara completa de esqueleto endemoniado con peluca</v>
      </c>
      <c r="G2010" s="47">
        <v>1</v>
      </c>
      <c r="H2010" s="48">
        <v>14</v>
      </c>
      <c r="I2010" s="14">
        <f>VENTAS[[#This Row],[Cantidad]]*VENTAS[[#This Row],[Precio Venta]]</f>
        <v>14</v>
      </c>
      <c r="J2010" s="14">
        <f>IF(VENTAS[[#This Row],[Nombre del Gestor]]&gt;1,VENTAS[[#This Row],[Total]]*10%,0)</f>
        <v>1.4</v>
      </c>
      <c r="K2010" s="14">
        <f>IFERROR(VLOOKUP(VENTAS[[#This Row],[Código del producto Vendido]],STOCK[],16,FALSE)*VENTAS[[#This Row],[Cantidad]]+VLOOKUP(VENTAS[[#This Row],[Código del producto Vendido]],STOCK[],19,FALSE)*VENTAS[[#This Row],[Cantidad]],VENTAS[[#This Row],[Total]])</f>
        <v>0</v>
      </c>
      <c r="L2010" s="14">
        <f>VENTAS[[#This Row],[Total]]-VENTAS[[#This Row],[Comisión 10%]]-VENTAS[[#This Row],[Costo SIN Comision]]</f>
        <v>12.6</v>
      </c>
      <c r="M2010" s="48"/>
      <c r="N2010" s="49" t="s">
        <v>4893</v>
      </c>
    </row>
    <row r="2011" s="4" customFormat="1" ht="20" hidden="1" customHeight="1" spans="1:14">
      <c r="A2011" s="46">
        <v>45594</v>
      </c>
      <c r="B2011" s="47"/>
      <c r="C2011" s="47"/>
      <c r="D2011" s="47" t="s">
        <v>4587</v>
      </c>
      <c r="E2011" s="47" t="s">
        <v>3413</v>
      </c>
      <c r="F2011" s="11" t="str">
        <f>IFERROR(VLOOKUP(VENTAS[[#This Row],[Código del producto Vendido]],STOCK[],5,FALSE),"-")</f>
        <v>Tatuajes faciales de catrina</v>
      </c>
      <c r="G2011" s="47">
        <v>1</v>
      </c>
      <c r="H2011" s="48">
        <v>2</v>
      </c>
      <c r="I2011" s="14">
        <f>VENTAS[[#This Row],[Cantidad]]*VENTAS[[#This Row],[Precio Venta]]</f>
        <v>2</v>
      </c>
      <c r="J2011" s="14">
        <f>IF(VENTAS[[#This Row],[Nombre del Gestor]]&gt;1,VENTAS[[#This Row],[Total]]*10%,0)</f>
        <v>0.2</v>
      </c>
      <c r="K2011" s="14">
        <f>IFERROR(VLOOKUP(VENTAS[[#This Row],[Código del producto Vendido]],STOCK[],16,FALSE)*VENTAS[[#This Row],[Cantidad]]+VLOOKUP(VENTAS[[#This Row],[Código del producto Vendido]],STOCK[],19,FALSE)*VENTAS[[#This Row],[Cantidad]],VENTAS[[#This Row],[Total]])</f>
        <v>0</v>
      </c>
      <c r="L2011" s="14">
        <f>VENTAS[[#This Row],[Total]]-VENTAS[[#This Row],[Comisión 10%]]-VENTAS[[#This Row],[Costo SIN Comision]]</f>
        <v>1.8</v>
      </c>
      <c r="M2011" s="48"/>
      <c r="N2011" s="49" t="s">
        <v>4894</v>
      </c>
    </row>
    <row r="2012" s="4" customFormat="1" ht="20" hidden="1" customHeight="1" spans="1:14">
      <c r="A2012" s="46">
        <v>45594</v>
      </c>
      <c r="B2012" s="47"/>
      <c r="C2012" s="47"/>
      <c r="D2012" s="47" t="s">
        <v>4587</v>
      </c>
      <c r="E2012" s="47" t="s">
        <v>2773</v>
      </c>
      <c r="F2012" s="11" t="str">
        <f>IFERROR(VLOOKUP(VENTAS[[#This Row],[Código del producto Vendido]],STOCK[],5,FALSE),"-")</f>
        <v>Sandalias de plataforma de rafia natural</v>
      </c>
      <c r="G2012" s="47">
        <v>1</v>
      </c>
      <c r="H2012" s="48">
        <v>45</v>
      </c>
      <c r="I2012" s="14">
        <f>VENTAS[[#This Row],[Cantidad]]*VENTAS[[#This Row],[Precio Venta]]</f>
        <v>45</v>
      </c>
      <c r="J2012" s="14">
        <f>IF(VENTAS[[#This Row],[Nombre del Gestor]]&gt;1,VENTAS[[#This Row],[Total]]*10%,0)</f>
        <v>4.5</v>
      </c>
      <c r="K2012" s="14">
        <f>IFERROR(VLOOKUP(VENTAS[[#This Row],[Código del producto Vendido]],STOCK[],16,FALSE)*VENTAS[[#This Row],[Cantidad]]+VLOOKUP(VENTAS[[#This Row],[Código del producto Vendido]],STOCK[],19,FALSE)*VENTAS[[#This Row],[Cantidad]],VENTAS[[#This Row],[Total]])</f>
        <v>19.65</v>
      </c>
      <c r="L2012" s="14">
        <f>VENTAS[[#This Row],[Total]]-VENTAS[[#This Row],[Comisión 10%]]-VENTAS[[#This Row],[Costo SIN Comision]]</f>
        <v>20.85</v>
      </c>
      <c r="M2012" s="48"/>
      <c r="N2012" s="49" t="s">
        <v>4895</v>
      </c>
    </row>
    <row r="2013" s="4" customFormat="1" ht="20" hidden="1" customHeight="1" spans="1:14">
      <c r="A2013" s="46">
        <v>45594</v>
      </c>
      <c r="B2013" s="47"/>
      <c r="C2013" s="47"/>
      <c r="D2013" s="47" t="s">
        <v>4587</v>
      </c>
      <c r="E2013" s="47" t="s">
        <v>3447</v>
      </c>
      <c r="F2013" s="11" t="str">
        <f>IFERROR(VLOOKUP(VENTAS[[#This Row],[Código del producto Vendido]],STOCK[],5,FALSE),"-")</f>
        <v>Antifaz bordado</v>
      </c>
      <c r="G2013" s="47">
        <v>1</v>
      </c>
      <c r="H2013" s="48">
        <v>4</v>
      </c>
      <c r="I2013" s="14">
        <f>VENTAS[[#This Row],[Cantidad]]*VENTAS[[#This Row],[Precio Venta]]</f>
        <v>4</v>
      </c>
      <c r="J2013" s="14">
        <f>IF(VENTAS[[#This Row],[Nombre del Gestor]]&gt;1,VENTAS[[#This Row],[Total]]*10%,0)</f>
        <v>0.4</v>
      </c>
      <c r="K2013" s="14">
        <f>IFERROR(VLOOKUP(VENTAS[[#This Row],[Código del producto Vendido]],STOCK[],16,FALSE)*VENTAS[[#This Row],[Cantidad]]+VLOOKUP(VENTAS[[#This Row],[Código del producto Vendido]],STOCK[],19,FALSE)*VENTAS[[#This Row],[Cantidad]],VENTAS[[#This Row],[Total]])</f>
        <v>0</v>
      </c>
      <c r="L2013" s="14">
        <f>VENTAS[[#This Row],[Total]]-VENTAS[[#This Row],[Comisión 10%]]-VENTAS[[#This Row],[Costo SIN Comision]]</f>
        <v>3.6</v>
      </c>
      <c r="M2013" s="48"/>
      <c r="N2013" s="49" t="s">
        <v>4896</v>
      </c>
    </row>
    <row r="2014" s="4" customFormat="1" ht="20" hidden="1" customHeight="1" spans="1:14">
      <c r="A2014" s="46">
        <v>45594</v>
      </c>
      <c r="B2014" s="47"/>
      <c r="C2014" s="47"/>
      <c r="D2014" s="47" t="s">
        <v>4365</v>
      </c>
      <c r="E2014" s="47" t="s">
        <v>3364</v>
      </c>
      <c r="F2014" s="11" t="str">
        <f>IFERROR(VLOOKUP(VENTAS[[#This Row],[Código del producto Vendido]],STOCK[],5,FALSE),"-")</f>
        <v>Antifaz de conejo sexy</v>
      </c>
      <c r="G2014" s="47">
        <v>1</v>
      </c>
      <c r="H2014" s="48">
        <v>8</v>
      </c>
      <c r="I2014" s="14">
        <f>VENTAS[[#This Row],[Cantidad]]*VENTAS[[#This Row],[Precio Venta]]</f>
        <v>8</v>
      </c>
      <c r="J2014" s="14">
        <f>IF(VENTAS[[#This Row],[Nombre del Gestor]]&gt;1,VENTAS[[#This Row],[Total]]*10%,0)</f>
        <v>0.8</v>
      </c>
      <c r="K2014" s="14">
        <f>IFERROR(VLOOKUP(VENTAS[[#This Row],[Código del producto Vendido]],STOCK[],16,FALSE)*VENTAS[[#This Row],[Cantidad]]+VLOOKUP(VENTAS[[#This Row],[Código del producto Vendido]],STOCK[],19,FALSE)*VENTAS[[#This Row],[Cantidad]],VENTAS[[#This Row],[Total]])</f>
        <v>0</v>
      </c>
      <c r="L2014" s="14">
        <f>VENTAS[[#This Row],[Total]]-VENTAS[[#This Row],[Comisión 10%]]-VENTAS[[#This Row],[Costo SIN Comision]]</f>
        <v>7.2</v>
      </c>
      <c r="M2014" s="48"/>
      <c r="N2014" s="49" t="s">
        <v>4897</v>
      </c>
    </row>
    <row r="2015" s="4" customFormat="1" ht="20" hidden="1" customHeight="1" spans="1:14">
      <c r="A2015" s="46">
        <v>45594</v>
      </c>
      <c r="B2015" s="47"/>
      <c r="C2015" s="47"/>
      <c r="D2015" s="47"/>
      <c r="E2015" s="47" t="s">
        <v>2809</v>
      </c>
      <c r="F2015" s="11" t="str">
        <f>IFERROR(VLOOKUP(VENTAS[[#This Row],[Código del producto Vendido]],STOCK[],5,FALSE),"-")</f>
        <v>Pantalones cortos con dobladillo</v>
      </c>
      <c r="G2015" s="47">
        <v>1</v>
      </c>
      <c r="H2015" s="48">
        <v>20</v>
      </c>
      <c r="I2015" s="14">
        <f>VENTAS[[#This Row],[Cantidad]]*VENTAS[[#This Row],[Precio Venta]]</f>
        <v>20</v>
      </c>
      <c r="J2015" s="14">
        <f>IF(VENTAS[[#This Row],[Nombre del Gestor]]&gt;1,VENTAS[[#This Row],[Total]]*10%,0)</f>
        <v>0</v>
      </c>
      <c r="K2015" s="14">
        <f>IFERROR(VLOOKUP(VENTAS[[#This Row],[Código del producto Vendido]],STOCK[],16,FALSE)*VENTAS[[#This Row],[Cantidad]]+VLOOKUP(VENTAS[[#This Row],[Código del producto Vendido]],STOCK[],19,FALSE)*VENTAS[[#This Row],[Cantidad]],VENTAS[[#This Row],[Total]])</f>
        <v>7.43</v>
      </c>
      <c r="L2015" s="14">
        <f>VENTAS[[#This Row],[Total]]-VENTAS[[#This Row],[Comisión 10%]]-VENTAS[[#This Row],[Costo SIN Comision]]</f>
        <v>12.57</v>
      </c>
      <c r="M2015" s="48"/>
      <c r="N2015" s="49" t="s">
        <v>4898</v>
      </c>
    </row>
    <row r="2016" s="4" customFormat="1" ht="20" hidden="1" customHeight="1" spans="1:14">
      <c r="A2016" s="46">
        <v>45594</v>
      </c>
      <c r="B2016" s="47"/>
      <c r="C2016" s="47"/>
      <c r="D2016" s="47" t="s">
        <v>4463</v>
      </c>
      <c r="E2016" s="47" t="s">
        <v>3469</v>
      </c>
      <c r="F2016" s="11" t="str">
        <f>IFERROR(VLOOKUP(VENTAS[[#This Row],[Código del producto Vendido]],STOCK[],5,FALSE),"-")</f>
        <v>Máscara completa de hombre araña</v>
      </c>
      <c r="G2016" s="47">
        <v>1</v>
      </c>
      <c r="H2016" s="48">
        <v>10</v>
      </c>
      <c r="I2016" s="14">
        <f>VENTAS[[#This Row],[Cantidad]]*VENTAS[[#This Row],[Precio Venta]]</f>
        <v>10</v>
      </c>
      <c r="J2016" s="14">
        <f>IF(VENTAS[[#This Row],[Nombre del Gestor]]&gt;1,VENTAS[[#This Row],[Total]]*10%,0)</f>
        <v>1</v>
      </c>
      <c r="K2016" s="14">
        <f>IFERROR(VLOOKUP(VENTAS[[#This Row],[Código del producto Vendido]],STOCK[],16,FALSE)*VENTAS[[#This Row],[Cantidad]]+VLOOKUP(VENTAS[[#This Row],[Código del producto Vendido]],STOCK[],19,FALSE)*VENTAS[[#This Row],[Cantidad]],VENTAS[[#This Row],[Total]])</f>
        <v>0</v>
      </c>
      <c r="L2016" s="14">
        <f>VENTAS[[#This Row],[Total]]-VENTAS[[#This Row],[Comisión 10%]]-VENTAS[[#This Row],[Costo SIN Comision]]</f>
        <v>9</v>
      </c>
      <c r="M2016" s="48"/>
      <c r="N2016" s="49" t="s">
        <v>4899</v>
      </c>
    </row>
    <row r="2017" s="4" customFormat="1" ht="20" hidden="1" customHeight="1" spans="1:14">
      <c r="A2017" s="46">
        <v>45594</v>
      </c>
      <c r="B2017" s="47"/>
      <c r="C2017" s="47"/>
      <c r="D2017" s="47" t="s">
        <v>4266</v>
      </c>
      <c r="E2017" s="47" t="s">
        <v>3380</v>
      </c>
      <c r="F2017" s="11" t="str">
        <f>IFERROR(VLOOKUP(VENTAS[[#This Row],[Código del producto Vendido]],STOCK[],5,FALSE),"-")</f>
        <v>Máscaras led verde de baterías</v>
      </c>
      <c r="G2017" s="47">
        <v>1</v>
      </c>
      <c r="H2017" s="48">
        <v>15</v>
      </c>
      <c r="I2017" s="14">
        <f>VENTAS[[#This Row],[Cantidad]]*VENTAS[[#This Row],[Precio Venta]]</f>
        <v>15</v>
      </c>
      <c r="J2017" s="14">
        <f>IF(VENTAS[[#This Row],[Nombre del Gestor]]&gt;1,VENTAS[[#This Row],[Total]]*10%,0)</f>
        <v>1.5</v>
      </c>
      <c r="K2017" s="14">
        <f>IFERROR(VLOOKUP(VENTAS[[#This Row],[Código del producto Vendido]],STOCK[],16,FALSE)*VENTAS[[#This Row],[Cantidad]]+VLOOKUP(VENTAS[[#This Row],[Código del producto Vendido]],STOCK[],19,FALSE)*VENTAS[[#This Row],[Cantidad]],VENTAS[[#This Row],[Total]])</f>
        <v>0</v>
      </c>
      <c r="L2017" s="14">
        <f>VENTAS[[#This Row],[Total]]-VENTAS[[#This Row],[Comisión 10%]]-VENTAS[[#This Row],[Costo SIN Comision]]</f>
        <v>13.5</v>
      </c>
      <c r="M2017" s="48"/>
      <c r="N2017" s="49" t="s">
        <v>4900</v>
      </c>
    </row>
    <row r="2018" s="4" customFormat="1" ht="20" hidden="1" customHeight="1" spans="1:14">
      <c r="A2018" s="46">
        <v>45594</v>
      </c>
      <c r="B2018" s="47"/>
      <c r="C2018" s="47"/>
      <c r="D2018" s="47" t="s">
        <v>4076</v>
      </c>
      <c r="E2018" s="47" t="s">
        <v>3447</v>
      </c>
      <c r="F2018" s="11" t="str">
        <f>IFERROR(VLOOKUP(VENTAS[[#This Row],[Código del producto Vendido]],STOCK[],5,FALSE),"-")</f>
        <v>Antifaz bordado</v>
      </c>
      <c r="G2018" s="47">
        <v>1</v>
      </c>
      <c r="H2018" s="48">
        <v>2</v>
      </c>
      <c r="I2018" s="14">
        <f>VENTAS[[#This Row],[Cantidad]]*VENTAS[[#This Row],[Precio Venta]]</f>
        <v>2</v>
      </c>
      <c r="J2018" s="14">
        <f>IF(VENTAS[[#This Row],[Nombre del Gestor]]&gt;1,VENTAS[[#This Row],[Total]]*10%,0)</f>
        <v>0.2</v>
      </c>
      <c r="K2018" s="14">
        <f>IFERROR(VLOOKUP(VENTAS[[#This Row],[Código del producto Vendido]],STOCK[],16,FALSE)*VENTAS[[#This Row],[Cantidad]]+VLOOKUP(VENTAS[[#This Row],[Código del producto Vendido]],STOCK[],19,FALSE)*VENTAS[[#This Row],[Cantidad]],VENTAS[[#This Row],[Total]])</f>
        <v>0</v>
      </c>
      <c r="L2018" s="14">
        <f>VENTAS[[#This Row],[Total]]-VENTAS[[#This Row],[Comisión 10%]]-VENTAS[[#This Row],[Costo SIN Comision]]</f>
        <v>1.8</v>
      </c>
      <c r="M2018" s="48"/>
      <c r="N2018" s="49" t="s">
        <v>4901</v>
      </c>
    </row>
    <row r="2019" s="4" customFormat="1" ht="20" hidden="1" customHeight="1" spans="1:14">
      <c r="A2019" s="46">
        <v>45594</v>
      </c>
      <c r="B2019" s="47"/>
      <c r="C2019" s="47"/>
      <c r="D2019" s="47" t="s">
        <v>4470</v>
      </c>
      <c r="E2019" s="47" t="s">
        <v>3357</v>
      </c>
      <c r="F2019" s="11" t="str">
        <f>IFERROR(VLOOKUP(VENTAS[[#This Row],[Código del producto Vendido]],STOCK[],5,FALSE),"-")</f>
        <v>Mascara careta aterrradora</v>
      </c>
      <c r="G2019" s="47">
        <v>1</v>
      </c>
      <c r="H2019" s="48">
        <v>12</v>
      </c>
      <c r="I2019" s="14">
        <f>VENTAS[[#This Row],[Cantidad]]*VENTAS[[#This Row],[Precio Venta]]</f>
        <v>12</v>
      </c>
      <c r="J2019" s="14">
        <f>IF(VENTAS[[#This Row],[Nombre del Gestor]]&gt;1,VENTAS[[#This Row],[Total]]*10%,0)</f>
        <v>1.2</v>
      </c>
      <c r="K2019" s="14">
        <f>IFERROR(VLOOKUP(VENTAS[[#This Row],[Código del producto Vendido]],STOCK[],16,FALSE)*VENTAS[[#This Row],[Cantidad]]+VLOOKUP(VENTAS[[#This Row],[Código del producto Vendido]],STOCK[],19,FALSE)*VENTAS[[#This Row],[Cantidad]],VENTAS[[#This Row],[Total]])</f>
        <v>0</v>
      </c>
      <c r="L2019" s="14">
        <f>VENTAS[[#This Row],[Total]]-VENTAS[[#This Row],[Comisión 10%]]-VENTAS[[#This Row],[Costo SIN Comision]]</f>
        <v>10.8</v>
      </c>
      <c r="M2019" s="48"/>
      <c r="N2019" s="49" t="s">
        <v>4902</v>
      </c>
    </row>
    <row r="2020" s="4" customFormat="1" ht="20" hidden="1" customHeight="1" spans="1:14">
      <c r="A2020" s="46">
        <v>45594</v>
      </c>
      <c r="B2020" s="47"/>
      <c r="C2020" s="47"/>
      <c r="D2020" s="47" t="s">
        <v>4272</v>
      </c>
      <c r="E2020" s="47" t="s">
        <v>2779</v>
      </c>
      <c r="F2020" s="45" t="str">
        <f>IFERROR(VLOOKUP(VENTAS[[#This Row],[Código del producto Vendido]],STOCK[],5,FALSE),"-")</f>
        <v>Sandalias espadriles de saco nude atada al tobillo</v>
      </c>
      <c r="G2020" s="47">
        <v>1</v>
      </c>
      <c r="H2020" s="48">
        <v>35</v>
      </c>
      <c r="I2020" s="14">
        <f>VENTAS[[#This Row],[Cantidad]]*VENTAS[[#This Row],[Precio Venta]]</f>
        <v>35</v>
      </c>
      <c r="J2020" s="14">
        <f>IF(VENTAS[[#This Row],[Nombre del Gestor]]&gt;1,VENTAS[[#This Row],[Total]]*10%,0)</f>
        <v>3.5</v>
      </c>
      <c r="K2020" s="14">
        <f>IFERROR(VLOOKUP(VENTAS[[#This Row],[Código del producto Vendido]],STOCK[],16,FALSE)*VENTAS[[#This Row],[Cantidad]]+VLOOKUP(VENTAS[[#This Row],[Código del producto Vendido]],STOCK[],19,FALSE)*VENTAS[[#This Row],[Cantidad]],VENTAS[[#This Row],[Total]])</f>
        <v>12.15</v>
      </c>
      <c r="L2020" s="14">
        <f>VENTAS[[#This Row],[Total]]-VENTAS[[#This Row],[Comisión 10%]]-VENTAS[[#This Row],[Costo SIN Comision]]</f>
        <v>19.35</v>
      </c>
      <c r="M2020" s="48"/>
      <c r="N2020" s="49" t="s">
        <v>4903</v>
      </c>
    </row>
    <row r="2021" s="4" customFormat="1" ht="20" hidden="1" customHeight="1" spans="1:14">
      <c r="A2021" s="46">
        <v>45594</v>
      </c>
      <c r="B2021" s="47"/>
      <c r="C2021" s="47"/>
      <c r="D2021" s="47" t="s">
        <v>4266</v>
      </c>
      <c r="E2021" s="47" t="s">
        <v>3409</v>
      </c>
      <c r="F2021" s="11" t="str">
        <f>IFERROR(VLOOKUP(VENTAS[[#This Row],[Código del producto Vendido]],STOCK[],5,FALSE),"-")</f>
        <v>Disfraz de angel con cinturón y diadema</v>
      </c>
      <c r="G2021" s="47">
        <v>1</v>
      </c>
      <c r="H2021" s="48">
        <v>22</v>
      </c>
      <c r="I2021" s="14">
        <f>VENTAS[[#This Row],[Cantidad]]*VENTAS[[#This Row],[Precio Venta]]</f>
        <v>22</v>
      </c>
      <c r="J2021" s="14">
        <f>IF(VENTAS[[#This Row],[Nombre del Gestor]]&gt;1,VENTAS[[#This Row],[Total]]*10%,0)</f>
        <v>2.2</v>
      </c>
      <c r="K2021" s="14">
        <f>IFERROR(VLOOKUP(VENTAS[[#This Row],[Código del producto Vendido]],STOCK[],16,FALSE)*VENTAS[[#This Row],[Cantidad]]+VLOOKUP(VENTAS[[#This Row],[Código del producto Vendido]],STOCK[],19,FALSE)*VENTAS[[#This Row],[Cantidad]],VENTAS[[#This Row],[Total]])</f>
        <v>0</v>
      </c>
      <c r="L2021" s="14">
        <f>VENTAS[[#This Row],[Total]]-VENTAS[[#This Row],[Comisión 10%]]-VENTAS[[#This Row],[Costo SIN Comision]]</f>
        <v>19.8</v>
      </c>
      <c r="M2021" s="48"/>
      <c r="N2021" s="49" t="s">
        <v>4904</v>
      </c>
    </row>
    <row r="2022" s="4" customFormat="1" ht="20" hidden="1" customHeight="1" spans="1:14">
      <c r="A2022" s="46">
        <v>45594</v>
      </c>
      <c r="B2022" s="47"/>
      <c r="C2022" s="47"/>
      <c r="D2022" s="47" t="s">
        <v>4463</v>
      </c>
      <c r="E2022" s="47" t="s">
        <v>3357</v>
      </c>
      <c r="F2022" s="11" t="str">
        <f>IFERROR(VLOOKUP(VENTAS[[#This Row],[Código del producto Vendido]],STOCK[],5,FALSE),"-")</f>
        <v>Mascara careta aterrradora</v>
      </c>
      <c r="G2022" s="47">
        <v>1</v>
      </c>
      <c r="H2022" s="48">
        <v>12</v>
      </c>
      <c r="I2022" s="14">
        <f>VENTAS[[#This Row],[Cantidad]]*VENTAS[[#This Row],[Precio Venta]]</f>
        <v>12</v>
      </c>
      <c r="J2022" s="14">
        <f>IF(VENTAS[[#This Row],[Nombre del Gestor]]&gt;1,VENTAS[[#This Row],[Total]]*10%,0)</f>
        <v>1.2</v>
      </c>
      <c r="K2022" s="14">
        <f>IFERROR(VLOOKUP(VENTAS[[#This Row],[Código del producto Vendido]],STOCK[],16,FALSE)*VENTAS[[#This Row],[Cantidad]]+VLOOKUP(VENTAS[[#This Row],[Código del producto Vendido]],STOCK[],19,FALSE)*VENTAS[[#This Row],[Cantidad]],VENTAS[[#This Row],[Total]])</f>
        <v>0</v>
      </c>
      <c r="L2022" s="14">
        <f>VENTAS[[#This Row],[Total]]-VENTAS[[#This Row],[Comisión 10%]]-VENTAS[[#This Row],[Costo SIN Comision]]</f>
        <v>10.8</v>
      </c>
      <c r="M2022" s="48"/>
      <c r="N2022" s="49" t="s">
        <v>4905</v>
      </c>
    </row>
    <row r="2023" s="4" customFormat="1" ht="20" hidden="1" customHeight="1" spans="1:14">
      <c r="A2023" s="46">
        <v>45594</v>
      </c>
      <c r="B2023" s="47"/>
      <c r="C2023" s="47"/>
      <c r="D2023" s="47" t="s">
        <v>4463</v>
      </c>
      <c r="E2023" s="47" t="s">
        <v>3296</v>
      </c>
      <c r="F2023" s="11" t="str">
        <f>IFERROR(VLOOKUP(VENTAS[[#This Row],[Código del producto Vendido]],STOCK[],5,FALSE),"-")</f>
        <v>Guantes negros traslúcidos </v>
      </c>
      <c r="G2023" s="47">
        <v>1</v>
      </c>
      <c r="H2023" s="48">
        <v>5</v>
      </c>
      <c r="I2023" s="14">
        <f>VENTAS[[#This Row],[Cantidad]]*VENTAS[[#This Row],[Precio Venta]]</f>
        <v>5</v>
      </c>
      <c r="J2023" s="14">
        <f>IF(VENTAS[[#This Row],[Nombre del Gestor]]&gt;1,VENTAS[[#This Row],[Total]]*10%,0)</f>
        <v>0.5</v>
      </c>
      <c r="K2023" s="14">
        <f>IFERROR(VLOOKUP(VENTAS[[#This Row],[Código del producto Vendido]],STOCK[],16,FALSE)*VENTAS[[#This Row],[Cantidad]]+VLOOKUP(VENTAS[[#This Row],[Código del producto Vendido]],STOCK[],19,FALSE)*VENTAS[[#This Row],[Cantidad]],VENTAS[[#This Row],[Total]])</f>
        <v>0</v>
      </c>
      <c r="L2023" s="14">
        <f>VENTAS[[#This Row],[Total]]-VENTAS[[#This Row],[Comisión 10%]]-VENTAS[[#This Row],[Costo SIN Comision]]</f>
        <v>4.5</v>
      </c>
      <c r="M2023" s="48"/>
      <c r="N2023" s="49" t="s">
        <v>4906</v>
      </c>
    </row>
    <row r="2024" s="4" customFormat="1" ht="20" hidden="1" customHeight="1" spans="1:14">
      <c r="A2024" s="46">
        <v>45594</v>
      </c>
      <c r="B2024" s="47"/>
      <c r="C2024" s="47"/>
      <c r="D2024" s="47" t="s">
        <v>4463</v>
      </c>
      <c r="E2024" s="47" t="s">
        <v>3290</v>
      </c>
      <c r="F2024" s="11" t="str">
        <f>IFERROR(VLOOKUP(VENTAS[[#This Row],[Código del producto Vendido]],STOCK[],5,FALSE),"-")</f>
        <v>Falda básica de tutú negra</v>
      </c>
      <c r="G2024" s="47">
        <v>1</v>
      </c>
      <c r="H2024" s="48">
        <v>13</v>
      </c>
      <c r="I2024" s="14">
        <f>VENTAS[[#This Row],[Cantidad]]*VENTAS[[#This Row],[Precio Venta]]</f>
        <v>13</v>
      </c>
      <c r="J2024" s="14">
        <f>IF(VENTAS[[#This Row],[Nombre del Gestor]]&gt;1,VENTAS[[#This Row],[Total]]*10%,0)</f>
        <v>1.3</v>
      </c>
      <c r="K2024" s="14">
        <f>IFERROR(VLOOKUP(VENTAS[[#This Row],[Código del producto Vendido]],STOCK[],16,FALSE)*VENTAS[[#This Row],[Cantidad]]+VLOOKUP(VENTAS[[#This Row],[Código del producto Vendido]],STOCK[],19,FALSE)*VENTAS[[#This Row],[Cantidad]],VENTAS[[#This Row],[Total]])</f>
        <v>0</v>
      </c>
      <c r="L2024" s="14">
        <f>VENTAS[[#This Row],[Total]]-VENTAS[[#This Row],[Comisión 10%]]-VENTAS[[#This Row],[Costo SIN Comision]]</f>
        <v>11.7</v>
      </c>
      <c r="M2024" s="48"/>
      <c r="N2024" s="49" t="s">
        <v>4907</v>
      </c>
    </row>
    <row r="2025" s="4" customFormat="1" ht="20" hidden="1" customHeight="1" spans="1:14">
      <c r="A2025" s="46">
        <v>45594</v>
      </c>
      <c r="B2025" s="47"/>
      <c r="C2025" s="47"/>
      <c r="D2025" s="47" t="s">
        <v>4470</v>
      </c>
      <c r="E2025" s="47" t="s">
        <v>3296</v>
      </c>
      <c r="F2025" s="11" t="str">
        <f>IFERROR(VLOOKUP(VENTAS[[#This Row],[Código del producto Vendido]],STOCK[],5,FALSE),"-")</f>
        <v>Guantes negros traslúcidos </v>
      </c>
      <c r="G2025" s="47">
        <v>1</v>
      </c>
      <c r="H2025" s="48">
        <v>5</v>
      </c>
      <c r="I2025" s="14">
        <f>VENTAS[[#This Row],[Cantidad]]*VENTAS[[#This Row],[Precio Venta]]</f>
        <v>5</v>
      </c>
      <c r="J2025" s="14">
        <f>IF(VENTAS[[#This Row],[Nombre del Gestor]]&gt;1,VENTAS[[#This Row],[Total]]*10%,0)</f>
        <v>0.5</v>
      </c>
      <c r="K2025" s="14">
        <f>IFERROR(VLOOKUP(VENTAS[[#This Row],[Código del producto Vendido]],STOCK[],16,FALSE)*VENTAS[[#This Row],[Cantidad]]+VLOOKUP(VENTAS[[#This Row],[Código del producto Vendido]],STOCK[],19,FALSE)*VENTAS[[#This Row],[Cantidad]],VENTAS[[#This Row],[Total]])</f>
        <v>0</v>
      </c>
      <c r="L2025" s="14">
        <f>VENTAS[[#This Row],[Total]]-VENTAS[[#This Row],[Comisión 10%]]-VENTAS[[#This Row],[Costo SIN Comision]]</f>
        <v>4.5</v>
      </c>
      <c r="M2025" s="48"/>
      <c r="N2025" s="49" t="s">
        <v>4908</v>
      </c>
    </row>
    <row r="2026" s="4" customFormat="1" ht="20" hidden="1" customHeight="1" spans="1:14">
      <c r="A2026" s="46">
        <v>45594</v>
      </c>
      <c r="B2026" s="47"/>
      <c r="C2026" s="47"/>
      <c r="D2026" s="47" t="s">
        <v>4463</v>
      </c>
      <c r="E2026" s="47" t="s">
        <v>3478</v>
      </c>
      <c r="F2026" s="11" t="str">
        <f>IFERROR(VLOOKUP(VENTAS[[#This Row],[Código del producto Vendido]],STOCK[],5,FALSE),"-")</f>
        <v>Peluca negra con flequillo</v>
      </c>
      <c r="G2026" s="47">
        <v>1</v>
      </c>
      <c r="H2026" s="48">
        <v>20</v>
      </c>
      <c r="I2026" s="14">
        <f>VENTAS[[#This Row],[Cantidad]]*VENTAS[[#This Row],[Precio Venta]]</f>
        <v>20</v>
      </c>
      <c r="J2026" s="14">
        <f>IF(VENTAS[[#This Row],[Nombre del Gestor]]&gt;1,VENTAS[[#This Row],[Total]]*10%,0)</f>
        <v>2</v>
      </c>
      <c r="K2026" s="14">
        <f>IFERROR(VLOOKUP(VENTAS[[#This Row],[Código del producto Vendido]],STOCK[],16,FALSE)*VENTAS[[#This Row],[Cantidad]]+VLOOKUP(VENTAS[[#This Row],[Código del producto Vendido]],STOCK[],19,FALSE)*VENTAS[[#This Row],[Cantidad]],VENTAS[[#This Row],[Total]])</f>
        <v>0</v>
      </c>
      <c r="L2026" s="14">
        <f>VENTAS[[#This Row],[Total]]-VENTAS[[#This Row],[Comisión 10%]]-VENTAS[[#This Row],[Costo SIN Comision]]</f>
        <v>18</v>
      </c>
      <c r="M2026" s="48"/>
      <c r="N2026" s="49" t="s">
        <v>4909</v>
      </c>
    </row>
    <row r="2027" s="4" customFormat="1" ht="20" hidden="1" customHeight="1" spans="1:14">
      <c r="A2027" s="46">
        <v>45595</v>
      </c>
      <c r="B2027" s="47"/>
      <c r="C2027" s="47"/>
      <c r="D2027" s="47" t="s">
        <v>4266</v>
      </c>
      <c r="E2027" s="47" t="s">
        <v>3290</v>
      </c>
      <c r="F2027" s="11" t="str">
        <f>IFERROR(VLOOKUP(VENTAS[[#This Row],[Código del producto Vendido]],STOCK[],5,FALSE),"-")</f>
        <v>Falda básica de tutú negra</v>
      </c>
      <c r="G2027" s="47">
        <v>1</v>
      </c>
      <c r="H2027" s="48">
        <v>13</v>
      </c>
      <c r="I2027" s="14">
        <f>VENTAS[[#This Row],[Cantidad]]*VENTAS[[#This Row],[Precio Venta]]</f>
        <v>13</v>
      </c>
      <c r="J2027" s="14">
        <f>IF(VENTAS[[#This Row],[Nombre del Gestor]]&gt;1,VENTAS[[#This Row],[Total]]*10%,0)</f>
        <v>1.3</v>
      </c>
      <c r="K2027" s="14">
        <f>IFERROR(VLOOKUP(VENTAS[[#This Row],[Código del producto Vendido]],STOCK[],16,FALSE)*VENTAS[[#This Row],[Cantidad]]+VLOOKUP(VENTAS[[#This Row],[Código del producto Vendido]],STOCK[],19,FALSE)*VENTAS[[#This Row],[Cantidad]],VENTAS[[#This Row],[Total]])</f>
        <v>0</v>
      </c>
      <c r="L2027" s="14">
        <f>VENTAS[[#This Row],[Total]]-VENTAS[[#This Row],[Comisión 10%]]-VENTAS[[#This Row],[Costo SIN Comision]]</f>
        <v>11.7</v>
      </c>
      <c r="M2027" s="48"/>
      <c r="N2027" s="49" t="s">
        <v>4910</v>
      </c>
    </row>
    <row r="2028" s="4" customFormat="1" ht="20" hidden="1" customHeight="1" spans="1:14">
      <c r="A2028" s="46">
        <v>45595</v>
      </c>
      <c r="B2028" s="47"/>
      <c r="C2028" s="47"/>
      <c r="D2028" s="47" t="s">
        <v>4266</v>
      </c>
      <c r="E2028" s="47" t="s">
        <v>3296</v>
      </c>
      <c r="F2028" s="11" t="str">
        <f>IFERROR(VLOOKUP(VENTAS[[#This Row],[Código del producto Vendido]],STOCK[],5,FALSE),"-")</f>
        <v>Guantes negros traslúcidos </v>
      </c>
      <c r="G2028" s="47">
        <v>1</v>
      </c>
      <c r="H2028" s="48">
        <v>5</v>
      </c>
      <c r="I2028" s="14">
        <f>VENTAS[[#This Row],[Cantidad]]*VENTAS[[#This Row],[Precio Venta]]</f>
        <v>5</v>
      </c>
      <c r="J2028" s="14">
        <f>IF(VENTAS[[#This Row],[Nombre del Gestor]]&gt;1,VENTAS[[#This Row],[Total]]*10%,0)</f>
        <v>0.5</v>
      </c>
      <c r="K2028" s="14">
        <f>IFERROR(VLOOKUP(VENTAS[[#This Row],[Código del producto Vendido]],STOCK[],16,FALSE)*VENTAS[[#This Row],[Cantidad]]+VLOOKUP(VENTAS[[#This Row],[Código del producto Vendido]],STOCK[],19,FALSE)*VENTAS[[#This Row],[Cantidad]],VENTAS[[#This Row],[Total]])</f>
        <v>0</v>
      </c>
      <c r="L2028" s="14">
        <f>VENTAS[[#This Row],[Total]]-VENTAS[[#This Row],[Comisión 10%]]-VENTAS[[#This Row],[Costo SIN Comision]]</f>
        <v>4.5</v>
      </c>
      <c r="M2028" s="48"/>
      <c r="N2028" s="49" t="s">
        <v>4911</v>
      </c>
    </row>
    <row r="2029" s="4" customFormat="1" ht="20" hidden="1" customHeight="1" spans="1:14">
      <c r="A2029" s="46">
        <v>45595</v>
      </c>
      <c r="B2029" s="47"/>
      <c r="C2029" s="47"/>
      <c r="D2029" s="47" t="s">
        <v>4266</v>
      </c>
      <c r="E2029" s="47" t="s">
        <v>2928</v>
      </c>
      <c r="F2029" s="11" t="str">
        <f>IFERROR(VLOOKUP(VENTAS[[#This Row],[Código del producto Vendido]],STOCK[],5,FALSE),"-")</f>
        <v>Camiseta ajustada de rayas sin mangas</v>
      </c>
      <c r="G2029" s="47">
        <v>1</v>
      </c>
      <c r="H2029" s="48">
        <v>8</v>
      </c>
      <c r="I2029" s="14">
        <f>VENTAS[[#This Row],[Cantidad]]*VENTAS[[#This Row],[Precio Venta]]</f>
        <v>8</v>
      </c>
      <c r="J2029" s="14">
        <f>IF(VENTAS[[#This Row],[Nombre del Gestor]]&gt;1,VENTAS[[#This Row],[Total]]*10%,0)</f>
        <v>0.8</v>
      </c>
      <c r="K2029" s="14">
        <f>IFERROR(VLOOKUP(VENTAS[[#This Row],[Código del producto Vendido]],STOCK[],16,FALSE)*VENTAS[[#This Row],[Cantidad]]+VLOOKUP(VENTAS[[#This Row],[Código del producto Vendido]],STOCK[],19,FALSE)*VENTAS[[#This Row],[Cantidad]],VENTAS[[#This Row],[Total]])</f>
        <v>3.94</v>
      </c>
      <c r="L2029" s="14">
        <f>VENTAS[[#This Row],[Total]]-VENTAS[[#This Row],[Comisión 10%]]-VENTAS[[#This Row],[Costo SIN Comision]]</f>
        <v>3.26</v>
      </c>
      <c r="M2029" s="48"/>
      <c r="N2029" s="49" t="s">
        <v>4912</v>
      </c>
    </row>
    <row r="2030" s="4" customFormat="1" ht="20" hidden="1" customHeight="1" spans="1:14">
      <c r="A2030" s="46">
        <v>45595</v>
      </c>
      <c r="B2030" s="47"/>
      <c r="C2030" s="47"/>
      <c r="D2030" s="47" t="s">
        <v>4266</v>
      </c>
      <c r="E2030" s="47" t="s">
        <v>2904</v>
      </c>
      <c r="F2030" s="11" t="str">
        <f>IFERROR(VLOOKUP(VENTAS[[#This Row],[Código del producto Vendido]],STOCK[],5,FALSE),"-")</f>
        <v>Sujetador de gran confort antideslizante sin tirantes color crema</v>
      </c>
      <c r="G2030" s="47">
        <v>1</v>
      </c>
      <c r="H2030" s="48">
        <v>15</v>
      </c>
      <c r="I2030" s="14">
        <f>VENTAS[[#This Row],[Cantidad]]*VENTAS[[#This Row],[Precio Venta]]</f>
        <v>15</v>
      </c>
      <c r="J2030" s="14">
        <f>IF(VENTAS[[#This Row],[Nombre del Gestor]]&gt;1,VENTAS[[#This Row],[Total]]*10%,0)</f>
        <v>1.5</v>
      </c>
      <c r="K2030" s="14">
        <f>IFERROR(VLOOKUP(VENTAS[[#This Row],[Código del producto Vendido]],STOCK[],16,FALSE)*VENTAS[[#This Row],[Cantidad]]+VLOOKUP(VENTAS[[#This Row],[Código del producto Vendido]],STOCK[],19,FALSE)*VENTAS[[#This Row],[Cantidad]],VENTAS[[#This Row],[Total]])</f>
        <v>8.15</v>
      </c>
      <c r="L2030" s="14">
        <f>VENTAS[[#This Row],[Total]]-VENTAS[[#This Row],[Comisión 10%]]-VENTAS[[#This Row],[Costo SIN Comision]]</f>
        <v>5.35</v>
      </c>
      <c r="M2030" s="48"/>
      <c r="N2030" s="49" t="s">
        <v>4913</v>
      </c>
    </row>
    <row r="2031" s="4" customFormat="1" ht="20" hidden="1" customHeight="1" spans="1:14">
      <c r="A2031" s="46">
        <v>45595</v>
      </c>
      <c r="B2031" s="47"/>
      <c r="C2031" s="47"/>
      <c r="D2031" s="47" t="s">
        <v>4272</v>
      </c>
      <c r="E2031" s="47" t="s">
        <v>3042</v>
      </c>
      <c r="F2031" s="11" t="str">
        <f>IFERROR(VLOOKUP(VENTAS[[#This Row],[Código del producto Vendido]],STOCK[],5,FALSE),"-")</f>
        <v>Shorts cargo negro con dobladillo y bolsillos en tendencia Marca H&amp;M</v>
      </c>
      <c r="G2031" s="47">
        <v>1</v>
      </c>
      <c r="H2031" s="48">
        <v>28</v>
      </c>
      <c r="I2031" s="14">
        <f>VENTAS[[#This Row],[Cantidad]]*VENTAS[[#This Row],[Precio Venta]]</f>
        <v>28</v>
      </c>
      <c r="J2031" s="14">
        <f>IF(VENTAS[[#This Row],[Nombre del Gestor]]&gt;1,VENTAS[[#This Row],[Total]]*10%,0)</f>
        <v>2.8</v>
      </c>
      <c r="K2031" s="14">
        <f>IFERROR(VLOOKUP(VENTAS[[#This Row],[Código del producto Vendido]],STOCK[],16,FALSE)*VENTAS[[#This Row],[Cantidad]]+VLOOKUP(VENTAS[[#This Row],[Código del producto Vendido]],STOCK[],19,FALSE)*VENTAS[[#This Row],[Cantidad]],VENTAS[[#This Row],[Total]])</f>
        <v>10</v>
      </c>
      <c r="L2031" s="14">
        <f>VENTAS[[#This Row],[Total]]-VENTAS[[#This Row],[Comisión 10%]]-VENTAS[[#This Row],[Costo SIN Comision]]</f>
        <v>15.2</v>
      </c>
      <c r="M2031" s="48"/>
      <c r="N2031" s="49" t="s">
        <v>4914</v>
      </c>
    </row>
    <row r="2032" s="4" customFormat="1" ht="20" hidden="1" customHeight="1" spans="1:14">
      <c r="A2032" s="46">
        <v>45595</v>
      </c>
      <c r="B2032" s="47"/>
      <c r="C2032" s="47"/>
      <c r="D2032" s="47" t="s">
        <v>4272</v>
      </c>
      <c r="E2032" s="47" t="s">
        <v>3050</v>
      </c>
      <c r="F2032" s="11" t="str">
        <f>IFERROR(VLOOKUP(VENTAS[[#This Row],[Código del producto Vendido]],STOCK[],5,FALSE),"-")</f>
        <v>Shorts cargo gris con dobladillo y bolsillos en tendencia Marca H&amp;M</v>
      </c>
      <c r="G2032" s="47">
        <v>1</v>
      </c>
      <c r="H2032" s="48">
        <v>28</v>
      </c>
      <c r="I2032" s="14">
        <f>VENTAS[[#This Row],[Cantidad]]*VENTAS[[#This Row],[Precio Venta]]</f>
        <v>28</v>
      </c>
      <c r="J2032" s="14">
        <f>IF(VENTAS[[#This Row],[Nombre del Gestor]]&gt;1,VENTAS[[#This Row],[Total]]*10%,0)</f>
        <v>2.8</v>
      </c>
      <c r="K2032" s="14">
        <f>IFERROR(VLOOKUP(VENTAS[[#This Row],[Código del producto Vendido]],STOCK[],16,FALSE)*VENTAS[[#This Row],[Cantidad]]+VLOOKUP(VENTAS[[#This Row],[Código del producto Vendido]],STOCK[],19,FALSE)*VENTAS[[#This Row],[Cantidad]],VENTAS[[#This Row],[Total]])</f>
        <v>10</v>
      </c>
      <c r="L2032" s="14">
        <f>VENTAS[[#This Row],[Total]]-VENTAS[[#This Row],[Comisión 10%]]-VENTAS[[#This Row],[Costo SIN Comision]]</f>
        <v>15.2</v>
      </c>
      <c r="M2032" s="48"/>
      <c r="N2032" s="49" t="s">
        <v>4915</v>
      </c>
    </row>
    <row r="2033" s="4" customFormat="1" ht="20" hidden="1" customHeight="1" spans="1:14">
      <c r="A2033" s="46">
        <v>45595</v>
      </c>
      <c r="B2033" s="47"/>
      <c r="C2033" s="47"/>
      <c r="D2033" s="47" t="s">
        <v>4266</v>
      </c>
      <c r="E2033" s="47" t="s">
        <v>3149</v>
      </c>
      <c r="F2033" s="11" t="str">
        <f>IFERROR(VLOOKUP(VENTAS[[#This Row],[Código del producto Vendido]],STOCK[],5,FALSE),"-")</f>
        <v>Suéter crema oversize de franjas beich Marca H&amp;M</v>
      </c>
      <c r="G2033" s="47">
        <v>1</v>
      </c>
      <c r="H2033" s="48">
        <v>25</v>
      </c>
      <c r="I2033" s="14">
        <f>VENTAS[[#This Row],[Cantidad]]*VENTAS[[#This Row],[Precio Venta]]</f>
        <v>25</v>
      </c>
      <c r="J2033" s="14">
        <f>IF(VENTAS[[#This Row],[Nombre del Gestor]]&gt;1,VENTAS[[#This Row],[Total]]*10%,0)</f>
        <v>2.5</v>
      </c>
      <c r="K2033" s="14">
        <f>IFERROR(VLOOKUP(VENTAS[[#This Row],[Código del producto Vendido]],STOCK[],16,FALSE)*VENTAS[[#This Row],[Cantidad]]+VLOOKUP(VENTAS[[#This Row],[Código del producto Vendido]],STOCK[],19,FALSE)*VENTAS[[#This Row],[Cantidad]],VENTAS[[#This Row],[Total]])</f>
        <v>12</v>
      </c>
      <c r="L2033" s="14">
        <f>VENTAS[[#This Row],[Total]]-VENTAS[[#This Row],[Comisión 10%]]-VENTAS[[#This Row],[Costo SIN Comision]]</f>
        <v>10.5</v>
      </c>
      <c r="M2033" s="48"/>
      <c r="N2033" s="49" t="s">
        <v>4916</v>
      </c>
    </row>
    <row r="2034" s="4" customFormat="1" ht="20" hidden="1" customHeight="1" spans="1:14">
      <c r="A2034" s="46">
        <v>45595</v>
      </c>
      <c r="B2034" s="47"/>
      <c r="C2034" s="47"/>
      <c r="D2034" s="47" t="s">
        <v>4266</v>
      </c>
      <c r="E2034" s="47" t="s">
        <v>3147</v>
      </c>
      <c r="F2034" s="11" t="str">
        <f>IFERROR(VLOOKUP(VENTAS[[#This Row],[Código del producto Vendido]],STOCK[],5,FALSE),"-")</f>
        <v>Suéter oversize crema de listas negras cuello de redondo Marca H&amp;M</v>
      </c>
      <c r="G2034" s="47">
        <v>1</v>
      </c>
      <c r="H2034" s="48">
        <v>25</v>
      </c>
      <c r="I2034" s="14">
        <f>VENTAS[[#This Row],[Cantidad]]*VENTAS[[#This Row],[Precio Venta]]</f>
        <v>25</v>
      </c>
      <c r="J2034" s="14">
        <f>IF(VENTAS[[#This Row],[Nombre del Gestor]]&gt;1,VENTAS[[#This Row],[Total]]*10%,0)</f>
        <v>2.5</v>
      </c>
      <c r="K2034" s="14">
        <f>IFERROR(VLOOKUP(VENTAS[[#This Row],[Código del producto Vendido]],STOCK[],16,FALSE)*VENTAS[[#This Row],[Cantidad]]+VLOOKUP(VENTAS[[#This Row],[Código del producto Vendido]],STOCK[],19,FALSE)*VENTAS[[#This Row],[Cantidad]],VENTAS[[#This Row],[Total]])</f>
        <v>12</v>
      </c>
      <c r="L2034" s="14">
        <f>VENTAS[[#This Row],[Total]]-VENTAS[[#This Row],[Comisión 10%]]-VENTAS[[#This Row],[Costo SIN Comision]]</f>
        <v>10.5</v>
      </c>
      <c r="M2034" s="48"/>
      <c r="N2034" s="49" t="s">
        <v>4917</v>
      </c>
    </row>
    <row r="2035" s="4" customFormat="1" ht="20" hidden="1" customHeight="1" spans="1:14">
      <c r="A2035" s="46">
        <v>45595</v>
      </c>
      <c r="B2035" s="47"/>
      <c r="C2035" s="47"/>
      <c r="D2035" s="47" t="s">
        <v>4365</v>
      </c>
      <c r="E2035" s="47" t="s">
        <v>1385</v>
      </c>
      <c r="F2035" s="11" t="str">
        <f>IFERROR(VLOOKUP(VENTAS[[#This Row],[Código del producto Vendido]],STOCK[],5,FALSE),"-")</f>
        <v>Medias de mallas</v>
      </c>
      <c r="G2035" s="47">
        <v>1</v>
      </c>
      <c r="H2035" s="48">
        <v>3</v>
      </c>
      <c r="I2035" s="14">
        <f>VENTAS[[#This Row],[Cantidad]]*VENTAS[[#This Row],[Precio Venta]]</f>
        <v>3</v>
      </c>
      <c r="J2035" s="14">
        <f>IF(VENTAS[[#This Row],[Nombre del Gestor]]&gt;1,VENTAS[[#This Row],[Total]]*10%,0)</f>
        <v>0.3</v>
      </c>
      <c r="K2035" s="14">
        <f>IFERROR(VLOOKUP(VENTAS[[#This Row],[Código del producto Vendido]],STOCK[],16,FALSE)*VENTAS[[#This Row],[Cantidad]]+VLOOKUP(VENTAS[[#This Row],[Código del producto Vendido]],STOCK[],19,FALSE)*VENTAS[[#This Row],[Cantidad]],VENTAS[[#This Row],[Total]])</f>
        <v>1.8</v>
      </c>
      <c r="L2035" s="14">
        <f>VENTAS[[#This Row],[Total]]-VENTAS[[#This Row],[Comisión 10%]]-VENTAS[[#This Row],[Costo SIN Comision]]</f>
        <v>0.9</v>
      </c>
      <c r="M2035" s="48"/>
      <c r="N2035" s="49" t="s">
        <v>4918</v>
      </c>
    </row>
    <row r="2036" s="4" customFormat="1" ht="20" hidden="1" customHeight="1" spans="1:14">
      <c r="A2036" s="46">
        <v>45595</v>
      </c>
      <c r="B2036" s="47"/>
      <c r="C2036" s="47"/>
      <c r="D2036" s="47" t="s">
        <v>4365</v>
      </c>
      <c r="E2036" s="47" t="s">
        <v>3441</v>
      </c>
      <c r="F2036" s="11" t="str">
        <f>IFERROR(VLOOKUP(VENTAS[[#This Row],[Código del producto Vendido]],STOCK[],5,FALSE),"-")</f>
        <v>Mono disfraz de montadora de motocicleta</v>
      </c>
      <c r="G2036" s="47">
        <v>1</v>
      </c>
      <c r="H2036" s="48">
        <v>20</v>
      </c>
      <c r="I2036" s="14">
        <f>VENTAS[[#This Row],[Cantidad]]*VENTAS[[#This Row],[Precio Venta]]</f>
        <v>20</v>
      </c>
      <c r="J2036" s="14">
        <f>IF(VENTAS[[#This Row],[Nombre del Gestor]]&gt;1,VENTAS[[#This Row],[Total]]*10%,0)</f>
        <v>2</v>
      </c>
      <c r="K2036" s="14">
        <f>IFERROR(VLOOKUP(VENTAS[[#This Row],[Código del producto Vendido]],STOCK[],16,FALSE)*VENTAS[[#This Row],[Cantidad]]+VLOOKUP(VENTAS[[#This Row],[Código del producto Vendido]],STOCK[],19,FALSE)*VENTAS[[#This Row],[Cantidad]],VENTAS[[#This Row],[Total]])</f>
        <v>0</v>
      </c>
      <c r="L2036" s="14">
        <f>VENTAS[[#This Row],[Total]]-VENTAS[[#This Row],[Comisión 10%]]-VENTAS[[#This Row],[Costo SIN Comision]]</f>
        <v>18</v>
      </c>
      <c r="M2036" s="48"/>
      <c r="N2036" s="49" t="s">
        <v>4919</v>
      </c>
    </row>
    <row r="2037" s="4" customFormat="1" ht="20" hidden="1" customHeight="1" spans="1:14">
      <c r="A2037" s="46">
        <v>45595</v>
      </c>
      <c r="B2037" s="47"/>
      <c r="C2037" s="47"/>
      <c r="D2037" s="47" t="s">
        <v>4365</v>
      </c>
      <c r="E2037" s="47" t="s">
        <v>3298</v>
      </c>
      <c r="F2037" s="11" t="str">
        <f>IFERROR(VLOOKUP(VENTAS[[#This Row],[Código del producto Vendido]],STOCK[],5,FALSE),"-")</f>
        <v>Gorro invisible para colocación de pelucas</v>
      </c>
      <c r="G2037" s="47">
        <v>1</v>
      </c>
      <c r="H2037" s="48">
        <v>3</v>
      </c>
      <c r="I2037" s="14">
        <f>VENTAS[[#This Row],[Cantidad]]*VENTAS[[#This Row],[Precio Venta]]</f>
        <v>3</v>
      </c>
      <c r="J2037" s="14">
        <f>IF(VENTAS[[#This Row],[Nombre del Gestor]]&gt;1,VENTAS[[#This Row],[Total]]*10%,0)</f>
        <v>0.3</v>
      </c>
      <c r="K2037" s="14">
        <f>IFERROR(VLOOKUP(VENTAS[[#This Row],[Código del producto Vendido]],STOCK[],16,FALSE)*VENTAS[[#This Row],[Cantidad]]+VLOOKUP(VENTAS[[#This Row],[Código del producto Vendido]],STOCK[],19,FALSE)*VENTAS[[#This Row],[Cantidad]],VENTAS[[#This Row],[Total]])</f>
        <v>0</v>
      </c>
      <c r="L2037" s="14">
        <f>VENTAS[[#This Row],[Total]]-VENTAS[[#This Row],[Comisión 10%]]-VENTAS[[#This Row],[Costo SIN Comision]]</f>
        <v>2.7</v>
      </c>
      <c r="M2037" s="48"/>
      <c r="N2037" s="49" t="s">
        <v>4920</v>
      </c>
    </row>
    <row r="2038" s="4" customFormat="1" ht="20" hidden="1" customHeight="1" spans="1:14">
      <c r="A2038" s="46">
        <v>45595</v>
      </c>
      <c r="B2038" s="47"/>
      <c r="C2038" s="47"/>
      <c r="D2038" s="47" t="s">
        <v>4266</v>
      </c>
      <c r="E2038" s="47" t="s">
        <v>3302</v>
      </c>
      <c r="F2038" s="11" t="str">
        <f>IFERROR(VLOOKUP(VENTAS[[#This Row],[Código del producto Vendido]],STOCK[],5,FALSE),"-")</f>
        <v>Velo de novia para disfraz</v>
      </c>
      <c r="G2038" s="47">
        <v>1</v>
      </c>
      <c r="H2038" s="48">
        <v>10</v>
      </c>
      <c r="I2038" s="14">
        <f>VENTAS[[#This Row],[Cantidad]]*VENTAS[[#This Row],[Precio Venta]]</f>
        <v>10</v>
      </c>
      <c r="J2038" s="14">
        <f>IF(VENTAS[[#This Row],[Nombre del Gestor]]&gt;1,VENTAS[[#This Row],[Total]]*10%,0)</f>
        <v>1</v>
      </c>
      <c r="K2038" s="14">
        <f>IFERROR(VLOOKUP(VENTAS[[#This Row],[Código del producto Vendido]],STOCK[],16,FALSE)*VENTAS[[#This Row],[Cantidad]]+VLOOKUP(VENTAS[[#This Row],[Código del producto Vendido]],STOCK[],19,FALSE)*VENTAS[[#This Row],[Cantidad]],VENTAS[[#This Row],[Total]])</f>
        <v>0</v>
      </c>
      <c r="L2038" s="14">
        <f>VENTAS[[#This Row],[Total]]-VENTAS[[#This Row],[Comisión 10%]]-VENTAS[[#This Row],[Costo SIN Comision]]</f>
        <v>9</v>
      </c>
      <c r="M2038" s="48"/>
      <c r="N2038" s="49" t="s">
        <v>4921</v>
      </c>
    </row>
    <row r="2039" s="4" customFormat="1" ht="20" hidden="1" customHeight="1" spans="1:14">
      <c r="A2039" s="46">
        <v>45595</v>
      </c>
      <c r="B2039" s="47"/>
      <c r="C2039" s="47"/>
      <c r="D2039" s="47"/>
      <c r="E2039" s="47" t="s">
        <v>2907</v>
      </c>
      <c r="F2039" s="11" t="str">
        <f>IFERROR(VLOOKUP(VENTAS[[#This Row],[Código del producto Vendido]],STOCK[],5,FALSE),"-")</f>
        <v>Sujetador confortable talla grande Color crema</v>
      </c>
      <c r="G2039" s="47">
        <v>1</v>
      </c>
      <c r="H2039" s="48">
        <v>15</v>
      </c>
      <c r="I2039" s="14">
        <f>VENTAS[[#This Row],[Cantidad]]*VENTAS[[#This Row],[Precio Venta]]</f>
        <v>15</v>
      </c>
      <c r="J2039" s="14">
        <f>IF(VENTAS[[#This Row],[Nombre del Gestor]]&gt;1,VENTAS[[#This Row],[Total]]*10%,0)</f>
        <v>0</v>
      </c>
      <c r="K2039" s="14">
        <f>IFERROR(VLOOKUP(VENTAS[[#This Row],[Código del producto Vendido]],STOCK[],16,FALSE)*VENTAS[[#This Row],[Cantidad]]+VLOOKUP(VENTAS[[#This Row],[Código del producto Vendido]],STOCK[],19,FALSE)*VENTAS[[#This Row],[Cantidad]],VENTAS[[#This Row],[Total]])</f>
        <v>6.04</v>
      </c>
      <c r="L2039" s="14">
        <f>VENTAS[[#This Row],[Total]]-VENTAS[[#This Row],[Comisión 10%]]-VENTAS[[#This Row],[Costo SIN Comision]]</f>
        <v>8.96</v>
      </c>
      <c r="M2039" s="48"/>
      <c r="N2039" s="49" t="s">
        <v>4922</v>
      </c>
    </row>
    <row r="2040" s="4" customFormat="1" ht="20" hidden="1" customHeight="1" spans="1:14">
      <c r="A2040" s="46">
        <v>45595</v>
      </c>
      <c r="B2040" s="47"/>
      <c r="C2040" s="47"/>
      <c r="D2040" s="47"/>
      <c r="E2040" s="47" t="s">
        <v>2862</v>
      </c>
      <c r="F2040" s="11" t="str">
        <f>IFERROR(VLOOKUP(VENTAS[[#This Row],[Código del producto Vendido]],STOCK[],5,FALSE),"-")</f>
        <v>Vestido elegante de línea larga color negro de hombro atado</v>
      </c>
      <c r="G2040" s="47">
        <v>1</v>
      </c>
      <c r="H2040" s="48">
        <v>30</v>
      </c>
      <c r="I2040" s="14">
        <f>VENTAS[[#This Row],[Cantidad]]*VENTAS[[#This Row],[Precio Venta]]</f>
        <v>30</v>
      </c>
      <c r="J2040" s="14">
        <f>IF(VENTAS[[#This Row],[Nombre del Gestor]]&gt;1,VENTAS[[#This Row],[Total]]*10%,0)</f>
        <v>0</v>
      </c>
      <c r="K2040" s="14">
        <f>IFERROR(VLOOKUP(VENTAS[[#This Row],[Código del producto Vendido]],STOCK[],16,FALSE)*VENTAS[[#This Row],[Cantidad]]+VLOOKUP(VENTAS[[#This Row],[Código del producto Vendido]],STOCK[],19,FALSE)*VENTAS[[#This Row],[Cantidad]],VENTAS[[#This Row],[Total]])</f>
        <v>13.49</v>
      </c>
      <c r="L2040" s="14">
        <f>VENTAS[[#This Row],[Total]]-VENTAS[[#This Row],[Comisión 10%]]-VENTAS[[#This Row],[Costo SIN Comision]]</f>
        <v>16.51</v>
      </c>
      <c r="M2040" s="48"/>
      <c r="N2040" s="49" t="s">
        <v>4923</v>
      </c>
    </row>
    <row r="2041" s="4" customFormat="1" ht="20" hidden="1" customHeight="1" spans="1:14">
      <c r="A2041" s="46">
        <v>45595</v>
      </c>
      <c r="B2041" s="47"/>
      <c r="C2041" s="47"/>
      <c r="D2041" s="47"/>
      <c r="E2041" s="47" t="s">
        <v>2911</v>
      </c>
      <c r="F2041" s="11" t="str">
        <f>IFERROR(VLOOKUP(VENTAS[[#This Row],[Código del producto Vendido]],STOCK[],5,FALSE),"-")</f>
        <v>Sujetador confortable talla grande Color negro</v>
      </c>
      <c r="G2041" s="47">
        <v>1</v>
      </c>
      <c r="H2041" s="48">
        <v>15</v>
      </c>
      <c r="I2041" s="14">
        <f>VENTAS[[#This Row],[Cantidad]]*VENTAS[[#This Row],[Precio Venta]]</f>
        <v>15</v>
      </c>
      <c r="J2041" s="14">
        <f>IF(VENTAS[[#This Row],[Nombre del Gestor]]&gt;1,VENTAS[[#This Row],[Total]]*10%,0)</f>
        <v>0</v>
      </c>
      <c r="K2041" s="14">
        <f>IFERROR(VLOOKUP(VENTAS[[#This Row],[Código del producto Vendido]],STOCK[],16,FALSE)*VENTAS[[#This Row],[Cantidad]]+VLOOKUP(VENTAS[[#This Row],[Código del producto Vendido]],STOCK[],19,FALSE)*VENTAS[[#This Row],[Cantidad]],VENTAS[[#This Row],[Total]])</f>
        <v>5.94</v>
      </c>
      <c r="L2041" s="14">
        <f>VENTAS[[#This Row],[Total]]-VENTAS[[#This Row],[Comisión 10%]]-VENTAS[[#This Row],[Costo SIN Comision]]</f>
        <v>9.06</v>
      </c>
      <c r="M2041" s="48"/>
      <c r="N2041" s="49" t="s">
        <v>4924</v>
      </c>
    </row>
    <row r="2042" s="4" customFormat="1" ht="20" hidden="1" customHeight="1" spans="1:14">
      <c r="A2042" s="46">
        <v>45595</v>
      </c>
      <c r="B2042" s="47"/>
      <c r="C2042" s="47"/>
      <c r="D2042" s="47" t="s">
        <v>4581</v>
      </c>
      <c r="E2042" s="47" t="s">
        <v>2863</v>
      </c>
      <c r="F2042" s="11" t="str">
        <f>IFERROR(VLOOKUP(VENTAS[[#This Row],[Código del producto Vendido]],STOCK[],5,FALSE),"-")</f>
        <v>Vestido de espalda descubierta de color sólido y tirantes de espagueti</v>
      </c>
      <c r="G2042" s="47">
        <v>1</v>
      </c>
      <c r="H2042" s="48">
        <v>25</v>
      </c>
      <c r="I2042" s="14">
        <f>VENTAS[[#This Row],[Cantidad]]*VENTAS[[#This Row],[Precio Venta]]</f>
        <v>25</v>
      </c>
      <c r="J2042" s="14">
        <f>IF(VENTAS[[#This Row],[Nombre del Gestor]]&gt;1,VENTAS[[#This Row],[Total]]*10%,0)</f>
        <v>2.5</v>
      </c>
      <c r="K2042" s="14">
        <f>IFERROR(VLOOKUP(VENTAS[[#This Row],[Código del producto Vendido]],STOCK[],16,FALSE)*VENTAS[[#This Row],[Cantidad]]+VLOOKUP(VENTAS[[#This Row],[Código del producto Vendido]],STOCK[],19,FALSE)*VENTAS[[#This Row],[Cantidad]],VENTAS[[#This Row],[Total]])</f>
        <v>11.98</v>
      </c>
      <c r="L2042" s="14">
        <f>VENTAS[[#This Row],[Total]]-VENTAS[[#This Row],[Comisión 10%]]-VENTAS[[#This Row],[Costo SIN Comision]]</f>
        <v>10.52</v>
      </c>
      <c r="M2042" s="48"/>
      <c r="N2042" s="49" t="s">
        <v>4925</v>
      </c>
    </row>
    <row r="2043" s="4" customFormat="1" ht="20" hidden="1" customHeight="1" spans="1:14">
      <c r="A2043" s="46">
        <v>45595</v>
      </c>
      <c r="B2043" s="47"/>
      <c r="C2043" s="47"/>
      <c r="D2043" s="47" t="s">
        <v>4926</v>
      </c>
      <c r="E2043" s="47" t="s">
        <v>3354</v>
      </c>
      <c r="F2043" s="11" t="str">
        <f>IFERROR(VLOOKUP(VENTAS[[#This Row],[Código del producto Vendido]],STOCK[],5,FALSE),"-")</f>
        <v>Disfraz de Diosa griega color negro (vestido y cinturón)</v>
      </c>
      <c r="G2043" s="47">
        <v>1</v>
      </c>
      <c r="H2043" s="48">
        <v>25</v>
      </c>
      <c r="I2043" s="14">
        <f>VENTAS[[#This Row],[Cantidad]]*VENTAS[[#This Row],[Precio Venta]]</f>
        <v>25</v>
      </c>
      <c r="J2043" s="14">
        <f>IF(VENTAS[[#This Row],[Nombre del Gestor]]&gt;1,VENTAS[[#This Row],[Total]]*10%,0)</f>
        <v>2.5</v>
      </c>
      <c r="K2043" s="14">
        <f>IFERROR(VLOOKUP(VENTAS[[#This Row],[Código del producto Vendido]],STOCK[],16,FALSE)*VENTAS[[#This Row],[Cantidad]]+VLOOKUP(VENTAS[[#This Row],[Código del producto Vendido]],STOCK[],19,FALSE)*VENTAS[[#This Row],[Cantidad]],VENTAS[[#This Row],[Total]])</f>
        <v>0</v>
      </c>
      <c r="L2043" s="14">
        <f>VENTAS[[#This Row],[Total]]-VENTAS[[#This Row],[Comisión 10%]]-VENTAS[[#This Row],[Costo SIN Comision]]</f>
        <v>22.5</v>
      </c>
      <c r="M2043" s="48"/>
      <c r="N2043" s="49" t="s">
        <v>4927</v>
      </c>
    </row>
    <row r="2044" s="4" customFormat="1" ht="20" hidden="1" customHeight="1" spans="1:14">
      <c r="A2044" s="46">
        <v>45595</v>
      </c>
      <c r="B2044" s="47"/>
      <c r="C2044" s="47"/>
      <c r="D2044" s="47" t="s">
        <v>4926</v>
      </c>
      <c r="E2044" s="47" t="s">
        <v>3348</v>
      </c>
      <c r="F2044" s="11" t="str">
        <f>IFERROR(VLOOKUP(VENTAS[[#This Row],[Código del producto Vendido]],STOCK[],5,FALSE),"-")</f>
        <v>Disfraz de diosa egipcia con mangas doradas y banda para la cintura</v>
      </c>
      <c r="G2044" s="47">
        <v>1</v>
      </c>
      <c r="H2044" s="48">
        <v>25</v>
      </c>
      <c r="I2044" s="14">
        <f>VENTAS[[#This Row],[Cantidad]]*VENTAS[[#This Row],[Precio Venta]]</f>
        <v>25</v>
      </c>
      <c r="J2044" s="14">
        <f>IF(VENTAS[[#This Row],[Nombre del Gestor]]&gt;1,VENTAS[[#This Row],[Total]]*10%,0)</f>
        <v>2.5</v>
      </c>
      <c r="K2044" s="14">
        <f>IFERROR(VLOOKUP(VENTAS[[#This Row],[Código del producto Vendido]],STOCK[],16,FALSE)*VENTAS[[#This Row],[Cantidad]]+VLOOKUP(VENTAS[[#This Row],[Código del producto Vendido]],STOCK[],19,FALSE)*VENTAS[[#This Row],[Cantidad]],VENTAS[[#This Row],[Total]])</f>
        <v>0</v>
      </c>
      <c r="L2044" s="14">
        <f>VENTAS[[#This Row],[Total]]-VENTAS[[#This Row],[Comisión 10%]]-VENTAS[[#This Row],[Costo SIN Comision]]</f>
        <v>22.5</v>
      </c>
      <c r="M2044" s="48"/>
      <c r="N2044" s="49" t="s">
        <v>4928</v>
      </c>
    </row>
    <row r="2045" s="4" customFormat="1" ht="20" hidden="1" customHeight="1" spans="1:14">
      <c r="A2045" s="46">
        <v>45595</v>
      </c>
      <c r="B2045" s="47"/>
      <c r="C2045" s="47"/>
      <c r="D2045" s="47" t="s">
        <v>4272</v>
      </c>
      <c r="E2045" s="47" t="s">
        <v>3388</v>
      </c>
      <c r="F2045" s="45" t="str">
        <f>IFERROR(VLOOKUP(VENTAS[[#This Row],[Código del producto Vendido]],STOCK[],5,FALSE),"-")</f>
        <v>Máscara completa de payaso</v>
      </c>
      <c r="G2045" s="47">
        <v>1</v>
      </c>
      <c r="H2045" s="48">
        <v>20</v>
      </c>
      <c r="I2045" s="14">
        <f>VENTAS[[#This Row],[Cantidad]]*VENTAS[[#This Row],[Precio Venta]]</f>
        <v>20</v>
      </c>
      <c r="J2045" s="14">
        <f>IF(VENTAS[[#This Row],[Nombre del Gestor]]&gt;1,VENTAS[[#This Row],[Total]]*10%,0)</f>
        <v>2</v>
      </c>
      <c r="K2045" s="14">
        <f>IFERROR(VLOOKUP(VENTAS[[#This Row],[Código del producto Vendido]],STOCK[],16,FALSE)*VENTAS[[#This Row],[Cantidad]]+VLOOKUP(VENTAS[[#This Row],[Código del producto Vendido]],STOCK[],19,FALSE)*VENTAS[[#This Row],[Cantidad]],VENTAS[[#This Row],[Total]])</f>
        <v>0</v>
      </c>
      <c r="L2045" s="14">
        <f>VENTAS[[#This Row],[Total]]-VENTAS[[#This Row],[Comisión 10%]]-VENTAS[[#This Row],[Costo SIN Comision]]</f>
        <v>18</v>
      </c>
      <c r="M2045" s="48"/>
      <c r="N2045" s="49" t="s">
        <v>4929</v>
      </c>
    </row>
    <row r="2046" s="4" customFormat="1" ht="20" hidden="1" customHeight="1" spans="1:14">
      <c r="A2046" s="46">
        <v>45595</v>
      </c>
      <c r="B2046" s="47"/>
      <c r="C2046" s="47"/>
      <c r="D2046" s="47" t="s">
        <v>4581</v>
      </c>
      <c r="E2046" s="47" t="s">
        <v>3348</v>
      </c>
      <c r="F2046" s="11" t="str">
        <f>IFERROR(VLOOKUP(VENTAS[[#This Row],[Código del producto Vendido]],STOCK[],5,FALSE),"-")</f>
        <v>Disfraz de diosa egipcia con mangas doradas y banda para la cintura</v>
      </c>
      <c r="G2046" s="47">
        <v>1</v>
      </c>
      <c r="H2046" s="48">
        <v>25</v>
      </c>
      <c r="I2046" s="14">
        <f>VENTAS[[#This Row],[Cantidad]]*VENTAS[[#This Row],[Precio Venta]]</f>
        <v>25</v>
      </c>
      <c r="J2046" s="14">
        <f>IF(VENTAS[[#This Row],[Nombre del Gestor]]&gt;1,VENTAS[[#This Row],[Total]]*10%,0)</f>
        <v>2.5</v>
      </c>
      <c r="K2046" s="14">
        <f>IFERROR(VLOOKUP(VENTAS[[#This Row],[Código del producto Vendido]],STOCK[],16,FALSE)*VENTAS[[#This Row],[Cantidad]]+VLOOKUP(VENTAS[[#This Row],[Código del producto Vendido]],STOCK[],19,FALSE)*VENTAS[[#This Row],[Cantidad]],VENTAS[[#This Row],[Total]])</f>
        <v>0</v>
      </c>
      <c r="L2046" s="14">
        <f>VENTAS[[#This Row],[Total]]-VENTAS[[#This Row],[Comisión 10%]]-VENTAS[[#This Row],[Costo SIN Comision]]</f>
        <v>22.5</v>
      </c>
      <c r="M2046" s="48"/>
      <c r="N2046" s="49" t="s">
        <v>4930</v>
      </c>
    </row>
    <row r="2047" s="4" customFormat="1" ht="20" hidden="1" customHeight="1" spans="1:14">
      <c r="A2047" s="46">
        <v>45595</v>
      </c>
      <c r="B2047" s="47"/>
      <c r="C2047" s="47"/>
      <c r="D2047" s="47" t="s">
        <v>4581</v>
      </c>
      <c r="E2047" s="47" t="s">
        <v>3354</v>
      </c>
      <c r="F2047" s="11" t="str">
        <f>IFERROR(VLOOKUP(VENTAS[[#This Row],[Código del producto Vendido]],STOCK[],5,FALSE),"-")</f>
        <v>Disfraz de Diosa griega color negro (vestido y cinturón)</v>
      </c>
      <c r="G2047" s="47">
        <v>1</v>
      </c>
      <c r="H2047" s="48">
        <v>25</v>
      </c>
      <c r="I2047" s="14">
        <f>VENTAS[[#This Row],[Cantidad]]*VENTAS[[#This Row],[Precio Venta]]</f>
        <v>25</v>
      </c>
      <c r="J2047" s="14">
        <f>IF(VENTAS[[#This Row],[Nombre del Gestor]]&gt;1,VENTAS[[#This Row],[Total]]*10%,0)</f>
        <v>2.5</v>
      </c>
      <c r="K2047" s="14">
        <f>IFERROR(VLOOKUP(VENTAS[[#This Row],[Código del producto Vendido]],STOCK[],16,FALSE)*VENTAS[[#This Row],[Cantidad]]+VLOOKUP(VENTAS[[#This Row],[Código del producto Vendido]],STOCK[],19,FALSE)*VENTAS[[#This Row],[Cantidad]],VENTAS[[#This Row],[Total]])</f>
        <v>0</v>
      </c>
      <c r="L2047" s="14">
        <f>VENTAS[[#This Row],[Total]]-VENTAS[[#This Row],[Comisión 10%]]-VENTAS[[#This Row],[Costo SIN Comision]]</f>
        <v>22.5</v>
      </c>
      <c r="M2047" s="48"/>
      <c r="N2047" s="49" t="s">
        <v>4931</v>
      </c>
    </row>
    <row r="2048" s="4" customFormat="1" ht="20" hidden="1" customHeight="1" spans="1:14">
      <c r="A2048" s="46">
        <v>45595</v>
      </c>
      <c r="B2048" s="47"/>
      <c r="C2048" s="47"/>
      <c r="D2048" s="47" t="s">
        <v>4932</v>
      </c>
      <c r="E2048" s="47" t="s">
        <v>3478</v>
      </c>
      <c r="F2048" s="11" t="str">
        <f>IFERROR(VLOOKUP(VENTAS[[#This Row],[Código del producto Vendido]],STOCK[],5,FALSE),"-")</f>
        <v>Peluca negra con flequillo</v>
      </c>
      <c r="G2048" s="47">
        <v>1</v>
      </c>
      <c r="H2048" s="48">
        <v>20</v>
      </c>
      <c r="I2048" s="14">
        <f>VENTAS[[#This Row],[Cantidad]]*VENTAS[[#This Row],[Precio Venta]]</f>
        <v>20</v>
      </c>
      <c r="J2048" s="14">
        <f>IF(VENTAS[[#This Row],[Nombre del Gestor]]&gt;1,VENTAS[[#This Row],[Total]]*10%,0)</f>
        <v>2</v>
      </c>
      <c r="K2048" s="14">
        <f>IFERROR(VLOOKUP(VENTAS[[#This Row],[Código del producto Vendido]],STOCK[],16,FALSE)*VENTAS[[#This Row],[Cantidad]]+VLOOKUP(VENTAS[[#This Row],[Código del producto Vendido]],STOCK[],19,FALSE)*VENTAS[[#This Row],[Cantidad]],VENTAS[[#This Row],[Total]])</f>
        <v>0</v>
      </c>
      <c r="L2048" s="14">
        <f>VENTAS[[#This Row],[Total]]-VENTAS[[#This Row],[Comisión 10%]]-VENTAS[[#This Row],[Costo SIN Comision]]</f>
        <v>18</v>
      </c>
      <c r="M2048" s="48"/>
      <c r="N2048" s="49" t="s">
        <v>4933</v>
      </c>
    </row>
    <row r="2049" s="4" customFormat="1" ht="20" hidden="1" customHeight="1" spans="1:14">
      <c r="A2049" s="46">
        <v>45595</v>
      </c>
      <c r="B2049" s="47"/>
      <c r="C2049" s="47"/>
      <c r="D2049" s="47" t="s">
        <v>4270</v>
      </c>
      <c r="E2049" s="47" t="s">
        <v>2869</v>
      </c>
      <c r="F2049" s="11" t="str">
        <f>IFERROR(VLOOKUP(VENTAS[[#This Row],[Código del producto Vendido]],STOCK[],5,FALSE),"-")</f>
        <v>Blusa corta de mangas abombadas de lazos delanteros color rojo</v>
      </c>
      <c r="G2049" s="47">
        <v>1</v>
      </c>
      <c r="H2049" s="48">
        <v>18</v>
      </c>
      <c r="I2049" s="14">
        <f>VENTAS[[#This Row],[Cantidad]]*VENTAS[[#This Row],[Precio Venta]]</f>
        <v>18</v>
      </c>
      <c r="J2049" s="14">
        <f>IF(VENTAS[[#This Row],[Nombre del Gestor]]&gt;1,VENTAS[[#This Row],[Total]]*10%,0)</f>
        <v>1.8</v>
      </c>
      <c r="K2049" s="14">
        <f>IFERROR(VLOOKUP(VENTAS[[#This Row],[Código del producto Vendido]],STOCK[],16,FALSE)*VENTAS[[#This Row],[Cantidad]]+VLOOKUP(VENTAS[[#This Row],[Código del producto Vendido]],STOCK[],19,FALSE)*VENTAS[[#This Row],[Cantidad]],VENTAS[[#This Row],[Total]])</f>
        <v>10.17</v>
      </c>
      <c r="L2049" s="14">
        <f>VENTAS[[#This Row],[Total]]-VENTAS[[#This Row],[Comisión 10%]]-VENTAS[[#This Row],[Costo SIN Comision]]</f>
        <v>6.03</v>
      </c>
      <c r="M2049" s="48"/>
      <c r="N2049" s="49" t="s">
        <v>4934</v>
      </c>
    </row>
    <row r="2050" s="4" customFormat="1" ht="20" hidden="1" customHeight="1" spans="1:14">
      <c r="A2050" s="46">
        <v>45595</v>
      </c>
      <c r="B2050" s="47"/>
      <c r="C2050" s="47"/>
      <c r="D2050" s="47" t="s">
        <v>4935</v>
      </c>
      <c r="E2050" s="47" t="s">
        <v>3296</v>
      </c>
      <c r="F2050" s="11" t="str">
        <f>IFERROR(VLOOKUP(VENTAS[[#This Row],[Código del producto Vendido]],STOCK[],5,FALSE),"-")</f>
        <v>Guantes negros traslúcidos </v>
      </c>
      <c r="G2050" s="47">
        <v>2</v>
      </c>
      <c r="H2050" s="48">
        <v>5</v>
      </c>
      <c r="I2050" s="14">
        <f>VENTAS[[#This Row],[Cantidad]]*VENTAS[[#This Row],[Precio Venta]]</f>
        <v>10</v>
      </c>
      <c r="J2050" s="14">
        <f>IF(VENTAS[[#This Row],[Nombre del Gestor]]&gt;1,VENTAS[[#This Row],[Total]]*10%,0)</f>
        <v>1</v>
      </c>
      <c r="K2050" s="14">
        <f>IFERROR(VLOOKUP(VENTAS[[#This Row],[Código del producto Vendido]],STOCK[],16,FALSE)*VENTAS[[#This Row],[Cantidad]]+VLOOKUP(VENTAS[[#This Row],[Código del producto Vendido]],STOCK[],19,FALSE)*VENTAS[[#This Row],[Cantidad]],VENTAS[[#This Row],[Total]])</f>
        <v>0</v>
      </c>
      <c r="L2050" s="14">
        <f>VENTAS[[#This Row],[Total]]-VENTAS[[#This Row],[Comisión 10%]]-VENTAS[[#This Row],[Costo SIN Comision]]</f>
        <v>9</v>
      </c>
      <c r="M2050" s="48"/>
      <c r="N2050" s="49" t="s">
        <v>4936</v>
      </c>
    </row>
    <row r="2051" s="4" customFormat="1" ht="20" hidden="1" customHeight="1" spans="1:14">
      <c r="A2051" s="46">
        <v>45595</v>
      </c>
      <c r="B2051" s="47"/>
      <c r="C2051" s="47"/>
      <c r="D2051" s="47" t="s">
        <v>4649</v>
      </c>
      <c r="E2051" s="47" t="s">
        <v>3334</v>
      </c>
      <c r="F2051" s="11" t="str">
        <f>IFERROR(VLOOKUP(VENTAS[[#This Row],[Código del producto Vendido]],STOCK[],5,FALSE),"-")</f>
        <v>Diadema minimalista de diablito</v>
      </c>
      <c r="G2051" s="47">
        <v>1</v>
      </c>
      <c r="H2051" s="48">
        <v>5</v>
      </c>
      <c r="I2051" s="14">
        <f>VENTAS[[#This Row],[Cantidad]]*VENTAS[[#This Row],[Precio Venta]]</f>
        <v>5</v>
      </c>
      <c r="J2051" s="14">
        <f>IF(VENTAS[[#This Row],[Nombre del Gestor]]&gt;1,VENTAS[[#This Row],[Total]]*10%,0)</f>
        <v>0.5</v>
      </c>
      <c r="K2051" s="14">
        <f>IFERROR(VLOOKUP(VENTAS[[#This Row],[Código del producto Vendido]],STOCK[],16,FALSE)*VENTAS[[#This Row],[Cantidad]]+VLOOKUP(VENTAS[[#This Row],[Código del producto Vendido]],STOCK[],19,FALSE)*VENTAS[[#This Row],[Cantidad]],VENTAS[[#This Row],[Total]])</f>
        <v>0</v>
      </c>
      <c r="L2051" s="14">
        <f>VENTAS[[#This Row],[Total]]-VENTAS[[#This Row],[Comisión 10%]]-VENTAS[[#This Row],[Costo SIN Comision]]</f>
        <v>4.5</v>
      </c>
      <c r="M2051" s="48"/>
      <c r="N2051" s="49" t="s">
        <v>4937</v>
      </c>
    </row>
    <row r="2052" s="4" customFormat="1" ht="20" hidden="1" customHeight="1" spans="1:14">
      <c r="A2052" s="46">
        <v>45596</v>
      </c>
      <c r="B2052" s="47"/>
      <c r="C2052" s="47"/>
      <c r="D2052" s="47" t="s">
        <v>4300</v>
      </c>
      <c r="E2052" s="47" t="s">
        <v>3441</v>
      </c>
      <c r="F2052" s="11" t="str">
        <f>IFERROR(VLOOKUP(VENTAS[[#This Row],[Código del producto Vendido]],STOCK[],5,FALSE),"-")</f>
        <v>Mono disfraz de montadora de motocicleta</v>
      </c>
      <c r="G2052" s="47">
        <v>1</v>
      </c>
      <c r="H2052" s="48">
        <v>20</v>
      </c>
      <c r="I2052" s="14">
        <f>VENTAS[[#This Row],[Cantidad]]*VENTAS[[#This Row],[Precio Venta]]</f>
        <v>20</v>
      </c>
      <c r="J2052" s="14">
        <f>IF(VENTAS[[#This Row],[Nombre del Gestor]]&gt;1,VENTAS[[#This Row],[Total]]*10%,0)</f>
        <v>2</v>
      </c>
      <c r="K2052" s="14">
        <f>IFERROR(VLOOKUP(VENTAS[[#This Row],[Código del producto Vendido]],STOCK[],16,FALSE)*VENTAS[[#This Row],[Cantidad]]+VLOOKUP(VENTAS[[#This Row],[Código del producto Vendido]],STOCK[],19,FALSE)*VENTAS[[#This Row],[Cantidad]],VENTAS[[#This Row],[Total]])</f>
        <v>0</v>
      </c>
      <c r="L2052" s="14">
        <f>VENTAS[[#This Row],[Total]]-VENTAS[[#This Row],[Comisión 10%]]-VENTAS[[#This Row],[Costo SIN Comision]]</f>
        <v>18</v>
      </c>
      <c r="M2052" s="48"/>
      <c r="N2052" s="49" t="s">
        <v>4938</v>
      </c>
    </row>
    <row r="2053" s="4" customFormat="1" ht="20" hidden="1" customHeight="1" spans="1:14">
      <c r="A2053" s="46">
        <v>45596</v>
      </c>
      <c r="B2053" s="47"/>
      <c r="C2053" s="47"/>
      <c r="D2053" s="47" t="s">
        <v>4266</v>
      </c>
      <c r="E2053" s="47" t="s">
        <v>2906</v>
      </c>
      <c r="F2053" s="11" t="str">
        <f>IFERROR(VLOOKUP(VENTAS[[#This Row],[Código del producto Vendido]],STOCK[],5,FALSE),"-")</f>
        <v>Sujetador de gran confort antideslizante sin tirantes color crema</v>
      </c>
      <c r="G2053" s="47">
        <v>1</v>
      </c>
      <c r="H2053" s="48">
        <v>15</v>
      </c>
      <c r="I2053" s="14">
        <f>VENTAS[[#This Row],[Cantidad]]*VENTAS[[#This Row],[Precio Venta]]</f>
        <v>15</v>
      </c>
      <c r="J2053" s="14">
        <f>IF(VENTAS[[#This Row],[Nombre del Gestor]]&gt;1,VENTAS[[#This Row],[Total]]*10%,0)</f>
        <v>1.5</v>
      </c>
      <c r="K2053" s="14">
        <f>IFERROR(VLOOKUP(VENTAS[[#This Row],[Código del producto Vendido]],STOCK[],16,FALSE)*VENTAS[[#This Row],[Cantidad]]+VLOOKUP(VENTAS[[#This Row],[Código del producto Vendido]],STOCK[],19,FALSE)*VENTAS[[#This Row],[Cantidad]],VENTAS[[#This Row],[Total]])</f>
        <v>8.15</v>
      </c>
      <c r="L2053" s="14">
        <f>VENTAS[[#This Row],[Total]]-VENTAS[[#This Row],[Comisión 10%]]-VENTAS[[#This Row],[Costo SIN Comision]]</f>
        <v>5.35</v>
      </c>
      <c r="M2053" s="48"/>
      <c r="N2053" s="49" t="s">
        <v>4939</v>
      </c>
    </row>
    <row r="2054" s="4" customFormat="1" ht="20" hidden="1" customHeight="1" spans="1:14">
      <c r="A2054" s="46">
        <v>45596</v>
      </c>
      <c r="B2054" s="47"/>
      <c r="C2054" s="47"/>
      <c r="D2054" s="47" t="s">
        <v>4427</v>
      </c>
      <c r="E2054" s="47" t="s">
        <v>3472</v>
      </c>
      <c r="F2054" s="11" t="str">
        <f>IFERROR(VLOOKUP(VENTAS[[#This Row],[Código del producto Vendido]],STOCK[],5,FALSE),"-")</f>
        <v>Máscara completa de Miles Morales</v>
      </c>
      <c r="G2054" s="47">
        <v>1</v>
      </c>
      <c r="H2054" s="48">
        <v>10</v>
      </c>
      <c r="I2054" s="14">
        <f>VENTAS[[#This Row],[Cantidad]]*VENTAS[[#This Row],[Precio Venta]]</f>
        <v>10</v>
      </c>
      <c r="J2054" s="14">
        <f>IF(VENTAS[[#This Row],[Nombre del Gestor]]&gt;1,VENTAS[[#This Row],[Total]]*10%,0)</f>
        <v>1</v>
      </c>
      <c r="K2054" s="14">
        <f>IFERROR(VLOOKUP(VENTAS[[#This Row],[Código del producto Vendido]],STOCK[],16,FALSE)*VENTAS[[#This Row],[Cantidad]]+VLOOKUP(VENTAS[[#This Row],[Código del producto Vendido]],STOCK[],19,FALSE)*VENTAS[[#This Row],[Cantidad]],VENTAS[[#This Row],[Total]])</f>
        <v>0</v>
      </c>
      <c r="L2054" s="14">
        <f>VENTAS[[#This Row],[Total]]-VENTAS[[#This Row],[Comisión 10%]]-VENTAS[[#This Row],[Costo SIN Comision]]</f>
        <v>9</v>
      </c>
      <c r="M2054" s="48"/>
      <c r="N2054" s="49" t="s">
        <v>4940</v>
      </c>
    </row>
    <row r="2055" s="4" customFormat="1" ht="20" hidden="1" customHeight="1" spans="1:14">
      <c r="A2055" s="46">
        <v>45596</v>
      </c>
      <c r="B2055" s="47"/>
      <c r="C2055" s="47"/>
      <c r="D2055" s="47" t="s">
        <v>4272</v>
      </c>
      <c r="E2055" s="47" t="s">
        <v>3318</v>
      </c>
      <c r="F2055" s="11" t="str">
        <f>IFERROR(VLOOKUP(VENTAS[[#This Row],[Código del producto Vendido]],STOCK[],5,FALSE),"-")</f>
        <v>Conjunto de disfraz con top, tirantes, diadema y shorts</v>
      </c>
      <c r="G2055" s="47">
        <v>1</v>
      </c>
      <c r="H2055" s="48">
        <v>17.5</v>
      </c>
      <c r="I2055" s="14">
        <f>VENTAS[[#This Row],[Cantidad]]*VENTAS[[#This Row],[Precio Venta]]</f>
        <v>17.5</v>
      </c>
      <c r="J2055" s="14">
        <f>IF(VENTAS[[#This Row],[Nombre del Gestor]]&gt;1,VENTAS[[#This Row],[Total]]*10%,0)</f>
        <v>1.75</v>
      </c>
      <c r="K2055" s="14">
        <f>IFERROR(VLOOKUP(VENTAS[[#This Row],[Código del producto Vendido]],STOCK[],16,FALSE)*VENTAS[[#This Row],[Cantidad]]+VLOOKUP(VENTAS[[#This Row],[Código del producto Vendido]],STOCK[],19,FALSE)*VENTAS[[#This Row],[Cantidad]],VENTAS[[#This Row],[Total]])</f>
        <v>0</v>
      </c>
      <c r="L2055" s="14">
        <f>VENTAS[[#This Row],[Total]]-VENTAS[[#This Row],[Comisión 10%]]-VENTAS[[#This Row],[Costo SIN Comision]]</f>
        <v>15.75</v>
      </c>
      <c r="M2055" s="48"/>
      <c r="N2055" s="49" t="s">
        <v>4941</v>
      </c>
    </row>
    <row r="2056" s="4" customFormat="1" ht="20" hidden="1" customHeight="1" spans="1:14">
      <c r="A2056" s="46">
        <v>45596</v>
      </c>
      <c r="B2056" s="47"/>
      <c r="C2056" s="47"/>
      <c r="D2056" s="47" t="s">
        <v>4581</v>
      </c>
      <c r="E2056" s="47" t="s">
        <v>3459</v>
      </c>
      <c r="F2056" s="11" t="str">
        <f>IFERROR(VLOOKUP(VENTAS[[#This Row],[Código del producto Vendido]],STOCK[],5,FALSE),"-")</f>
        <v>Diadema rosas rojas</v>
      </c>
      <c r="G2056" s="47">
        <v>1</v>
      </c>
      <c r="H2056" s="48">
        <v>5</v>
      </c>
      <c r="I2056" s="14">
        <f>VENTAS[[#This Row],[Cantidad]]*VENTAS[[#This Row],[Precio Venta]]</f>
        <v>5</v>
      </c>
      <c r="J2056" s="14">
        <f>IF(VENTAS[[#This Row],[Nombre del Gestor]]&gt;1,VENTAS[[#This Row],[Total]]*10%,0)</f>
        <v>0.5</v>
      </c>
      <c r="K2056" s="14">
        <f>IFERROR(VLOOKUP(VENTAS[[#This Row],[Código del producto Vendido]],STOCK[],16,FALSE)*VENTAS[[#This Row],[Cantidad]]+VLOOKUP(VENTAS[[#This Row],[Código del producto Vendido]],STOCK[],19,FALSE)*VENTAS[[#This Row],[Cantidad]],VENTAS[[#This Row],[Total]])</f>
        <v>0</v>
      </c>
      <c r="L2056" s="14">
        <f>VENTAS[[#This Row],[Total]]-VENTAS[[#This Row],[Comisión 10%]]-VENTAS[[#This Row],[Costo SIN Comision]]</f>
        <v>4.5</v>
      </c>
      <c r="M2056" s="48"/>
      <c r="N2056" s="49" t="s">
        <v>4942</v>
      </c>
    </row>
    <row r="2057" s="4" customFormat="1" ht="20" hidden="1" customHeight="1" spans="1:14">
      <c r="A2057" s="46">
        <v>45596</v>
      </c>
      <c r="B2057" s="47"/>
      <c r="C2057" s="47"/>
      <c r="D2057" s="47"/>
      <c r="E2057" s="47" t="s">
        <v>3323</v>
      </c>
      <c r="F2057" s="11" t="str">
        <f>IFERROR(VLOOKUP(VENTAS[[#This Row],[Código del producto Vendido]],STOCK[],5,FALSE),"-")</f>
        <v>Máscara de Bathman</v>
      </c>
      <c r="G2057" s="47">
        <v>1</v>
      </c>
      <c r="H2057" s="48">
        <v>6</v>
      </c>
      <c r="I2057" s="14">
        <f>VENTAS[[#This Row],[Cantidad]]*VENTAS[[#This Row],[Precio Venta]]</f>
        <v>6</v>
      </c>
      <c r="J2057" s="14">
        <f>IF(VENTAS[[#This Row],[Nombre del Gestor]]&gt;1,VENTAS[[#This Row],[Total]]*10%,0)</f>
        <v>0</v>
      </c>
      <c r="K2057" s="14">
        <f>IFERROR(VLOOKUP(VENTAS[[#This Row],[Código del producto Vendido]],STOCK[],16,FALSE)*VENTAS[[#This Row],[Cantidad]]+VLOOKUP(VENTAS[[#This Row],[Código del producto Vendido]],STOCK[],19,FALSE)*VENTAS[[#This Row],[Cantidad]],VENTAS[[#This Row],[Total]])</f>
        <v>0</v>
      </c>
      <c r="L2057" s="14">
        <f>VENTAS[[#This Row],[Total]]-VENTAS[[#This Row],[Comisión 10%]]-VENTAS[[#This Row],[Costo SIN Comision]]</f>
        <v>6</v>
      </c>
      <c r="M2057" s="48"/>
      <c r="N2057" s="49" t="s">
        <v>4943</v>
      </c>
    </row>
    <row r="2058" s="4" customFormat="1" ht="20" hidden="1" customHeight="1" spans="1:14">
      <c r="A2058" s="46">
        <v>45596</v>
      </c>
      <c r="B2058" s="47"/>
      <c r="C2058" s="47"/>
      <c r="D2058" s="47"/>
      <c r="E2058" s="47" t="s">
        <v>3465</v>
      </c>
      <c r="F2058" s="11" t="str">
        <f>IFERROR(VLOOKUP(VENTAS[[#This Row],[Código del producto Vendido]],STOCK[],5,FALSE),"-")</f>
        <v>Diadema de Angel Negro</v>
      </c>
      <c r="G2058" s="47">
        <v>1</v>
      </c>
      <c r="H2058" s="48">
        <v>8</v>
      </c>
      <c r="I2058" s="14">
        <f>VENTAS[[#This Row],[Cantidad]]*VENTAS[[#This Row],[Precio Venta]]</f>
        <v>8</v>
      </c>
      <c r="J2058" s="14">
        <f>IF(VENTAS[[#This Row],[Nombre del Gestor]]&gt;1,VENTAS[[#This Row],[Total]]*10%,0)</f>
        <v>0</v>
      </c>
      <c r="K2058" s="14">
        <f>IFERROR(VLOOKUP(VENTAS[[#This Row],[Código del producto Vendido]],STOCK[],16,FALSE)*VENTAS[[#This Row],[Cantidad]]+VLOOKUP(VENTAS[[#This Row],[Código del producto Vendido]],STOCK[],19,FALSE)*VENTAS[[#This Row],[Cantidad]],VENTAS[[#This Row],[Total]])</f>
        <v>17</v>
      </c>
      <c r="L2058" s="14">
        <f>VENTAS[[#This Row],[Total]]-VENTAS[[#This Row],[Comisión 10%]]-VENTAS[[#This Row],[Costo SIN Comision]]</f>
        <v>-9</v>
      </c>
      <c r="M2058" s="48"/>
      <c r="N2058" s="49" t="s">
        <v>4944</v>
      </c>
    </row>
    <row r="2059" s="4" customFormat="1" ht="20" hidden="1" customHeight="1" spans="1:14">
      <c r="A2059" s="46">
        <v>45596</v>
      </c>
      <c r="B2059" s="47"/>
      <c r="C2059" s="47"/>
      <c r="D2059" s="47" t="s">
        <v>4076</v>
      </c>
      <c r="E2059" s="47" t="s">
        <v>3447</v>
      </c>
      <c r="F2059" s="11" t="str">
        <f>IFERROR(VLOOKUP(VENTAS[[#This Row],[Código del producto Vendido]],STOCK[],5,FALSE),"-")</f>
        <v>Antifaz bordado</v>
      </c>
      <c r="G2059" s="47">
        <v>1</v>
      </c>
      <c r="H2059" s="48">
        <v>2</v>
      </c>
      <c r="I2059" s="14">
        <f>VENTAS[[#This Row],[Cantidad]]*VENTAS[[#This Row],[Precio Venta]]</f>
        <v>2</v>
      </c>
      <c r="J2059" s="14">
        <f>IF(VENTAS[[#This Row],[Nombre del Gestor]]&gt;1,VENTAS[[#This Row],[Total]]*10%,0)</f>
        <v>0.2</v>
      </c>
      <c r="K2059" s="14">
        <f>IFERROR(VLOOKUP(VENTAS[[#This Row],[Código del producto Vendido]],STOCK[],16,FALSE)*VENTAS[[#This Row],[Cantidad]]+VLOOKUP(VENTAS[[#This Row],[Código del producto Vendido]],STOCK[],19,FALSE)*VENTAS[[#This Row],[Cantidad]],VENTAS[[#This Row],[Total]])</f>
        <v>0</v>
      </c>
      <c r="L2059" s="14">
        <f>VENTAS[[#This Row],[Total]]-VENTAS[[#This Row],[Comisión 10%]]-VENTAS[[#This Row],[Costo SIN Comision]]</f>
        <v>1.8</v>
      </c>
      <c r="M2059" s="48"/>
      <c r="N2059" s="49" t="s">
        <v>4945</v>
      </c>
    </row>
    <row r="2060" s="4" customFormat="1" ht="20" hidden="1" customHeight="1" spans="1:14">
      <c r="A2060" s="46">
        <v>45596</v>
      </c>
      <c r="B2060" s="47"/>
      <c r="C2060" s="47"/>
      <c r="D2060" s="47" t="s">
        <v>4581</v>
      </c>
      <c r="E2060" s="47" t="s">
        <v>3447</v>
      </c>
      <c r="F2060" s="11" t="str">
        <f>IFERROR(VLOOKUP(VENTAS[[#This Row],[Código del producto Vendido]],STOCK[],5,FALSE),"-")</f>
        <v>Antifaz bordado</v>
      </c>
      <c r="G2060" s="47">
        <v>1</v>
      </c>
      <c r="H2060" s="48">
        <v>4</v>
      </c>
      <c r="I2060" s="14">
        <f>VENTAS[[#This Row],[Cantidad]]*VENTAS[[#This Row],[Precio Venta]]</f>
        <v>4</v>
      </c>
      <c r="J2060" s="14">
        <f>IF(VENTAS[[#This Row],[Nombre del Gestor]]&gt;1,VENTAS[[#This Row],[Total]]*10%,0)</f>
        <v>0.4</v>
      </c>
      <c r="K2060" s="14">
        <f>IFERROR(VLOOKUP(VENTAS[[#This Row],[Código del producto Vendido]],STOCK[],16,FALSE)*VENTAS[[#This Row],[Cantidad]]+VLOOKUP(VENTAS[[#This Row],[Código del producto Vendido]],STOCK[],19,FALSE)*VENTAS[[#This Row],[Cantidad]],VENTAS[[#This Row],[Total]])</f>
        <v>0</v>
      </c>
      <c r="L2060" s="14">
        <f>VENTAS[[#This Row],[Total]]-VENTAS[[#This Row],[Comisión 10%]]-VENTAS[[#This Row],[Costo SIN Comision]]</f>
        <v>3.6</v>
      </c>
      <c r="M2060" s="48"/>
      <c r="N2060" s="49" t="s">
        <v>4946</v>
      </c>
    </row>
    <row r="2061" s="4" customFormat="1" ht="20" hidden="1" customHeight="1" spans="1:14">
      <c r="A2061" s="46">
        <v>45596</v>
      </c>
      <c r="B2061" s="47"/>
      <c r="C2061" s="47"/>
      <c r="D2061" s="47"/>
      <c r="E2061" s="47" t="s">
        <v>3447</v>
      </c>
      <c r="F2061" s="11" t="str">
        <f>IFERROR(VLOOKUP(VENTAS[[#This Row],[Código del producto Vendido]],STOCK[],5,FALSE),"-")</f>
        <v>Antifaz bordado</v>
      </c>
      <c r="G2061" s="47">
        <v>1</v>
      </c>
      <c r="H2061" s="48">
        <v>4</v>
      </c>
      <c r="I2061" s="14">
        <f>VENTAS[[#This Row],[Cantidad]]*VENTAS[[#This Row],[Precio Venta]]</f>
        <v>4</v>
      </c>
      <c r="J2061" s="14">
        <f>IF(VENTAS[[#This Row],[Nombre del Gestor]]&gt;1,VENTAS[[#This Row],[Total]]*10%,0)</f>
        <v>0</v>
      </c>
      <c r="K2061" s="14">
        <f>IFERROR(VLOOKUP(VENTAS[[#This Row],[Código del producto Vendido]],STOCK[],16,FALSE)*VENTAS[[#This Row],[Cantidad]]+VLOOKUP(VENTAS[[#This Row],[Código del producto Vendido]],STOCK[],19,FALSE)*VENTAS[[#This Row],[Cantidad]],VENTAS[[#This Row],[Total]])</f>
        <v>0</v>
      </c>
      <c r="L2061" s="14">
        <f>VENTAS[[#This Row],[Total]]-VENTAS[[#This Row],[Comisión 10%]]-VENTAS[[#This Row],[Costo SIN Comision]]</f>
        <v>4</v>
      </c>
      <c r="M2061" s="48"/>
      <c r="N2061" s="49" t="s">
        <v>4947</v>
      </c>
    </row>
    <row r="2062" s="4" customFormat="1" ht="20" hidden="1" customHeight="1" spans="1:14">
      <c r="A2062" s="46">
        <v>45596</v>
      </c>
      <c r="B2062" s="47"/>
      <c r="C2062" s="47"/>
      <c r="D2062" s="47"/>
      <c r="E2062" s="47" t="s">
        <v>3364</v>
      </c>
      <c r="F2062" s="11" t="str">
        <f>IFERROR(VLOOKUP(VENTAS[[#This Row],[Código del producto Vendido]],STOCK[],5,FALSE),"-")</f>
        <v>Antifaz de conejo sexy</v>
      </c>
      <c r="G2062" s="47">
        <v>1</v>
      </c>
      <c r="H2062" s="48">
        <v>8</v>
      </c>
      <c r="I2062" s="14">
        <f>VENTAS[[#This Row],[Cantidad]]*VENTAS[[#This Row],[Precio Venta]]</f>
        <v>8</v>
      </c>
      <c r="J2062" s="14">
        <f>IF(VENTAS[[#This Row],[Nombre del Gestor]]&gt;1,VENTAS[[#This Row],[Total]]*10%,0)</f>
        <v>0</v>
      </c>
      <c r="K2062" s="14">
        <f>IFERROR(VLOOKUP(VENTAS[[#This Row],[Código del producto Vendido]],STOCK[],16,FALSE)*VENTAS[[#This Row],[Cantidad]]+VLOOKUP(VENTAS[[#This Row],[Código del producto Vendido]],STOCK[],19,FALSE)*VENTAS[[#This Row],[Cantidad]],VENTAS[[#This Row],[Total]])</f>
        <v>0</v>
      </c>
      <c r="L2062" s="14">
        <f>VENTAS[[#This Row],[Total]]-VENTAS[[#This Row],[Comisión 10%]]-VENTAS[[#This Row],[Costo SIN Comision]]</f>
        <v>8</v>
      </c>
      <c r="M2062" s="48"/>
      <c r="N2062" s="49" t="s">
        <v>4948</v>
      </c>
    </row>
    <row r="2063" s="4" customFormat="1" ht="20" hidden="1" customHeight="1" spans="1:14">
      <c r="A2063" s="46">
        <v>45596</v>
      </c>
      <c r="B2063" s="47"/>
      <c r="C2063" s="47"/>
      <c r="D2063" s="47"/>
      <c r="E2063" s="47" t="s">
        <v>3290</v>
      </c>
      <c r="F2063" s="11" t="str">
        <f>IFERROR(VLOOKUP(VENTAS[[#This Row],[Código del producto Vendido]],STOCK[],5,FALSE),"-")</f>
        <v>Falda básica de tutú negra</v>
      </c>
      <c r="G2063" s="47">
        <v>1</v>
      </c>
      <c r="H2063" s="48">
        <v>13</v>
      </c>
      <c r="I2063" s="14">
        <f>VENTAS[[#This Row],[Cantidad]]*VENTAS[[#This Row],[Precio Venta]]</f>
        <v>13</v>
      </c>
      <c r="J2063" s="14">
        <f>IF(VENTAS[[#This Row],[Nombre del Gestor]]&gt;1,VENTAS[[#This Row],[Total]]*10%,0)</f>
        <v>0</v>
      </c>
      <c r="K2063" s="14">
        <f>IFERROR(VLOOKUP(VENTAS[[#This Row],[Código del producto Vendido]],STOCK[],16,FALSE)*VENTAS[[#This Row],[Cantidad]]+VLOOKUP(VENTAS[[#This Row],[Código del producto Vendido]],STOCK[],19,FALSE)*VENTAS[[#This Row],[Cantidad]],VENTAS[[#This Row],[Total]])</f>
        <v>0</v>
      </c>
      <c r="L2063" s="14">
        <f>VENTAS[[#This Row],[Total]]-VENTAS[[#This Row],[Comisión 10%]]-VENTAS[[#This Row],[Costo SIN Comision]]</f>
        <v>13</v>
      </c>
      <c r="M2063" s="48"/>
      <c r="N2063" s="49" t="s">
        <v>4949</v>
      </c>
    </row>
    <row r="2064" s="4" customFormat="1" ht="20" hidden="1" customHeight="1" spans="1:14">
      <c r="A2064" s="46">
        <v>45596</v>
      </c>
      <c r="B2064" s="47"/>
      <c r="C2064" s="47"/>
      <c r="D2064" s="47"/>
      <c r="E2064" s="47" t="s">
        <v>3445</v>
      </c>
      <c r="F2064" s="11" t="str">
        <f>IFERROR(VLOOKUP(VENTAS[[#This Row],[Código del producto Vendido]],STOCK[],5,FALSE),"-")</f>
        <v>Set sexy disfraz de zebra set de 2 piezas</v>
      </c>
      <c r="G2064" s="47">
        <v>1</v>
      </c>
      <c r="H2064" s="48">
        <v>20</v>
      </c>
      <c r="I2064" s="14">
        <f>VENTAS[[#This Row],[Cantidad]]*VENTAS[[#This Row],[Precio Venta]]</f>
        <v>20</v>
      </c>
      <c r="J2064" s="14">
        <f>IF(VENTAS[[#This Row],[Nombre del Gestor]]&gt;1,VENTAS[[#This Row],[Total]]*10%,0)</f>
        <v>0</v>
      </c>
      <c r="K2064" s="14">
        <f>IFERROR(VLOOKUP(VENTAS[[#This Row],[Código del producto Vendido]],STOCK[],16,FALSE)*VENTAS[[#This Row],[Cantidad]]+VLOOKUP(VENTAS[[#This Row],[Código del producto Vendido]],STOCK[],19,FALSE)*VENTAS[[#This Row],[Cantidad]],VENTAS[[#This Row],[Total]])</f>
        <v>0</v>
      </c>
      <c r="L2064" s="14">
        <f>VENTAS[[#This Row],[Total]]-VENTAS[[#This Row],[Comisión 10%]]-VENTAS[[#This Row],[Costo SIN Comision]]</f>
        <v>20</v>
      </c>
      <c r="M2064" s="48"/>
      <c r="N2064" s="49" t="s">
        <v>4950</v>
      </c>
    </row>
    <row r="2065" s="4" customFormat="1" ht="20" hidden="1" customHeight="1" spans="1:14">
      <c r="A2065" s="46">
        <v>45596</v>
      </c>
      <c r="B2065" s="47"/>
      <c r="C2065" s="47"/>
      <c r="D2065" s="47"/>
      <c r="E2065" s="47" t="s">
        <v>3362</v>
      </c>
      <c r="F2065" s="11" t="str">
        <f>IFERROR(VLOOKUP(VENTAS[[#This Row],[Código del producto Vendido]],STOCK[],5,FALSE),"-")</f>
        <v>Máscara completa de esqueleto endemoniado con peluca</v>
      </c>
      <c r="G2065" s="47">
        <v>1</v>
      </c>
      <c r="H2065" s="48">
        <v>20</v>
      </c>
      <c r="I2065" s="14">
        <f>VENTAS[[#This Row],[Cantidad]]*VENTAS[[#This Row],[Precio Venta]]</f>
        <v>20</v>
      </c>
      <c r="J2065" s="14">
        <f>IF(VENTAS[[#This Row],[Nombre del Gestor]]&gt;1,VENTAS[[#This Row],[Total]]*10%,0)</f>
        <v>0</v>
      </c>
      <c r="K2065" s="14">
        <f>IFERROR(VLOOKUP(VENTAS[[#This Row],[Código del producto Vendido]],STOCK[],16,FALSE)*VENTAS[[#This Row],[Cantidad]]+VLOOKUP(VENTAS[[#This Row],[Código del producto Vendido]],STOCK[],19,FALSE)*VENTAS[[#This Row],[Cantidad]],VENTAS[[#This Row],[Total]])</f>
        <v>0</v>
      </c>
      <c r="L2065" s="14">
        <f>VENTAS[[#This Row],[Total]]-VENTAS[[#This Row],[Comisión 10%]]-VENTAS[[#This Row],[Costo SIN Comision]]</f>
        <v>20</v>
      </c>
      <c r="M2065" s="48"/>
      <c r="N2065" s="49" t="s">
        <v>4951</v>
      </c>
    </row>
    <row r="2066" s="4" customFormat="1" ht="20" hidden="1" customHeight="1" spans="1:14">
      <c r="A2066" s="46">
        <v>45596</v>
      </c>
      <c r="B2066" s="47"/>
      <c r="C2066" s="47"/>
      <c r="D2066" s="47" t="s">
        <v>4300</v>
      </c>
      <c r="E2066" s="47" t="s">
        <v>3314</v>
      </c>
      <c r="F2066" s="11" t="str">
        <f>IFERROR(VLOOKUP(VENTAS[[#This Row],[Código del producto Vendido]],STOCK[],5,FALSE),"-")</f>
        <v>Mono disfraz Mortal Kombat (mono y cuerdas rojas)</v>
      </c>
      <c r="G2066" s="47">
        <v>1</v>
      </c>
      <c r="H2066" s="48">
        <v>20</v>
      </c>
      <c r="I2066" s="14">
        <f>VENTAS[[#This Row],[Cantidad]]*VENTAS[[#This Row],[Precio Venta]]</f>
        <v>20</v>
      </c>
      <c r="J2066" s="14">
        <f>IF(VENTAS[[#This Row],[Nombre del Gestor]]&gt;1,VENTAS[[#This Row],[Total]]*10%,0)</f>
        <v>2</v>
      </c>
      <c r="K2066" s="14">
        <f>IFERROR(VLOOKUP(VENTAS[[#This Row],[Código del producto Vendido]],STOCK[],16,FALSE)*VENTAS[[#This Row],[Cantidad]]+VLOOKUP(VENTAS[[#This Row],[Código del producto Vendido]],STOCK[],19,FALSE)*VENTAS[[#This Row],[Cantidad]],VENTAS[[#This Row],[Total]])</f>
        <v>0</v>
      </c>
      <c r="L2066" s="14">
        <f>VENTAS[[#This Row],[Total]]-VENTAS[[#This Row],[Comisión 10%]]-VENTAS[[#This Row],[Costo SIN Comision]]</f>
        <v>18</v>
      </c>
      <c r="M2066" s="48"/>
      <c r="N2066" s="49" t="s">
        <v>4952</v>
      </c>
    </row>
    <row r="2067" s="4" customFormat="1" ht="20" hidden="1" customHeight="1" spans="1:14">
      <c r="A2067" s="46">
        <v>45596</v>
      </c>
      <c r="B2067" s="47"/>
      <c r="C2067" s="47"/>
      <c r="D2067" s="47" t="s">
        <v>4300</v>
      </c>
      <c r="E2067" s="47" t="s">
        <v>3362</v>
      </c>
      <c r="F2067" s="11" t="str">
        <f>IFERROR(VLOOKUP(VENTAS[[#This Row],[Código del producto Vendido]],STOCK[],5,FALSE),"-")</f>
        <v>Máscara completa de esqueleto endemoniado con peluca</v>
      </c>
      <c r="G2067" s="47">
        <v>1</v>
      </c>
      <c r="H2067" s="48">
        <v>20</v>
      </c>
      <c r="I2067" s="14">
        <f>VENTAS[[#This Row],[Cantidad]]*VENTAS[[#This Row],[Precio Venta]]</f>
        <v>20</v>
      </c>
      <c r="J2067" s="14">
        <f>IF(VENTAS[[#This Row],[Nombre del Gestor]]&gt;1,VENTAS[[#This Row],[Total]]*10%,0)</f>
        <v>2</v>
      </c>
      <c r="K2067" s="14">
        <f>IFERROR(VLOOKUP(VENTAS[[#This Row],[Código del producto Vendido]],STOCK[],16,FALSE)*VENTAS[[#This Row],[Cantidad]]+VLOOKUP(VENTAS[[#This Row],[Código del producto Vendido]],STOCK[],19,FALSE)*VENTAS[[#This Row],[Cantidad]],VENTAS[[#This Row],[Total]])</f>
        <v>0</v>
      </c>
      <c r="L2067" s="14">
        <f>VENTAS[[#This Row],[Total]]-VENTAS[[#This Row],[Comisión 10%]]-VENTAS[[#This Row],[Costo SIN Comision]]</f>
        <v>18</v>
      </c>
      <c r="M2067" s="48"/>
      <c r="N2067" s="49" t="s">
        <v>4953</v>
      </c>
    </row>
    <row r="2068" s="4" customFormat="1" ht="20" hidden="1" customHeight="1" spans="1:14">
      <c r="A2068" s="46">
        <v>45596</v>
      </c>
      <c r="B2068" s="47"/>
      <c r="C2068" s="47"/>
      <c r="D2068" s="47" t="s">
        <v>4076</v>
      </c>
      <c r="E2068" s="47" t="s">
        <v>3356</v>
      </c>
      <c r="F2068" s="11" t="str">
        <f>IFERROR(VLOOKUP(VENTAS[[#This Row],[Código del producto Vendido]],STOCK[],5,FALSE),"-")</f>
        <v>Disfraz de Diosa griega color negro (vestido y cinturón)</v>
      </c>
      <c r="G2068" s="47">
        <v>1</v>
      </c>
      <c r="H2068" s="48">
        <v>17.5</v>
      </c>
      <c r="I2068" s="14">
        <f>VENTAS[[#This Row],[Cantidad]]*VENTAS[[#This Row],[Precio Venta]]</f>
        <v>17.5</v>
      </c>
      <c r="J2068" s="14">
        <f>IF(VENTAS[[#This Row],[Nombre del Gestor]]&gt;1,VENTAS[[#This Row],[Total]]*10%,0)</f>
        <v>1.75</v>
      </c>
      <c r="K2068" s="14">
        <f>IFERROR(VLOOKUP(VENTAS[[#This Row],[Código del producto Vendido]],STOCK[],16,FALSE)*VENTAS[[#This Row],[Cantidad]]+VLOOKUP(VENTAS[[#This Row],[Código del producto Vendido]],STOCK[],19,FALSE)*VENTAS[[#This Row],[Cantidad]],VENTAS[[#This Row],[Total]])</f>
        <v>0</v>
      </c>
      <c r="L2068" s="14">
        <f>VENTAS[[#This Row],[Total]]-VENTAS[[#This Row],[Comisión 10%]]-VENTAS[[#This Row],[Costo SIN Comision]]</f>
        <v>15.75</v>
      </c>
      <c r="M2068" s="48"/>
      <c r="N2068" s="49" t="s">
        <v>4954</v>
      </c>
    </row>
    <row r="2069" s="4" customFormat="1" ht="20" hidden="1" customHeight="1" spans="1:14">
      <c r="A2069" s="46">
        <v>45596</v>
      </c>
      <c r="B2069" s="47"/>
      <c r="C2069" s="47"/>
      <c r="D2069" s="47" t="s">
        <v>4076</v>
      </c>
      <c r="E2069" s="47" t="s">
        <v>3457</v>
      </c>
      <c r="F2069" s="11" t="str">
        <f>IFERROR(VLOOKUP(VENTAS[[#This Row],[Código del producto Vendido]],STOCK[],5,FALSE),"-")</f>
        <v>Disfraz de diosa egipcia con mangas doradas y banda para la cintura</v>
      </c>
      <c r="G2069" s="47">
        <v>1</v>
      </c>
      <c r="H2069" s="48">
        <v>17.5</v>
      </c>
      <c r="I2069" s="14">
        <f>VENTAS[[#This Row],[Cantidad]]*VENTAS[[#This Row],[Precio Venta]]</f>
        <v>17.5</v>
      </c>
      <c r="J2069" s="14">
        <f>IF(VENTAS[[#This Row],[Nombre del Gestor]]&gt;1,VENTAS[[#This Row],[Total]]*10%,0)</f>
        <v>1.75</v>
      </c>
      <c r="K2069" s="14">
        <f>IFERROR(VLOOKUP(VENTAS[[#This Row],[Código del producto Vendido]],STOCK[],16,FALSE)*VENTAS[[#This Row],[Cantidad]]+VLOOKUP(VENTAS[[#This Row],[Código del producto Vendido]],STOCK[],19,FALSE)*VENTAS[[#This Row],[Cantidad]],VENTAS[[#This Row],[Total]])</f>
        <v>0</v>
      </c>
      <c r="L2069" s="14">
        <f>VENTAS[[#This Row],[Total]]-VENTAS[[#This Row],[Comisión 10%]]-VENTAS[[#This Row],[Costo SIN Comision]]</f>
        <v>15.75</v>
      </c>
      <c r="M2069" s="48"/>
      <c r="N2069" s="49" t="s">
        <v>4955</v>
      </c>
    </row>
    <row r="2070" s="4" customFormat="1" ht="20" hidden="1" customHeight="1" spans="1:14">
      <c r="A2070" s="46">
        <v>45596</v>
      </c>
      <c r="B2070" s="47"/>
      <c r="C2070" s="47"/>
      <c r="D2070" s="47" t="s">
        <v>4129</v>
      </c>
      <c r="E2070" s="47" t="s">
        <v>3472</v>
      </c>
      <c r="F2070" s="11" t="str">
        <f>IFERROR(VLOOKUP(VENTAS[[#This Row],[Código del producto Vendido]],STOCK[],5,FALSE),"-")</f>
        <v>Máscara completa de Miles Morales</v>
      </c>
      <c r="G2070" s="47">
        <v>1</v>
      </c>
      <c r="H2070" s="48">
        <v>10</v>
      </c>
      <c r="I2070" s="14">
        <f>VENTAS[[#This Row],[Cantidad]]*VENTAS[[#This Row],[Precio Venta]]</f>
        <v>10</v>
      </c>
      <c r="J2070" s="14">
        <f>IF(VENTAS[[#This Row],[Nombre del Gestor]]&gt;1,VENTAS[[#This Row],[Total]]*10%,0)</f>
        <v>1</v>
      </c>
      <c r="K2070" s="14">
        <f>IFERROR(VLOOKUP(VENTAS[[#This Row],[Código del producto Vendido]],STOCK[],16,FALSE)*VENTAS[[#This Row],[Cantidad]]+VLOOKUP(VENTAS[[#This Row],[Código del producto Vendido]],STOCK[],19,FALSE)*VENTAS[[#This Row],[Cantidad]],VENTAS[[#This Row],[Total]])</f>
        <v>0</v>
      </c>
      <c r="L2070" s="14">
        <f>VENTAS[[#This Row],[Total]]-VENTAS[[#This Row],[Comisión 10%]]-VENTAS[[#This Row],[Costo SIN Comision]]</f>
        <v>9</v>
      </c>
      <c r="M2070" s="48"/>
      <c r="N2070" s="49" t="s">
        <v>4956</v>
      </c>
    </row>
    <row r="2071" s="4" customFormat="1" ht="20" hidden="1" customHeight="1" spans="1:14">
      <c r="A2071" s="46">
        <v>45596</v>
      </c>
      <c r="B2071" s="47"/>
      <c r="C2071" s="47"/>
      <c r="D2071" s="47" t="s">
        <v>4581</v>
      </c>
      <c r="E2071" s="47" t="s">
        <v>3472</v>
      </c>
      <c r="F2071" s="11" t="str">
        <f>IFERROR(VLOOKUP(VENTAS[[#This Row],[Código del producto Vendido]],STOCK[],5,FALSE),"-")</f>
        <v>Máscara completa de Miles Morales</v>
      </c>
      <c r="G2071" s="47">
        <v>1</v>
      </c>
      <c r="H2071" s="48">
        <v>10</v>
      </c>
      <c r="I2071" s="14">
        <f>VENTAS[[#This Row],[Cantidad]]*VENTAS[[#This Row],[Precio Venta]]</f>
        <v>10</v>
      </c>
      <c r="J2071" s="14">
        <f>IF(VENTAS[[#This Row],[Nombre del Gestor]]&gt;1,VENTAS[[#This Row],[Total]]*10%,0)</f>
        <v>1</v>
      </c>
      <c r="K2071" s="14">
        <f>IFERROR(VLOOKUP(VENTAS[[#This Row],[Código del producto Vendido]],STOCK[],16,FALSE)*VENTAS[[#This Row],[Cantidad]]+VLOOKUP(VENTAS[[#This Row],[Código del producto Vendido]],STOCK[],19,FALSE)*VENTAS[[#This Row],[Cantidad]],VENTAS[[#This Row],[Total]])</f>
        <v>0</v>
      </c>
      <c r="L2071" s="14">
        <f>VENTAS[[#This Row],[Total]]-VENTAS[[#This Row],[Comisión 10%]]-VENTAS[[#This Row],[Costo SIN Comision]]</f>
        <v>9</v>
      </c>
      <c r="M2071" s="48"/>
      <c r="N2071" s="49" t="s">
        <v>4957</v>
      </c>
    </row>
    <row r="2072" s="4" customFormat="1" ht="20" hidden="1" customHeight="1" spans="1:14">
      <c r="A2072" s="46">
        <v>45596</v>
      </c>
      <c r="B2072" s="47"/>
      <c r="C2072" s="47"/>
      <c r="D2072" s="47" t="s">
        <v>4272</v>
      </c>
      <c r="E2072" s="47" t="s">
        <v>3048</v>
      </c>
      <c r="F2072" s="11" t="str">
        <f>IFERROR(VLOOKUP(VENTAS[[#This Row],[Código del producto Vendido]],STOCK[],5,FALSE),"-")</f>
        <v>Shorts cargo gris con dobladillo y bolsillos en tendencia Marca H&amp;M</v>
      </c>
      <c r="G2072" s="47">
        <v>1</v>
      </c>
      <c r="H2072" s="48">
        <v>28</v>
      </c>
      <c r="I2072" s="14">
        <f>VENTAS[[#This Row],[Cantidad]]*VENTAS[[#This Row],[Precio Venta]]</f>
        <v>28</v>
      </c>
      <c r="J2072" s="14">
        <f>IF(VENTAS[[#This Row],[Nombre del Gestor]]&gt;1,VENTAS[[#This Row],[Total]]*10%,0)</f>
        <v>2.8</v>
      </c>
      <c r="K2072" s="14">
        <f>IFERROR(VLOOKUP(VENTAS[[#This Row],[Código del producto Vendido]],STOCK[],16,FALSE)*VENTAS[[#This Row],[Cantidad]]+VLOOKUP(VENTAS[[#This Row],[Código del producto Vendido]],STOCK[],19,FALSE)*VENTAS[[#This Row],[Cantidad]],VENTAS[[#This Row],[Total]])</f>
        <v>10</v>
      </c>
      <c r="L2072" s="14">
        <f>VENTAS[[#This Row],[Total]]-VENTAS[[#This Row],[Comisión 10%]]-VENTAS[[#This Row],[Costo SIN Comision]]</f>
        <v>15.2</v>
      </c>
      <c r="M2072" s="48"/>
      <c r="N2072" s="49" t="s">
        <v>4958</v>
      </c>
    </row>
    <row r="2073" s="4" customFormat="1" ht="20" hidden="1" customHeight="1" spans="1:14">
      <c r="A2073" s="46">
        <v>45596</v>
      </c>
      <c r="B2073" s="47"/>
      <c r="C2073" s="47"/>
      <c r="D2073" s="47" t="s">
        <v>4266</v>
      </c>
      <c r="E2073" s="47" t="s">
        <v>3343</v>
      </c>
      <c r="F2073" s="11" t="str">
        <f>IFERROR(VLOOKUP(VENTAS[[#This Row],[Código del producto Vendido]],STOCK[],5,FALSE),"-")</f>
        <v>Set de 3 piezas de disfraz bunny (body, medias y diadema)</v>
      </c>
      <c r="G2073" s="47">
        <v>1</v>
      </c>
      <c r="H2073" s="48">
        <v>25</v>
      </c>
      <c r="I2073" s="14">
        <f>VENTAS[[#This Row],[Cantidad]]*VENTAS[[#This Row],[Precio Venta]]</f>
        <v>25</v>
      </c>
      <c r="J2073" s="14">
        <f>IF(VENTAS[[#This Row],[Nombre del Gestor]]&gt;1,VENTAS[[#This Row],[Total]]*10%,0)</f>
        <v>2.5</v>
      </c>
      <c r="K2073" s="14">
        <f>IFERROR(VLOOKUP(VENTAS[[#This Row],[Código del producto Vendido]],STOCK[],16,FALSE)*VENTAS[[#This Row],[Cantidad]]+VLOOKUP(VENTAS[[#This Row],[Código del producto Vendido]],STOCK[],19,FALSE)*VENTAS[[#This Row],[Cantidad]],VENTAS[[#This Row],[Total]])</f>
        <v>0</v>
      </c>
      <c r="L2073" s="14">
        <f>VENTAS[[#This Row],[Total]]-VENTAS[[#This Row],[Comisión 10%]]-VENTAS[[#This Row],[Costo SIN Comision]]</f>
        <v>22.5</v>
      </c>
      <c r="M2073" s="48"/>
      <c r="N2073" s="49" t="s">
        <v>4959</v>
      </c>
    </row>
    <row r="2074" s="4" customFormat="1" ht="20" hidden="1" customHeight="1" spans="1:14">
      <c r="A2074" s="46">
        <v>45596</v>
      </c>
      <c r="B2074" s="47"/>
      <c r="C2074" s="47"/>
      <c r="D2074" s="47" t="s">
        <v>4960</v>
      </c>
      <c r="E2074" s="47" t="s">
        <v>3288</v>
      </c>
      <c r="F2074" s="11" t="str">
        <f>IFERROR(VLOOKUP(VENTAS[[#This Row],[Código del producto Vendido]],STOCK[],5,FALSE),"-")</f>
        <v>Mono bandeau de vinyl</v>
      </c>
      <c r="G2074" s="47">
        <v>1</v>
      </c>
      <c r="H2074" s="48">
        <v>25</v>
      </c>
      <c r="I2074" s="14">
        <f>VENTAS[[#This Row],[Cantidad]]*VENTAS[[#This Row],[Precio Venta]]</f>
        <v>25</v>
      </c>
      <c r="J2074" s="14">
        <f>IF(VENTAS[[#This Row],[Nombre del Gestor]]&gt;1,VENTAS[[#This Row],[Total]]*10%,0)</f>
        <v>2.5</v>
      </c>
      <c r="K2074" s="14">
        <f>IFERROR(VLOOKUP(VENTAS[[#This Row],[Código del producto Vendido]],STOCK[],16,FALSE)*VENTAS[[#This Row],[Cantidad]]+VLOOKUP(VENTAS[[#This Row],[Código del producto Vendido]],STOCK[],19,FALSE)*VENTAS[[#This Row],[Cantidad]],VENTAS[[#This Row],[Total]])</f>
        <v>0</v>
      </c>
      <c r="L2074" s="14">
        <f>VENTAS[[#This Row],[Total]]-VENTAS[[#This Row],[Comisión 10%]]-VENTAS[[#This Row],[Costo SIN Comision]]</f>
        <v>22.5</v>
      </c>
      <c r="M2074" s="48"/>
      <c r="N2074" s="49" t="s">
        <v>4961</v>
      </c>
    </row>
    <row r="2075" s="4" customFormat="1" ht="20" hidden="1" customHeight="1" spans="1:14">
      <c r="A2075" s="46">
        <v>45596</v>
      </c>
      <c r="B2075" s="47"/>
      <c r="C2075" s="47"/>
      <c r="D2075" s="47" t="s">
        <v>4272</v>
      </c>
      <c r="E2075" s="47" t="s">
        <v>3352</v>
      </c>
      <c r="F2075" s="11" t="str">
        <f>IFERROR(VLOOKUP(VENTAS[[#This Row],[Código del producto Vendido]],STOCK[],5,FALSE),"-")</f>
        <v>Máscara de bruja con peluca</v>
      </c>
      <c r="G2075" s="47">
        <v>1</v>
      </c>
      <c r="H2075" s="48">
        <v>14</v>
      </c>
      <c r="I2075" s="14">
        <f>VENTAS[[#This Row],[Cantidad]]*VENTAS[[#This Row],[Precio Venta]]</f>
        <v>14</v>
      </c>
      <c r="J2075" s="14">
        <f>IF(VENTAS[[#This Row],[Nombre del Gestor]]&gt;1,VENTAS[[#This Row],[Total]]*10%,0)</f>
        <v>1.4</v>
      </c>
      <c r="K2075" s="14">
        <f>IFERROR(VLOOKUP(VENTAS[[#This Row],[Código del producto Vendido]],STOCK[],16,FALSE)*VENTAS[[#This Row],[Cantidad]]+VLOOKUP(VENTAS[[#This Row],[Código del producto Vendido]],STOCK[],19,FALSE)*VENTAS[[#This Row],[Cantidad]],VENTAS[[#This Row],[Total]])</f>
        <v>0</v>
      </c>
      <c r="L2075" s="14">
        <f>VENTAS[[#This Row],[Total]]-VENTAS[[#This Row],[Comisión 10%]]-VENTAS[[#This Row],[Costo SIN Comision]]</f>
        <v>12.6</v>
      </c>
      <c r="M2075" s="48"/>
      <c r="N2075" s="49" t="s">
        <v>4962</v>
      </c>
    </row>
    <row r="2076" s="4" customFormat="1" ht="20" customHeight="1" spans="1:14">
      <c r="A2076" s="46">
        <v>45597</v>
      </c>
      <c r="B2076" s="47"/>
      <c r="C2076" s="47"/>
      <c r="D2076" s="47" t="s">
        <v>4241</v>
      </c>
      <c r="E2076" s="47" t="s">
        <v>2310</v>
      </c>
      <c r="F2076" s="11" t="str">
        <f>IFERROR(VLOOKUP(VENTAS[[#This Row],[Código del producto Vendido]],STOCK[],5,FALSE),"-")</f>
        <v>Blusa Vacaciones con lazo delantero</v>
      </c>
      <c r="G2076" s="47">
        <v>1</v>
      </c>
      <c r="H2076" s="48">
        <v>15</v>
      </c>
      <c r="I2076" s="14">
        <f>VENTAS[[#This Row],[Cantidad]]*VENTAS[[#This Row],[Precio Venta]]</f>
        <v>15</v>
      </c>
      <c r="J2076" s="14">
        <f>IF(VENTAS[[#This Row],[Nombre del Gestor]]&gt;1,VENTAS[[#This Row],[Total]]*10%,0)</f>
        <v>1.5</v>
      </c>
      <c r="K2076" s="14">
        <f>IFERROR(VLOOKUP(VENTAS[[#This Row],[Código del producto Vendido]],STOCK[],16,FALSE)*VENTAS[[#This Row],[Cantidad]]+VLOOKUP(VENTAS[[#This Row],[Código del producto Vendido]],STOCK[],19,FALSE)*VENTAS[[#This Row],[Cantidad]],VENTAS[[#This Row],[Total]])</f>
        <v>8.733125</v>
      </c>
      <c r="L2076" s="14">
        <f>VENTAS[[#This Row],[Total]]-VENTAS[[#This Row],[Comisión 10%]]-VENTAS[[#This Row],[Costo SIN Comision]]</f>
        <v>4.766875</v>
      </c>
      <c r="M2076" s="48"/>
      <c r="N2076" s="49" t="s">
        <v>4963</v>
      </c>
    </row>
    <row r="2077" s="4" customFormat="1" ht="20" customHeight="1" spans="1:14">
      <c r="A2077" s="46">
        <v>45597</v>
      </c>
      <c r="B2077" s="47"/>
      <c r="C2077" s="47"/>
      <c r="D2077" s="47" t="s">
        <v>4241</v>
      </c>
      <c r="E2077" s="47" t="s">
        <v>2567</v>
      </c>
      <c r="F2077" s="11" t="str">
        <f>IFERROR(VLOOKUP(VENTAS[[#This Row],[Código del producto Vendido]],STOCK[],5,FALSE),"-")</f>
        <v>Top corto de lazo delantero </v>
      </c>
      <c r="G2077" s="47">
        <v>1</v>
      </c>
      <c r="H2077" s="48">
        <v>17</v>
      </c>
      <c r="I2077" s="14">
        <f>VENTAS[[#This Row],[Cantidad]]*VENTAS[[#This Row],[Precio Venta]]</f>
        <v>17</v>
      </c>
      <c r="J2077" s="14">
        <f>IF(VENTAS[[#This Row],[Nombre del Gestor]]&gt;1,VENTAS[[#This Row],[Total]]*10%,0)</f>
        <v>1.7</v>
      </c>
      <c r="K2077" s="14">
        <f>IFERROR(VLOOKUP(VENTAS[[#This Row],[Código del producto Vendido]],STOCK[],16,FALSE)*VENTAS[[#This Row],[Cantidad]]+VLOOKUP(VENTAS[[#This Row],[Código del producto Vendido]],STOCK[],19,FALSE)*VENTAS[[#This Row],[Cantidad]],VENTAS[[#This Row],[Total]])</f>
        <v>11.45</v>
      </c>
      <c r="L2077" s="14">
        <f>VENTAS[[#This Row],[Total]]-VENTAS[[#This Row],[Comisión 10%]]-VENTAS[[#This Row],[Costo SIN Comision]]</f>
        <v>3.85</v>
      </c>
      <c r="M2077" s="48"/>
      <c r="N2077" s="49" t="s">
        <v>4964</v>
      </c>
    </row>
    <row r="2078" s="4" customFormat="1" ht="20" customHeight="1" spans="1:14">
      <c r="A2078" s="46">
        <v>45597</v>
      </c>
      <c r="B2078" s="47"/>
      <c r="C2078" s="47"/>
      <c r="D2078" s="47" t="s">
        <v>4266</v>
      </c>
      <c r="E2078" s="47" t="s">
        <v>2764</v>
      </c>
      <c r="F2078" s="11" t="str">
        <f>IFERROR(VLOOKUP(VENTAS[[#This Row],[Código del producto Vendido]],STOCK[],5,FALSE),"-")</f>
        <v>Set de bikini estilo europeo blanco en tendencia</v>
      </c>
      <c r="G2078" s="47">
        <v>1</v>
      </c>
      <c r="H2078" s="48">
        <v>22</v>
      </c>
      <c r="I2078" s="14">
        <f>VENTAS[[#This Row],[Cantidad]]*VENTAS[[#This Row],[Precio Venta]]</f>
        <v>22</v>
      </c>
      <c r="J2078" s="14">
        <f>IF(VENTAS[[#This Row],[Nombre del Gestor]]&gt;1,VENTAS[[#This Row],[Total]]*10%,0)</f>
        <v>2.2</v>
      </c>
      <c r="K2078" s="14">
        <f>IFERROR(VLOOKUP(VENTAS[[#This Row],[Código del producto Vendido]],STOCK[],16,FALSE)*VENTAS[[#This Row],[Cantidad]]+VLOOKUP(VENTAS[[#This Row],[Código del producto Vendido]],STOCK[],19,FALSE)*VENTAS[[#This Row],[Cantidad]],VENTAS[[#This Row],[Total]])</f>
        <v>13.23</v>
      </c>
      <c r="L2078" s="14">
        <f>VENTAS[[#This Row],[Total]]-VENTAS[[#This Row],[Comisión 10%]]-VENTAS[[#This Row],[Costo SIN Comision]]</f>
        <v>6.57</v>
      </c>
      <c r="M2078" s="48"/>
      <c r="N2078" s="49" t="s">
        <v>4965</v>
      </c>
    </row>
    <row r="2079" s="4" customFormat="1" ht="20" customHeight="1" spans="1:14">
      <c r="A2079" s="46">
        <v>45597</v>
      </c>
      <c r="B2079" s="47"/>
      <c r="C2079" s="47"/>
      <c r="D2079" s="47"/>
      <c r="E2079" s="47" t="s">
        <v>2513</v>
      </c>
      <c r="F2079" s="11" t="str">
        <f>IFERROR(VLOOKUP(VENTAS[[#This Row],[Código del producto Vendido]],STOCK[],5,FALSE),"-")</f>
        <v>Camisa elegante de listas</v>
      </c>
      <c r="G2079" s="47">
        <v>1</v>
      </c>
      <c r="H2079" s="48">
        <v>22</v>
      </c>
      <c r="I2079" s="14">
        <f>VENTAS[[#This Row],[Cantidad]]*VENTAS[[#This Row],[Precio Venta]]</f>
        <v>22</v>
      </c>
      <c r="J2079" s="14">
        <f>IF(VENTAS[[#This Row],[Nombre del Gestor]]&gt;1,VENTAS[[#This Row],[Total]]*10%,0)</f>
        <v>0</v>
      </c>
      <c r="K2079" s="14">
        <f>IFERROR(VLOOKUP(VENTAS[[#This Row],[Código del producto Vendido]],STOCK[],16,FALSE)*VENTAS[[#This Row],[Cantidad]]+VLOOKUP(VENTAS[[#This Row],[Código del producto Vendido]],STOCK[],19,FALSE)*VENTAS[[#This Row],[Cantidad]],VENTAS[[#This Row],[Total]])</f>
        <v>11.3</v>
      </c>
      <c r="L2079" s="14">
        <f>VENTAS[[#This Row],[Total]]-VENTAS[[#This Row],[Comisión 10%]]-VENTAS[[#This Row],[Costo SIN Comision]]</f>
        <v>10.7</v>
      </c>
      <c r="M2079" s="48"/>
      <c r="N2079" s="49" t="s">
        <v>4966</v>
      </c>
    </row>
    <row r="2080" s="4" customFormat="1" ht="20" customHeight="1" spans="1:14">
      <c r="A2080" s="46">
        <v>45598</v>
      </c>
      <c r="B2080" s="47"/>
      <c r="C2080" s="47"/>
      <c r="D2080" s="47" t="s">
        <v>4266</v>
      </c>
      <c r="E2080" s="47" t="s">
        <v>3204</v>
      </c>
      <c r="F2080" s="11" t="str">
        <f>IFERROR(VLOOKUP(VENTAS[[#This Row],[Código del producto Vendido]],STOCK[],5,FALSE),"-")</f>
        <v>Camiseta de ajuste regular blanco </v>
      </c>
      <c r="G2080" s="47">
        <v>1</v>
      </c>
      <c r="H2080" s="48">
        <v>18</v>
      </c>
      <c r="I2080" s="14">
        <f>VENTAS[[#This Row],[Cantidad]]*VENTAS[[#This Row],[Precio Venta]]</f>
        <v>18</v>
      </c>
      <c r="J2080" s="14">
        <f>IF(VENTAS[[#This Row],[Nombre del Gestor]]&gt;1,VENTAS[[#This Row],[Total]]*10%,0)</f>
        <v>1.8</v>
      </c>
      <c r="K2080" s="14">
        <f>IFERROR(VLOOKUP(VENTAS[[#This Row],[Código del producto Vendido]],STOCK[],16,FALSE)*VENTAS[[#This Row],[Cantidad]]+VLOOKUP(VENTAS[[#This Row],[Código del producto Vendido]],STOCK[],19,FALSE)*VENTAS[[#This Row],[Cantidad]],VENTAS[[#This Row],[Total]])</f>
        <v>10</v>
      </c>
      <c r="L2080" s="14">
        <f>VENTAS[[#This Row],[Total]]-VENTAS[[#This Row],[Comisión 10%]]-VENTAS[[#This Row],[Costo SIN Comision]]</f>
        <v>6.2</v>
      </c>
      <c r="M2080" s="48"/>
      <c r="N2080" s="49" t="s">
        <v>4967</v>
      </c>
    </row>
    <row r="2081" s="4" customFormat="1" ht="20" customHeight="1" spans="1:14">
      <c r="A2081" s="46">
        <v>45598</v>
      </c>
      <c r="B2081" s="47"/>
      <c r="C2081" s="47"/>
      <c r="D2081" s="47" t="s">
        <v>4270</v>
      </c>
      <c r="E2081" s="47" t="s">
        <v>2986</v>
      </c>
      <c r="F2081" s="11" t="str">
        <f>IFERROR(VLOOKUP(VENTAS[[#This Row],[Código del producto Vendido]],STOCK[],5,FALSE),"-")</f>
        <v>Vestido playero largo de mangas con escote V</v>
      </c>
      <c r="G2081" s="47">
        <v>1</v>
      </c>
      <c r="H2081" s="48">
        <v>30</v>
      </c>
      <c r="I2081" s="14">
        <f>VENTAS[[#This Row],[Cantidad]]*VENTAS[[#This Row],[Precio Venta]]</f>
        <v>30</v>
      </c>
      <c r="J2081" s="14">
        <f>IF(VENTAS[[#This Row],[Nombre del Gestor]]&gt;1,VENTAS[[#This Row],[Total]]*10%,0)</f>
        <v>3</v>
      </c>
      <c r="K2081" s="14">
        <f>IFERROR(VLOOKUP(VENTAS[[#This Row],[Código del producto Vendido]],STOCK[],16,FALSE)*VENTAS[[#This Row],[Cantidad]]+VLOOKUP(VENTAS[[#This Row],[Código del producto Vendido]],STOCK[],19,FALSE)*VENTAS[[#This Row],[Cantidad]],VENTAS[[#This Row],[Total]])</f>
        <v>11.02</v>
      </c>
      <c r="L2081" s="14">
        <f>VENTAS[[#This Row],[Total]]-VENTAS[[#This Row],[Comisión 10%]]-VENTAS[[#This Row],[Costo SIN Comision]]</f>
        <v>15.98</v>
      </c>
      <c r="M2081" s="48"/>
      <c r="N2081" s="49" t="s">
        <v>4968</v>
      </c>
    </row>
    <row r="2082" s="4" customFormat="1" ht="20" customHeight="1" spans="1:14">
      <c r="A2082" s="46">
        <v>45598</v>
      </c>
      <c r="B2082" s="47"/>
      <c r="C2082" s="47"/>
      <c r="D2082" s="47" t="s">
        <v>4270</v>
      </c>
      <c r="E2082" s="47" t="s">
        <v>2567</v>
      </c>
      <c r="F2082" s="11" t="str">
        <f>IFERROR(VLOOKUP(VENTAS[[#This Row],[Código del producto Vendido]],STOCK[],5,FALSE),"-")</f>
        <v>Top corto de lazo delantero </v>
      </c>
      <c r="G2082" s="47">
        <v>1</v>
      </c>
      <c r="H2082" s="48">
        <v>17</v>
      </c>
      <c r="I2082" s="14">
        <f>VENTAS[[#This Row],[Cantidad]]*VENTAS[[#This Row],[Precio Venta]]</f>
        <v>17</v>
      </c>
      <c r="J2082" s="14">
        <f>IF(VENTAS[[#This Row],[Nombre del Gestor]]&gt;1,VENTAS[[#This Row],[Total]]*10%,0)</f>
        <v>1.7</v>
      </c>
      <c r="K2082" s="14">
        <f>IFERROR(VLOOKUP(VENTAS[[#This Row],[Código del producto Vendido]],STOCK[],16,FALSE)*VENTAS[[#This Row],[Cantidad]]+VLOOKUP(VENTAS[[#This Row],[Código del producto Vendido]],STOCK[],19,FALSE)*VENTAS[[#This Row],[Cantidad]],VENTAS[[#This Row],[Total]])</f>
        <v>11.45</v>
      </c>
      <c r="L2082" s="14">
        <f>VENTAS[[#This Row],[Total]]-VENTAS[[#This Row],[Comisión 10%]]-VENTAS[[#This Row],[Costo SIN Comision]]</f>
        <v>3.85</v>
      </c>
      <c r="M2082" s="48"/>
      <c r="N2082" s="49" t="s">
        <v>4969</v>
      </c>
    </row>
    <row r="2083" s="4" customFormat="1" ht="20" customHeight="1" spans="1:14">
      <c r="A2083" s="46">
        <v>45598</v>
      </c>
      <c r="B2083" s="47"/>
      <c r="C2083" s="47"/>
      <c r="D2083" s="47" t="s">
        <v>4463</v>
      </c>
      <c r="E2083" s="47" t="s">
        <v>2753</v>
      </c>
      <c r="F2083" s="11" t="str">
        <f>IFERROR(VLOOKUP(VENTAS[[#This Row],[Código del producto Vendido]],STOCK[],5,FALSE),"-")</f>
        <v>Vestido Privé Unicolor Sin Mangas ajustado con pliegues color negro</v>
      </c>
      <c r="G2083" s="47">
        <v>1</v>
      </c>
      <c r="H2083" s="48">
        <v>20</v>
      </c>
      <c r="I2083" s="14">
        <f>VENTAS[[#This Row],[Cantidad]]*VENTAS[[#This Row],[Precio Venta]]</f>
        <v>20</v>
      </c>
      <c r="J2083" s="14">
        <f>IF(VENTAS[[#This Row],[Nombre del Gestor]]&gt;1,VENTAS[[#This Row],[Total]]*10%,0)</f>
        <v>2</v>
      </c>
      <c r="K2083" s="14">
        <f>IFERROR(VLOOKUP(VENTAS[[#This Row],[Código del producto Vendido]],STOCK[],16,FALSE)*VENTAS[[#This Row],[Cantidad]]+VLOOKUP(VENTAS[[#This Row],[Código del producto Vendido]],STOCK[],19,FALSE)*VENTAS[[#This Row],[Cantidad]],VENTAS[[#This Row],[Total]])</f>
        <v>6.12</v>
      </c>
      <c r="L2083" s="14">
        <f>VENTAS[[#This Row],[Total]]-VENTAS[[#This Row],[Comisión 10%]]-VENTAS[[#This Row],[Costo SIN Comision]]</f>
        <v>11.88</v>
      </c>
      <c r="M2083" s="48"/>
      <c r="N2083" s="49" t="s">
        <v>4970</v>
      </c>
    </row>
    <row r="2084" ht="12" spans="1:14">
      <c r="A2084" s="46">
        <v>45599</v>
      </c>
      <c r="B2084" s="50"/>
      <c r="C2084" s="50"/>
      <c r="D2084" s="50" t="s">
        <v>4649</v>
      </c>
      <c r="E2084" s="50" t="s">
        <v>3131</v>
      </c>
      <c r="F2084" s="11" t="s">
        <v>3132</v>
      </c>
      <c r="G2084" s="50">
        <v>1</v>
      </c>
      <c r="H2084" s="48">
        <v>15</v>
      </c>
      <c r="I2084" s="14">
        <f>VENTAS[[#This Row],[Cantidad]]*VENTAS[[#This Row],[Precio Venta]]</f>
        <v>15</v>
      </c>
      <c r="J2084" s="14">
        <f>IF(VENTAS[[#This Row],[Nombre del Gestor]]&gt;1,VENTAS[[#This Row],[Total]]*10%,0)</f>
        <v>1.5</v>
      </c>
      <c r="K2084" s="14">
        <f>IFERROR(VLOOKUP(VENTAS[[#This Row],[Código del producto Vendido]],STOCK[],16,FALSE)*VENTAS[[#This Row],[Cantidad]]+VLOOKUP(VENTAS[[#This Row],[Código del producto Vendido]],STOCK[],19,FALSE)*VENTAS[[#This Row],[Cantidad]],VENTAS[[#This Row],[Total]])</f>
        <v>8</v>
      </c>
      <c r="L2084" s="14">
        <f>VENTAS[[#This Row],[Total]]-VENTAS[[#This Row],[Comisión 10%]]-VENTAS[[#This Row],[Costo SIN Comision]]</f>
        <v>5.5</v>
      </c>
      <c r="M2084" s="50"/>
      <c r="N2084" s="50" t="s">
        <v>4971</v>
      </c>
    </row>
    <row r="2085" ht="12" spans="1:14">
      <c r="A2085" s="46">
        <v>45599</v>
      </c>
      <c r="B2085" s="50"/>
      <c r="C2085" s="50" t="s">
        <v>4298</v>
      </c>
      <c r="D2085" s="50"/>
      <c r="E2085" s="50" t="s">
        <v>2866</v>
      </c>
      <c r="F2085" s="11" t="s">
        <v>2864</v>
      </c>
      <c r="G2085" s="50">
        <v>1</v>
      </c>
      <c r="H2085" s="48">
        <v>25</v>
      </c>
      <c r="I2085" s="14">
        <f>VENTAS[[#This Row],[Cantidad]]*VENTAS[[#This Row],[Precio Venta]]</f>
        <v>25</v>
      </c>
      <c r="J2085" s="14">
        <f>IF(VENTAS[[#This Row],[Nombre del Gestor]]&gt;1,VENTAS[[#This Row],[Total]]*10%,0)</f>
        <v>0</v>
      </c>
      <c r="K2085" s="14">
        <f>IFERROR(VLOOKUP(VENTAS[[#This Row],[Código del producto Vendido]],STOCK[],16,FALSE)*VENTAS[[#This Row],[Cantidad]]+VLOOKUP(VENTAS[[#This Row],[Código del producto Vendido]],STOCK[],19,FALSE)*VENTAS[[#This Row],[Cantidad]],VENTAS[[#This Row],[Total]])</f>
        <v>11.98</v>
      </c>
      <c r="L2085" s="14">
        <f>VENTAS[[#This Row],[Total]]-VENTAS[[#This Row],[Comisión 10%]]-VENTAS[[#This Row],[Costo SIN Comision]]</f>
        <v>13.02</v>
      </c>
      <c r="M2085" s="50"/>
      <c r="N2085" s="50" t="s">
        <v>4972</v>
      </c>
    </row>
    <row r="2086" ht="12" spans="1:14">
      <c r="A2086" s="46">
        <v>45599</v>
      </c>
      <c r="B2086" s="50"/>
      <c r="C2086" s="50"/>
      <c r="D2086" s="50" t="s">
        <v>4076</v>
      </c>
      <c r="E2086" s="50" t="s">
        <v>2902</v>
      </c>
      <c r="F2086" s="11" t="s">
        <v>2903</v>
      </c>
      <c r="G2086" s="50">
        <v>1</v>
      </c>
      <c r="H2086" s="48">
        <v>15</v>
      </c>
      <c r="I2086" s="14">
        <f>VENTAS[[#This Row],[Cantidad]]*VENTAS[[#This Row],[Precio Venta]]</f>
        <v>15</v>
      </c>
      <c r="J2086" s="14">
        <f>IF(VENTAS[[#This Row],[Nombre del Gestor]]&gt;1,VENTAS[[#This Row],[Total]]*10%,0)</f>
        <v>1.5</v>
      </c>
      <c r="K2086" s="14">
        <f>IFERROR(VLOOKUP(VENTAS[[#This Row],[Código del producto Vendido]],STOCK[],16,FALSE)*VENTAS[[#This Row],[Cantidad]]+VLOOKUP(VENTAS[[#This Row],[Código del producto Vendido]],STOCK[],19,FALSE)*VENTAS[[#This Row],[Cantidad]],VENTAS[[#This Row],[Total]])</f>
        <v>8.14</v>
      </c>
      <c r="L2086" s="14">
        <f>VENTAS[[#This Row],[Total]]-VENTAS[[#This Row],[Comisión 10%]]-VENTAS[[#This Row],[Costo SIN Comision]]</f>
        <v>5.36</v>
      </c>
      <c r="M2086" s="50"/>
      <c r="N2086" s="50" t="s">
        <v>4973</v>
      </c>
    </row>
    <row r="2087" ht="12" spans="1:14">
      <c r="A2087" s="46">
        <v>45599</v>
      </c>
      <c r="B2087" s="50"/>
      <c r="C2087" s="50"/>
      <c r="D2087" s="50" t="s">
        <v>4076</v>
      </c>
      <c r="E2087" s="50" t="s">
        <v>2896</v>
      </c>
      <c r="F2087" s="11" t="s">
        <v>2898</v>
      </c>
      <c r="G2087" s="50">
        <v>1</v>
      </c>
      <c r="H2087" s="48">
        <v>15</v>
      </c>
      <c r="I2087" s="14">
        <f>VENTAS[[#This Row],[Cantidad]]*VENTAS[[#This Row],[Precio Venta]]</f>
        <v>15</v>
      </c>
      <c r="J2087" s="14">
        <f>IF(VENTAS[[#This Row],[Nombre del Gestor]]&gt;1,VENTAS[[#This Row],[Total]]*10%,0)</f>
        <v>1.5</v>
      </c>
      <c r="K2087" s="14">
        <f>IFERROR(VLOOKUP(VENTAS[[#This Row],[Código del producto Vendido]],STOCK[],16,FALSE)*VENTAS[[#This Row],[Cantidad]]+VLOOKUP(VENTAS[[#This Row],[Código del producto Vendido]],STOCK[],19,FALSE)*VENTAS[[#This Row],[Cantidad]],VENTAS[[#This Row],[Total]])</f>
        <v>6.38</v>
      </c>
      <c r="L2087" s="14">
        <f>VENTAS[[#This Row],[Total]]-VENTAS[[#This Row],[Comisión 10%]]-VENTAS[[#This Row],[Costo SIN Comision]]</f>
        <v>7.12</v>
      </c>
      <c r="M2087" s="50"/>
      <c r="N2087" s="50" t="s">
        <v>4974</v>
      </c>
    </row>
    <row r="2088" ht="12" spans="1:14">
      <c r="A2088" s="46">
        <v>45599</v>
      </c>
      <c r="B2088" s="50"/>
      <c r="C2088" s="50" t="s">
        <v>4298</v>
      </c>
      <c r="D2088" s="50"/>
      <c r="E2088" s="50" t="s">
        <v>3215</v>
      </c>
      <c r="F2088" s="11" t="s">
        <v>3216</v>
      </c>
      <c r="G2088" s="50">
        <v>1</v>
      </c>
      <c r="H2088" s="48">
        <v>25</v>
      </c>
      <c r="I2088" s="14">
        <f>VENTAS[[#This Row],[Cantidad]]*VENTAS[[#This Row],[Precio Venta]]</f>
        <v>25</v>
      </c>
      <c r="J2088" s="14">
        <f>IF(VENTAS[[#This Row],[Nombre del Gestor]]&gt;1,VENTAS[[#This Row],[Total]]*10%,0)</f>
        <v>0</v>
      </c>
      <c r="K2088" s="14">
        <f>IFERROR(VLOOKUP(VENTAS[[#This Row],[Código del producto Vendido]],STOCK[],16,FALSE)*VENTAS[[#This Row],[Cantidad]]+VLOOKUP(VENTAS[[#This Row],[Código del producto Vendido]],STOCK[],19,FALSE)*VENTAS[[#This Row],[Cantidad]],VENTAS[[#This Row],[Total]])</f>
        <v>10</v>
      </c>
      <c r="L2088" s="14">
        <f>VENTAS[[#This Row],[Total]]-VENTAS[[#This Row],[Comisión 10%]]-VENTAS[[#This Row],[Costo SIN Comision]]</f>
        <v>15</v>
      </c>
      <c r="M2088" s="50"/>
      <c r="N2088" s="50" t="s">
        <v>4975</v>
      </c>
    </row>
    <row r="2089" ht="12" spans="1:14">
      <c r="A2089" s="46">
        <v>45599</v>
      </c>
      <c r="B2089" s="50"/>
      <c r="C2089" s="50"/>
      <c r="D2089" s="50" t="s">
        <v>4463</v>
      </c>
      <c r="E2089" s="50" t="s">
        <v>1889</v>
      </c>
      <c r="F2089" s="11" t="s">
        <v>1890</v>
      </c>
      <c r="G2089" s="50">
        <v>1</v>
      </c>
      <c r="H2089" s="48">
        <v>35</v>
      </c>
      <c r="I2089" s="14">
        <f>VENTAS[[#This Row],[Cantidad]]*VENTAS[[#This Row],[Precio Venta]]</f>
        <v>35</v>
      </c>
      <c r="J2089" s="14">
        <f>IF(VENTAS[[#This Row],[Nombre del Gestor]]&gt;1,VENTAS[[#This Row],[Total]]*10%,0)</f>
        <v>3.5</v>
      </c>
      <c r="K2089" s="14">
        <f>IFERROR(VLOOKUP(VENTAS[[#This Row],[Código del producto Vendido]],STOCK[],16,FALSE)*VENTAS[[#This Row],[Cantidad]]+VLOOKUP(VENTAS[[#This Row],[Código del producto Vendido]],STOCK[],19,FALSE)*VENTAS[[#This Row],[Cantidad]],VENTAS[[#This Row],[Total]])</f>
        <v>23.32</v>
      </c>
      <c r="L2089" s="14">
        <f>VENTAS[[#This Row],[Total]]-VENTAS[[#This Row],[Comisión 10%]]-VENTAS[[#This Row],[Costo SIN Comision]]</f>
        <v>8.18</v>
      </c>
      <c r="M2089" s="50"/>
      <c r="N2089" s="50" t="s">
        <v>4976</v>
      </c>
    </row>
    <row r="2090" ht="12" spans="1:14">
      <c r="A2090" s="46">
        <v>45599</v>
      </c>
      <c r="B2090" s="50"/>
      <c r="C2090" s="50"/>
      <c r="D2090" s="50" t="s">
        <v>4649</v>
      </c>
      <c r="E2090" s="50" t="s">
        <v>2546</v>
      </c>
      <c r="F2090" s="11" t="s">
        <v>2544</v>
      </c>
      <c r="G2090" s="50">
        <v>1</v>
      </c>
      <c r="H2090" s="48">
        <v>10</v>
      </c>
      <c r="I2090" s="14">
        <f>VENTAS[[#This Row],[Cantidad]]*VENTAS[[#This Row],[Precio Venta]]</f>
        <v>10</v>
      </c>
      <c r="J2090" s="14">
        <f>IF(VENTAS[[#This Row],[Nombre del Gestor]]&gt;1,VENTAS[[#This Row],[Total]]*10%,0)</f>
        <v>1</v>
      </c>
      <c r="K2090" s="14">
        <f>IFERROR(VLOOKUP(VENTAS[[#This Row],[Código del producto Vendido]],STOCK[],16,FALSE)*VENTAS[[#This Row],[Cantidad]]+VLOOKUP(VENTAS[[#This Row],[Código del producto Vendido]],STOCK[],19,FALSE)*VENTAS[[#This Row],[Cantidad]],VENTAS[[#This Row],[Total]])</f>
        <v>4.32</v>
      </c>
      <c r="L2090" s="14">
        <f>VENTAS[[#This Row],[Total]]-VENTAS[[#This Row],[Comisión 10%]]-VENTAS[[#This Row],[Costo SIN Comision]]</f>
        <v>4.68</v>
      </c>
      <c r="M2090" s="50"/>
      <c r="N2090" s="50" t="s">
        <v>4977</v>
      </c>
    </row>
    <row r="2091" ht="12" spans="1:14">
      <c r="A2091" s="46">
        <v>45599</v>
      </c>
      <c r="B2091" s="50"/>
      <c r="C2091" s="50"/>
      <c r="D2091" s="50" t="s">
        <v>4649</v>
      </c>
      <c r="E2091" s="50" t="s">
        <v>3433</v>
      </c>
      <c r="F2091" s="11" t="s">
        <v>3432</v>
      </c>
      <c r="G2091" s="50">
        <v>1</v>
      </c>
      <c r="H2091" s="48">
        <v>12</v>
      </c>
      <c r="I2091" s="14">
        <f>VENTAS[[#This Row],[Cantidad]]*VENTAS[[#This Row],[Precio Venta]]</f>
        <v>12</v>
      </c>
      <c r="J2091" s="14">
        <f>IF(VENTAS[[#This Row],[Nombre del Gestor]]&gt;1,VENTAS[[#This Row],[Total]]*10%,0)</f>
        <v>1.2</v>
      </c>
      <c r="K2091" s="14">
        <f>IFERROR(VLOOKUP(VENTAS[[#This Row],[Código del producto Vendido]],STOCK[],16,FALSE)*VENTAS[[#This Row],[Cantidad]]+VLOOKUP(VENTAS[[#This Row],[Código del producto Vendido]],STOCK[],19,FALSE)*VENTAS[[#This Row],[Cantidad]],VENTAS[[#This Row],[Total]])</f>
        <v>0</v>
      </c>
      <c r="L2091" s="14">
        <f>VENTAS[[#This Row],[Total]]-VENTAS[[#This Row],[Comisión 10%]]-VENTAS[[#This Row],[Costo SIN Comision]]</f>
        <v>10.8</v>
      </c>
      <c r="M2091" s="50"/>
      <c r="N2091" s="50" t="s">
        <v>4978</v>
      </c>
    </row>
    <row r="2092" ht="12" spans="1:14">
      <c r="A2092" s="46">
        <v>45599</v>
      </c>
      <c r="B2092" s="50"/>
      <c r="C2092" s="50"/>
      <c r="D2092" s="50" t="s">
        <v>4649</v>
      </c>
      <c r="E2092" s="50" t="s">
        <v>3436</v>
      </c>
      <c r="F2092" s="11" t="s">
        <v>3435</v>
      </c>
      <c r="G2092" s="50">
        <v>1</v>
      </c>
      <c r="H2092" s="48">
        <v>12</v>
      </c>
      <c r="I2092" s="14">
        <f>VENTAS[[#This Row],[Cantidad]]*VENTAS[[#This Row],[Precio Venta]]</f>
        <v>12</v>
      </c>
      <c r="J2092" s="14">
        <f>IF(VENTAS[[#This Row],[Nombre del Gestor]]&gt;1,VENTAS[[#This Row],[Total]]*10%,0)</f>
        <v>1.2</v>
      </c>
      <c r="K2092" s="14">
        <f>IFERROR(VLOOKUP(VENTAS[[#This Row],[Código del producto Vendido]],STOCK[],16,FALSE)*VENTAS[[#This Row],[Cantidad]]+VLOOKUP(VENTAS[[#This Row],[Código del producto Vendido]],STOCK[],19,FALSE)*VENTAS[[#This Row],[Cantidad]],VENTAS[[#This Row],[Total]])</f>
        <v>0</v>
      </c>
      <c r="L2092" s="14">
        <f>VENTAS[[#This Row],[Total]]-VENTAS[[#This Row],[Comisión 10%]]-VENTAS[[#This Row],[Costo SIN Comision]]</f>
        <v>10.8</v>
      </c>
      <c r="M2092" s="50"/>
      <c r="N2092" s="50" t="s">
        <v>4979</v>
      </c>
    </row>
    <row r="2093" ht="12" spans="1:14">
      <c r="A2093" s="46">
        <v>45599</v>
      </c>
      <c r="B2093" s="50"/>
      <c r="C2093" s="50"/>
      <c r="D2093" s="50" t="s">
        <v>4649</v>
      </c>
      <c r="E2093" s="50" t="s">
        <v>3111</v>
      </c>
      <c r="F2093" s="11" t="s">
        <v>3112</v>
      </c>
      <c r="G2093" s="50">
        <v>1</v>
      </c>
      <c r="H2093" s="48">
        <v>15</v>
      </c>
      <c r="I2093" s="14">
        <f>VENTAS[[#This Row],[Cantidad]]*VENTAS[[#This Row],[Precio Venta]]</f>
        <v>15</v>
      </c>
      <c r="J2093" s="14">
        <f>IF(VENTAS[[#This Row],[Nombre del Gestor]]&gt;1,VENTAS[[#This Row],[Total]]*10%,0)</f>
        <v>1.5</v>
      </c>
      <c r="K2093" s="14">
        <f>IFERROR(VLOOKUP(VENTAS[[#This Row],[Código del producto Vendido]],STOCK[],16,FALSE)*VENTAS[[#This Row],[Cantidad]]+VLOOKUP(VENTAS[[#This Row],[Código del producto Vendido]],STOCK[],19,FALSE)*VENTAS[[#This Row],[Cantidad]],VENTAS[[#This Row],[Total]])</f>
        <v>8</v>
      </c>
      <c r="L2093" s="14">
        <f>VENTAS[[#This Row],[Total]]-VENTAS[[#This Row],[Comisión 10%]]-VENTAS[[#This Row],[Costo SIN Comision]]</f>
        <v>5.5</v>
      </c>
      <c r="M2093" s="50"/>
      <c r="N2093" s="50" t="s">
        <v>4980</v>
      </c>
    </row>
    <row r="2094" ht="12" spans="1:14">
      <c r="A2094" s="46">
        <v>45599</v>
      </c>
      <c r="B2094" s="50"/>
      <c r="C2094" s="50"/>
      <c r="D2094" s="50" t="s">
        <v>4241</v>
      </c>
      <c r="E2094" s="50" t="s">
        <v>2842</v>
      </c>
      <c r="F2094" s="11" t="s">
        <v>2843</v>
      </c>
      <c r="G2094" s="50">
        <v>1</v>
      </c>
      <c r="H2094" s="48">
        <v>30</v>
      </c>
      <c r="I2094" s="14">
        <f>VENTAS[[#This Row],[Cantidad]]*VENTAS[[#This Row],[Precio Venta]]</f>
        <v>30</v>
      </c>
      <c r="J2094" s="14">
        <f>IF(VENTAS[[#This Row],[Nombre del Gestor]]&gt;1,VENTAS[[#This Row],[Total]]*10%,0)</f>
        <v>3</v>
      </c>
      <c r="K2094" s="14">
        <f>IFERROR(VLOOKUP(VENTAS[[#This Row],[Código del producto Vendido]],STOCK[],16,FALSE)*VENTAS[[#This Row],[Cantidad]]+VLOOKUP(VENTAS[[#This Row],[Código del producto Vendido]],STOCK[],19,FALSE)*VENTAS[[#This Row],[Cantidad]],VENTAS[[#This Row],[Total]])</f>
        <v>15.59</v>
      </c>
      <c r="L2094" s="14">
        <f>VENTAS[[#This Row],[Total]]-VENTAS[[#This Row],[Comisión 10%]]-VENTAS[[#This Row],[Costo SIN Comision]]</f>
        <v>11.41</v>
      </c>
      <c r="M2094" s="50"/>
      <c r="N2094" s="50" t="s">
        <v>4981</v>
      </c>
    </row>
    <row r="2095" ht="12" spans="1:14">
      <c r="A2095" s="46">
        <v>45600</v>
      </c>
      <c r="B2095" s="50"/>
      <c r="C2095" s="50" t="s">
        <v>4982</v>
      </c>
      <c r="D2095" s="50"/>
      <c r="E2095" s="50" t="s">
        <v>3223</v>
      </c>
      <c r="F2095" s="11" t="s">
        <v>3224</v>
      </c>
      <c r="G2095" s="50">
        <v>1</v>
      </c>
      <c r="H2095" s="48">
        <v>35</v>
      </c>
      <c r="I2095" s="14">
        <f>VENTAS[[#This Row],[Cantidad]]*VENTAS[[#This Row],[Precio Venta]]</f>
        <v>35</v>
      </c>
      <c r="J2095" s="14">
        <f>IF(VENTAS[[#This Row],[Nombre del Gestor]]&gt;1,VENTAS[[#This Row],[Total]]*10%,0)</f>
        <v>0</v>
      </c>
      <c r="K2095" s="14">
        <f>IFERROR(VLOOKUP(VENTAS[[#This Row],[Código del producto Vendido]],STOCK[],16,FALSE)*VENTAS[[#This Row],[Cantidad]]+VLOOKUP(VENTAS[[#This Row],[Código del producto Vendido]],STOCK[],19,FALSE)*VENTAS[[#This Row],[Cantidad]],VENTAS[[#This Row],[Total]])</f>
        <v>12</v>
      </c>
      <c r="L2095" s="14">
        <f>VENTAS[[#This Row],[Total]]-VENTAS[[#This Row],[Comisión 10%]]-VENTAS[[#This Row],[Costo SIN Comision]]</f>
        <v>23</v>
      </c>
      <c r="M2095" s="50"/>
      <c r="N2095" s="50" t="s">
        <v>4983</v>
      </c>
    </row>
    <row r="2096" ht="12" spans="1:14">
      <c r="A2096" s="46">
        <v>45600</v>
      </c>
      <c r="B2096" s="50"/>
      <c r="C2096" s="50"/>
      <c r="D2096" s="50" t="s">
        <v>4076</v>
      </c>
      <c r="E2096" s="50" t="s">
        <v>3242</v>
      </c>
      <c r="F2096" s="11" t="s">
        <v>3243</v>
      </c>
      <c r="G2096" s="50">
        <v>1</v>
      </c>
      <c r="H2096" s="48">
        <v>30</v>
      </c>
      <c r="I2096" s="14">
        <f>VENTAS[[#This Row],[Cantidad]]*VENTAS[[#This Row],[Precio Venta]]</f>
        <v>30</v>
      </c>
      <c r="J2096" s="14">
        <f>IF(VENTAS[[#This Row],[Nombre del Gestor]]&gt;1,VENTAS[[#This Row],[Total]]*10%,0)</f>
        <v>3</v>
      </c>
      <c r="K2096" s="14">
        <f>IFERROR(VLOOKUP(VENTAS[[#This Row],[Código del producto Vendido]],STOCK[],16,FALSE)*VENTAS[[#This Row],[Cantidad]]+VLOOKUP(VENTAS[[#This Row],[Código del producto Vendido]],STOCK[],19,FALSE)*VENTAS[[#This Row],[Cantidad]],VENTAS[[#This Row],[Total]])</f>
        <v>12</v>
      </c>
      <c r="L2096" s="14">
        <f>VENTAS[[#This Row],[Total]]-VENTAS[[#This Row],[Comisión 10%]]-VENTAS[[#This Row],[Costo SIN Comision]]</f>
        <v>15</v>
      </c>
      <c r="M2096" s="50"/>
      <c r="N2096" s="50" t="s">
        <v>4984</v>
      </c>
    </row>
    <row r="2097" ht="12" spans="1:14">
      <c r="A2097" s="46">
        <v>45600</v>
      </c>
      <c r="B2097" s="50"/>
      <c r="C2097" s="50"/>
      <c r="D2097" s="50" t="s">
        <v>4076</v>
      </c>
      <c r="E2097" s="50" t="s">
        <v>3199</v>
      </c>
      <c r="F2097" s="11" t="s">
        <v>3197</v>
      </c>
      <c r="G2097" s="50">
        <v>1</v>
      </c>
      <c r="H2097" s="48">
        <v>18</v>
      </c>
      <c r="I2097" s="14">
        <f>VENTAS[[#This Row],[Cantidad]]*VENTAS[[#This Row],[Precio Venta]]</f>
        <v>18</v>
      </c>
      <c r="J2097" s="14">
        <f>IF(VENTAS[[#This Row],[Nombre del Gestor]]&gt;1,VENTAS[[#This Row],[Total]]*10%,0)</f>
        <v>1.8</v>
      </c>
      <c r="K2097" s="14">
        <f>IFERROR(VLOOKUP(VENTAS[[#This Row],[Código del producto Vendido]],STOCK[],16,FALSE)*VENTAS[[#This Row],[Cantidad]]+VLOOKUP(VENTAS[[#This Row],[Código del producto Vendido]],STOCK[],19,FALSE)*VENTAS[[#This Row],[Cantidad]],VENTAS[[#This Row],[Total]])</f>
        <v>10</v>
      </c>
      <c r="L2097" s="14">
        <f>VENTAS[[#This Row],[Total]]-VENTAS[[#This Row],[Comisión 10%]]-VENTAS[[#This Row],[Costo SIN Comision]]</f>
        <v>6.2</v>
      </c>
      <c r="M2097" s="50"/>
      <c r="N2097" s="50" t="s">
        <v>4985</v>
      </c>
    </row>
    <row r="2098" ht="12" spans="1:14">
      <c r="A2098" s="46">
        <v>45600</v>
      </c>
      <c r="B2098" s="50"/>
      <c r="C2098" s="50"/>
      <c r="D2098" s="50" t="s">
        <v>4076</v>
      </c>
      <c r="E2098" s="50" t="s">
        <v>3198</v>
      </c>
      <c r="F2098" s="11" t="s">
        <v>3197</v>
      </c>
      <c r="G2098" s="50">
        <v>1</v>
      </c>
      <c r="H2098" s="48">
        <v>18</v>
      </c>
      <c r="I2098" s="14">
        <f>VENTAS[[#This Row],[Cantidad]]*VENTAS[[#This Row],[Precio Venta]]</f>
        <v>18</v>
      </c>
      <c r="J2098" s="14">
        <f>IF(VENTAS[[#This Row],[Nombre del Gestor]]&gt;1,VENTAS[[#This Row],[Total]]*10%,0)</f>
        <v>1.8</v>
      </c>
      <c r="K2098" s="14">
        <f>IFERROR(VLOOKUP(VENTAS[[#This Row],[Código del producto Vendido]],STOCK[],16,FALSE)*VENTAS[[#This Row],[Cantidad]]+VLOOKUP(VENTAS[[#This Row],[Código del producto Vendido]],STOCK[],19,FALSE)*VENTAS[[#This Row],[Cantidad]],VENTAS[[#This Row],[Total]])</f>
        <v>10</v>
      </c>
      <c r="L2098" s="14">
        <f>VENTAS[[#This Row],[Total]]-VENTAS[[#This Row],[Comisión 10%]]-VENTAS[[#This Row],[Costo SIN Comision]]</f>
        <v>6.2</v>
      </c>
      <c r="M2098" s="50"/>
      <c r="N2098" s="50" t="s">
        <v>4986</v>
      </c>
    </row>
    <row r="2099" ht="12" spans="1:14">
      <c r="A2099" s="46">
        <v>45600</v>
      </c>
      <c r="B2099" s="50"/>
      <c r="C2099" s="50"/>
      <c r="D2099" s="50" t="s">
        <v>4649</v>
      </c>
      <c r="E2099" s="50" t="s">
        <v>3111</v>
      </c>
      <c r="F2099" s="11" t="s">
        <v>3112</v>
      </c>
      <c r="G2099" s="50">
        <v>1</v>
      </c>
      <c r="H2099" s="48">
        <v>15</v>
      </c>
      <c r="I2099" s="14">
        <f>VENTAS[[#This Row],[Cantidad]]*VENTAS[[#This Row],[Precio Venta]]</f>
        <v>15</v>
      </c>
      <c r="J2099" s="14">
        <f>IF(VENTAS[[#This Row],[Nombre del Gestor]]&gt;1,VENTAS[[#This Row],[Total]]*10%,0)</f>
        <v>1.5</v>
      </c>
      <c r="K2099" s="14">
        <f>IFERROR(VLOOKUP(VENTAS[[#This Row],[Código del producto Vendido]],STOCK[],16,FALSE)*VENTAS[[#This Row],[Cantidad]]+VLOOKUP(VENTAS[[#This Row],[Código del producto Vendido]],STOCK[],19,FALSE)*VENTAS[[#This Row],[Cantidad]],VENTAS[[#This Row],[Total]])</f>
        <v>8</v>
      </c>
      <c r="L2099" s="14">
        <f>VENTAS[[#This Row],[Total]]-VENTAS[[#This Row],[Comisión 10%]]-VENTAS[[#This Row],[Costo SIN Comision]]</f>
        <v>5.5</v>
      </c>
      <c r="M2099" s="50"/>
      <c r="N2099" s="50" t="s">
        <v>4987</v>
      </c>
    </row>
    <row r="2100" ht="12" spans="1:14">
      <c r="A2100" s="46">
        <v>45600</v>
      </c>
      <c r="B2100" s="50"/>
      <c r="C2100" s="50"/>
      <c r="D2100" s="50" t="s">
        <v>4266</v>
      </c>
      <c r="E2100" s="50" t="s">
        <v>1906</v>
      </c>
      <c r="F2100" s="11" t="s">
        <v>1903</v>
      </c>
      <c r="G2100" s="50">
        <v>1</v>
      </c>
      <c r="H2100" s="48">
        <v>14</v>
      </c>
      <c r="I2100" s="14">
        <f>VENTAS[[#This Row],[Cantidad]]*VENTAS[[#This Row],[Precio Venta]]</f>
        <v>14</v>
      </c>
      <c r="J2100" s="14">
        <f>IF(VENTAS[[#This Row],[Nombre del Gestor]]&gt;1,VENTAS[[#This Row],[Total]]*10%,0)</f>
        <v>1.4</v>
      </c>
      <c r="K2100" s="14">
        <f>IFERROR(VLOOKUP(VENTAS[[#This Row],[Código del producto Vendido]],STOCK[],16,FALSE)*VENTAS[[#This Row],[Cantidad]]+VLOOKUP(VENTAS[[#This Row],[Código del producto Vendido]],STOCK[],19,FALSE)*VENTAS[[#This Row],[Cantidad]],VENTAS[[#This Row],[Total]])</f>
        <v>9.2</v>
      </c>
      <c r="L2100" s="14">
        <f>VENTAS[[#This Row],[Total]]-VENTAS[[#This Row],[Comisión 10%]]-VENTAS[[#This Row],[Costo SIN Comision]]</f>
        <v>3.4</v>
      </c>
      <c r="M2100" s="50"/>
      <c r="N2100" s="50" t="s">
        <v>4988</v>
      </c>
    </row>
    <row r="2101" ht="12" spans="1:14">
      <c r="A2101" s="46">
        <v>45600</v>
      </c>
      <c r="B2101" s="50"/>
      <c r="C2101" s="50"/>
      <c r="D2101" s="50" t="s">
        <v>4266</v>
      </c>
      <c r="E2101" s="50" t="s">
        <v>2566</v>
      </c>
      <c r="F2101" s="11" t="s">
        <v>4989</v>
      </c>
      <c r="G2101" s="50">
        <v>1</v>
      </c>
      <c r="H2101" s="48">
        <v>17</v>
      </c>
      <c r="I2101" s="14">
        <f>VENTAS[[#This Row],[Cantidad]]*VENTAS[[#This Row],[Precio Venta]]</f>
        <v>17</v>
      </c>
      <c r="J2101" s="14">
        <f>IF(VENTAS[[#This Row],[Nombre del Gestor]]&gt;1,VENTAS[[#This Row],[Total]]*10%,0)</f>
        <v>1.7</v>
      </c>
      <c r="K2101" s="14">
        <f>IFERROR(VLOOKUP(VENTAS[[#This Row],[Código del producto Vendido]],STOCK[],16,FALSE)*VENTAS[[#This Row],[Cantidad]]+VLOOKUP(VENTAS[[#This Row],[Código del producto Vendido]],STOCK[],19,FALSE)*VENTAS[[#This Row],[Cantidad]],VENTAS[[#This Row],[Total]])</f>
        <v>11.45</v>
      </c>
      <c r="L2101" s="14">
        <f>VENTAS[[#This Row],[Total]]-VENTAS[[#This Row],[Comisión 10%]]-VENTAS[[#This Row],[Costo SIN Comision]]</f>
        <v>3.85</v>
      </c>
      <c r="M2101" s="50"/>
      <c r="N2101" s="50" t="s">
        <v>4990</v>
      </c>
    </row>
    <row r="2102" ht="12" spans="1:14">
      <c r="A2102" s="46">
        <v>45607</v>
      </c>
      <c r="B2102" s="50"/>
      <c r="C2102" s="50" t="s">
        <v>4991</v>
      </c>
      <c r="D2102" s="51"/>
      <c r="E2102" s="50" t="s">
        <v>3172</v>
      </c>
      <c r="F2102" s="11" t="s">
        <v>3173</v>
      </c>
      <c r="G2102" s="50">
        <v>1</v>
      </c>
      <c r="H2102" s="48">
        <v>25</v>
      </c>
      <c r="I2102" s="14">
        <f>VENTAS[[#This Row],[Cantidad]]*VENTAS[[#This Row],[Precio Venta]]</f>
        <v>25</v>
      </c>
      <c r="J2102" s="14">
        <f>IF(VENTAS[[#This Row],[Nombre del Gestor]]&gt;1,VENTAS[[#This Row],[Total]]*10%,0)</f>
        <v>0</v>
      </c>
      <c r="K2102" s="14">
        <f>IFERROR(VLOOKUP(VENTAS[[#This Row],[Código del producto Vendido]],STOCK[],16,FALSE)*VENTAS[[#This Row],[Cantidad]]+VLOOKUP(VENTAS[[#This Row],[Código del producto Vendido]],STOCK[],19,FALSE)*VENTAS[[#This Row],[Cantidad]],VENTAS[[#This Row],[Total]])</f>
        <v>10</v>
      </c>
      <c r="L2102" s="14">
        <f>VENTAS[[#This Row],[Total]]-VENTAS[[#This Row],[Comisión 10%]]-VENTAS[[#This Row],[Costo SIN Comision]]</f>
        <v>15</v>
      </c>
      <c r="M2102" s="50"/>
      <c r="N2102" s="50" t="s">
        <v>4992</v>
      </c>
    </row>
    <row r="2103" ht="12" spans="1:14">
      <c r="A2103" s="46">
        <v>45607</v>
      </c>
      <c r="B2103" s="50"/>
      <c r="C2103" s="50" t="s">
        <v>4991</v>
      </c>
      <c r="D2103" s="51"/>
      <c r="E2103" s="50" t="s">
        <v>3176</v>
      </c>
      <c r="F2103" s="11" t="s">
        <v>3177</v>
      </c>
      <c r="G2103" s="50">
        <v>1</v>
      </c>
      <c r="H2103" s="48">
        <v>25</v>
      </c>
      <c r="I2103" s="14">
        <f>VENTAS[[#This Row],[Cantidad]]*VENTAS[[#This Row],[Precio Venta]]</f>
        <v>25</v>
      </c>
      <c r="J2103" s="14">
        <f>IF(VENTAS[[#This Row],[Nombre del Gestor]]&gt;1,VENTAS[[#This Row],[Total]]*10%,0)</f>
        <v>0</v>
      </c>
      <c r="K2103" s="14">
        <f>IFERROR(VLOOKUP(VENTAS[[#This Row],[Código del producto Vendido]],STOCK[],16,FALSE)*VENTAS[[#This Row],[Cantidad]]+VLOOKUP(VENTAS[[#This Row],[Código del producto Vendido]],STOCK[],19,FALSE)*VENTAS[[#This Row],[Cantidad]],VENTAS[[#This Row],[Total]])</f>
        <v>10</v>
      </c>
      <c r="L2103" s="14">
        <f>VENTAS[[#This Row],[Total]]-VENTAS[[#This Row],[Comisión 10%]]-VENTAS[[#This Row],[Costo SIN Comision]]</f>
        <v>15</v>
      </c>
      <c r="M2103" s="50"/>
      <c r="N2103" s="50" t="s">
        <v>4993</v>
      </c>
    </row>
    <row r="2104" ht="12" spans="1:14">
      <c r="A2104" s="46">
        <v>45601</v>
      </c>
      <c r="B2104" s="50"/>
      <c r="C2104" s="50"/>
      <c r="D2104" s="50" t="s">
        <v>4463</v>
      </c>
      <c r="E2104" s="50" t="s">
        <v>2941</v>
      </c>
      <c r="F2104" s="11" t="s">
        <v>2939</v>
      </c>
      <c r="G2104" s="50">
        <v>1</v>
      </c>
      <c r="H2104" s="48">
        <v>25</v>
      </c>
      <c r="I2104" s="14">
        <f>VENTAS[[#This Row],[Cantidad]]*VENTAS[[#This Row],[Precio Venta]]</f>
        <v>25</v>
      </c>
      <c r="J2104" s="14">
        <f>IF(VENTAS[[#This Row],[Nombre del Gestor]]&gt;1,VENTAS[[#This Row],[Total]]*10%,0)</f>
        <v>2.5</v>
      </c>
      <c r="K2104" s="14">
        <f>IFERROR(VLOOKUP(VENTAS[[#This Row],[Código del producto Vendido]],STOCK[],16,FALSE)*VENTAS[[#This Row],[Cantidad]]+VLOOKUP(VENTAS[[#This Row],[Código del producto Vendido]],STOCK[],19,FALSE)*VENTAS[[#This Row],[Cantidad]],VENTAS[[#This Row],[Total]])</f>
        <v>10.79</v>
      </c>
      <c r="L2104" s="14">
        <f>VENTAS[[#This Row],[Total]]-VENTAS[[#This Row],[Comisión 10%]]-VENTAS[[#This Row],[Costo SIN Comision]]</f>
        <v>11.71</v>
      </c>
      <c r="M2104" s="50"/>
      <c r="N2104" s="50" t="s">
        <v>4994</v>
      </c>
    </row>
    <row r="2105" ht="12" spans="1:14">
      <c r="A2105" s="46">
        <v>45601</v>
      </c>
      <c r="B2105" s="50"/>
      <c r="C2105" s="50"/>
      <c r="D2105" s="50" t="s">
        <v>4266</v>
      </c>
      <c r="E2105" s="50" t="s">
        <v>2933</v>
      </c>
      <c r="F2105" s="11" t="s">
        <v>2930</v>
      </c>
      <c r="G2105" s="50">
        <v>1</v>
      </c>
      <c r="H2105" s="48">
        <v>30</v>
      </c>
      <c r="I2105" s="14">
        <f>VENTAS[[#This Row],[Cantidad]]*VENTAS[[#This Row],[Precio Venta]]</f>
        <v>30</v>
      </c>
      <c r="J2105" s="14">
        <f>IF(VENTAS[[#This Row],[Nombre del Gestor]]&gt;1,VENTAS[[#This Row],[Total]]*10%,0)</f>
        <v>3</v>
      </c>
      <c r="K2105" s="14">
        <f>IFERROR(VLOOKUP(VENTAS[[#This Row],[Código del producto Vendido]],STOCK[],16,FALSE)*VENTAS[[#This Row],[Cantidad]]+VLOOKUP(VENTAS[[#This Row],[Código del producto Vendido]],STOCK[],19,FALSE)*VENTAS[[#This Row],[Cantidad]],VENTAS[[#This Row],[Total]])</f>
        <v>12.46</v>
      </c>
      <c r="L2105" s="14">
        <f>VENTAS[[#This Row],[Total]]-VENTAS[[#This Row],[Comisión 10%]]-VENTAS[[#This Row],[Costo SIN Comision]]</f>
        <v>14.54</v>
      </c>
      <c r="M2105" s="50"/>
      <c r="N2105" s="50" t="s">
        <v>4995</v>
      </c>
    </row>
    <row r="2106" ht="12" hidden="1" spans="1:14">
      <c r="A2106" s="46">
        <v>45574</v>
      </c>
      <c r="B2106" s="50"/>
      <c r="C2106" s="50"/>
      <c r="D2106" s="50" t="s">
        <v>4996</v>
      </c>
      <c r="E2106" s="50" t="s">
        <v>2959</v>
      </c>
      <c r="F2106" s="11" t="s">
        <v>2958</v>
      </c>
      <c r="G2106" s="50">
        <v>1</v>
      </c>
      <c r="H2106" s="48">
        <v>30</v>
      </c>
      <c r="I2106" s="14">
        <f>VENTAS[[#This Row],[Cantidad]]*VENTAS[[#This Row],[Precio Venta]]</f>
        <v>30</v>
      </c>
      <c r="J2106" s="14">
        <f>IF(VENTAS[[#This Row],[Nombre del Gestor]]&gt;1,VENTAS[[#This Row],[Total]]*10%,0)</f>
        <v>3</v>
      </c>
      <c r="K2106" s="14">
        <f>IFERROR(VLOOKUP(VENTAS[[#This Row],[Código del producto Vendido]],STOCK[],16,FALSE)*VENTAS[[#This Row],[Cantidad]]+VLOOKUP(VENTAS[[#This Row],[Código del producto Vendido]],STOCK[],19,FALSE)*VENTAS[[#This Row],[Cantidad]],VENTAS[[#This Row],[Total]])</f>
        <v>15.13</v>
      </c>
      <c r="L2106" s="14">
        <f>VENTAS[[#This Row],[Total]]-VENTAS[[#This Row],[Comisión 10%]]-VENTAS[[#This Row],[Costo SIN Comision]]</f>
        <v>11.87</v>
      </c>
      <c r="M2106" s="50"/>
      <c r="N2106" s="50" t="s">
        <v>4997</v>
      </c>
    </row>
    <row r="2107" ht="12" hidden="1" spans="1:14">
      <c r="A2107" s="46">
        <v>45574</v>
      </c>
      <c r="B2107" s="50"/>
      <c r="C2107" s="50"/>
      <c r="D2107" s="50" t="s">
        <v>4998</v>
      </c>
      <c r="E2107" s="50" t="s">
        <v>2430</v>
      </c>
      <c r="F2107" s="11" t="s">
        <v>2426</v>
      </c>
      <c r="G2107" s="50">
        <v>1</v>
      </c>
      <c r="H2107" s="48">
        <v>23</v>
      </c>
      <c r="I2107" s="14">
        <f>VENTAS[[#This Row],[Cantidad]]*VENTAS[[#This Row],[Precio Venta]]</f>
        <v>23</v>
      </c>
      <c r="J2107" s="14">
        <f>IF(VENTAS[[#This Row],[Nombre del Gestor]]&gt;1,VENTAS[[#This Row],[Total]]*10%,0)</f>
        <v>2.3</v>
      </c>
      <c r="K2107" s="14">
        <f>IFERROR(VLOOKUP(VENTAS[[#This Row],[Código del producto Vendido]],STOCK[],16,FALSE)*VENTAS[[#This Row],[Cantidad]]+VLOOKUP(VENTAS[[#This Row],[Código del producto Vendido]],STOCK[],19,FALSE)*VENTAS[[#This Row],[Cantidad]],VENTAS[[#This Row],[Total]])</f>
        <v>11.4353349001175</v>
      </c>
      <c r="L2107" s="14">
        <f>VENTAS[[#This Row],[Total]]-VENTAS[[#This Row],[Comisión 10%]]-VENTAS[[#This Row],[Costo SIN Comision]]</f>
        <v>9.26466509988249</v>
      </c>
      <c r="M2107" s="50"/>
      <c r="N2107" s="50" t="s">
        <v>4999</v>
      </c>
    </row>
    <row r="2108" ht="12" hidden="1" spans="1:14">
      <c r="A2108" s="46">
        <v>45574</v>
      </c>
      <c r="B2108" s="50"/>
      <c r="C2108" s="50"/>
      <c r="D2108" s="50" t="s">
        <v>5000</v>
      </c>
      <c r="E2108" s="50" t="s">
        <v>3343</v>
      </c>
      <c r="F2108" s="11" t="s">
        <v>3344</v>
      </c>
      <c r="G2108" s="50">
        <v>1</v>
      </c>
      <c r="H2108" s="48">
        <v>25</v>
      </c>
      <c r="I2108" s="14">
        <f>VENTAS[[#This Row],[Cantidad]]*VENTAS[[#This Row],[Precio Venta]]</f>
        <v>25</v>
      </c>
      <c r="J2108" s="14">
        <f>IF(VENTAS[[#This Row],[Nombre del Gestor]]&gt;1,VENTAS[[#This Row],[Total]]*10%,0)</f>
        <v>2.5</v>
      </c>
      <c r="K2108" s="14">
        <f>IFERROR(VLOOKUP(VENTAS[[#This Row],[Código del producto Vendido]],STOCK[],16,FALSE)*VENTAS[[#This Row],[Cantidad]]+VLOOKUP(VENTAS[[#This Row],[Código del producto Vendido]],STOCK[],19,FALSE)*VENTAS[[#This Row],[Cantidad]],VENTAS[[#This Row],[Total]])</f>
        <v>0</v>
      </c>
      <c r="L2108" s="14">
        <f>VENTAS[[#This Row],[Total]]-VENTAS[[#This Row],[Comisión 10%]]-VENTAS[[#This Row],[Costo SIN Comision]]</f>
        <v>22.5</v>
      </c>
      <c r="M2108" s="50"/>
      <c r="N2108" s="50" t="s">
        <v>5001</v>
      </c>
    </row>
    <row r="2109" ht="12" hidden="1" spans="1:14">
      <c r="A2109" s="46">
        <v>45574</v>
      </c>
      <c r="B2109" s="50"/>
      <c r="C2109" s="50"/>
      <c r="D2109" s="50" t="s">
        <v>5002</v>
      </c>
      <c r="E2109" s="50" t="s">
        <v>2778</v>
      </c>
      <c r="F2109" s="11" t="s">
        <v>2777</v>
      </c>
      <c r="G2109" s="50">
        <v>1</v>
      </c>
      <c r="H2109" s="48">
        <v>35</v>
      </c>
      <c r="I2109" s="14">
        <f>VENTAS[[#This Row],[Cantidad]]*VENTAS[[#This Row],[Precio Venta]]</f>
        <v>35</v>
      </c>
      <c r="J2109" s="14">
        <f>IF(VENTAS[[#This Row],[Nombre del Gestor]]&gt;1,VENTAS[[#This Row],[Total]]*10%,0)</f>
        <v>3.5</v>
      </c>
      <c r="K2109" s="14">
        <f>IFERROR(VLOOKUP(VENTAS[[#This Row],[Código del producto Vendido]],STOCK[],16,FALSE)*VENTAS[[#This Row],[Cantidad]]+VLOOKUP(VENTAS[[#This Row],[Código del producto Vendido]],STOCK[],19,FALSE)*VENTAS[[#This Row],[Cantidad]],VENTAS[[#This Row],[Total]])</f>
        <v>12.15</v>
      </c>
      <c r="L2109" s="14">
        <f>VENTAS[[#This Row],[Total]]-VENTAS[[#This Row],[Comisión 10%]]-VENTAS[[#This Row],[Costo SIN Comision]]</f>
        <v>19.35</v>
      </c>
      <c r="M2109" s="50"/>
      <c r="N2109" s="50" t="s">
        <v>5003</v>
      </c>
    </row>
    <row r="2110" ht="12" hidden="1" spans="1:14">
      <c r="A2110" s="46">
        <v>45574</v>
      </c>
      <c r="B2110" s="50"/>
      <c r="C2110" s="50"/>
      <c r="D2110" s="50" t="s">
        <v>5004</v>
      </c>
      <c r="E2110" s="50" t="s">
        <v>3371</v>
      </c>
      <c r="F2110" s="11" t="s">
        <v>3335</v>
      </c>
      <c r="G2110" s="50">
        <v>1</v>
      </c>
      <c r="H2110" s="48">
        <v>5</v>
      </c>
      <c r="I2110" s="14">
        <f>VENTAS[[#This Row],[Cantidad]]*VENTAS[[#This Row],[Precio Venta]]</f>
        <v>5</v>
      </c>
      <c r="J2110" s="14">
        <f>IF(VENTAS[[#This Row],[Nombre del Gestor]]&gt;1,VENTAS[[#This Row],[Total]]*10%,0)</f>
        <v>0.5</v>
      </c>
      <c r="K2110" s="14">
        <f>IFERROR(VLOOKUP(VENTAS[[#This Row],[Código del producto Vendido]],STOCK[],16,FALSE)*VENTAS[[#This Row],[Cantidad]]+VLOOKUP(VENTAS[[#This Row],[Código del producto Vendido]],STOCK[],19,FALSE)*VENTAS[[#This Row],[Cantidad]],VENTAS[[#This Row],[Total]])</f>
        <v>0</v>
      </c>
      <c r="L2110" s="14">
        <f>VENTAS[[#This Row],[Total]]-VENTAS[[#This Row],[Comisión 10%]]-VENTAS[[#This Row],[Costo SIN Comision]]</f>
        <v>4.5</v>
      </c>
      <c r="M2110" s="50"/>
      <c r="N2110" s="50" t="s">
        <v>5005</v>
      </c>
    </row>
    <row r="2111" ht="12" spans="1:14">
      <c r="A2111" s="46">
        <v>45602</v>
      </c>
      <c r="B2111" s="50"/>
      <c r="C2111" s="50"/>
      <c r="D2111" s="50" t="s">
        <v>4266</v>
      </c>
      <c r="E2111" s="50" t="s">
        <v>3139</v>
      </c>
      <c r="F2111" s="11" t="s">
        <v>3140</v>
      </c>
      <c r="G2111" s="50">
        <v>1</v>
      </c>
      <c r="H2111" s="48">
        <v>22</v>
      </c>
      <c r="I2111" s="14">
        <f>VENTAS[[#This Row],[Cantidad]]*VENTAS[[#This Row],[Precio Venta]]</f>
        <v>22</v>
      </c>
      <c r="J2111" s="14">
        <f>IF(VENTAS[[#This Row],[Nombre del Gestor]]&gt;1,VENTAS[[#This Row],[Total]]*10%,0)</f>
        <v>2.2</v>
      </c>
      <c r="K2111" s="14">
        <f>IFERROR(VLOOKUP(VENTAS[[#This Row],[Código del producto Vendido]],STOCK[],16,FALSE)*VENTAS[[#This Row],[Cantidad]]+VLOOKUP(VENTAS[[#This Row],[Código del producto Vendido]],STOCK[],19,FALSE)*VENTAS[[#This Row],[Cantidad]],VENTAS[[#This Row],[Total]])</f>
        <v>12</v>
      </c>
      <c r="L2111" s="14">
        <f>VENTAS[[#This Row],[Total]]-VENTAS[[#This Row],[Comisión 10%]]-VENTAS[[#This Row],[Costo SIN Comision]]</f>
        <v>7.8</v>
      </c>
      <c r="M2111" s="50"/>
      <c r="N2111" s="50" t="s">
        <v>5006</v>
      </c>
    </row>
    <row r="2112" ht="35" spans="1:14">
      <c r="A2112" s="46">
        <v>45607</v>
      </c>
      <c r="B2112" s="50"/>
      <c r="C2112" s="50" t="s">
        <v>5007</v>
      </c>
      <c r="D2112" s="50"/>
      <c r="E2112" s="50" t="s">
        <v>3221</v>
      </c>
      <c r="F2112" s="11" t="s">
        <v>3222</v>
      </c>
      <c r="G2112" s="50">
        <v>1</v>
      </c>
      <c r="H2112" s="48">
        <v>25</v>
      </c>
      <c r="I2112" s="14">
        <f>VENTAS[[#This Row],[Cantidad]]*VENTAS[[#This Row],[Precio Venta]]</f>
        <v>25</v>
      </c>
      <c r="J2112" s="14">
        <f>IF(VENTAS[[#This Row],[Nombre del Gestor]]&gt;1,VENTAS[[#This Row],[Total]]*10%,0)</f>
        <v>0</v>
      </c>
      <c r="K2112" s="14">
        <f>IFERROR(VLOOKUP(VENTAS[[#This Row],[Código del producto Vendido]],STOCK[],16,FALSE)*VENTAS[[#This Row],[Cantidad]]+VLOOKUP(VENTAS[[#This Row],[Código del producto Vendido]],STOCK[],19,FALSE)*VENTAS[[#This Row],[Cantidad]],VENTAS[[#This Row],[Total]])</f>
        <v>12</v>
      </c>
      <c r="L2112" s="14">
        <f>VENTAS[[#This Row],[Total]]-VENTAS[[#This Row],[Comisión 10%]]-VENTAS[[#This Row],[Costo SIN Comision]]</f>
        <v>13</v>
      </c>
      <c r="M2112" s="50"/>
      <c r="N2112" s="50" t="s">
        <v>5008</v>
      </c>
    </row>
    <row r="2113" ht="12" spans="1:14">
      <c r="A2113" s="46">
        <v>45607</v>
      </c>
      <c r="B2113" s="50"/>
      <c r="C2113" s="50"/>
      <c r="D2113" s="50" t="s">
        <v>4463</v>
      </c>
      <c r="E2113" s="50" t="s">
        <v>1650</v>
      </c>
      <c r="F2113" s="11" t="s">
        <v>1651</v>
      </c>
      <c r="G2113" s="50">
        <v>1</v>
      </c>
      <c r="H2113" s="48">
        <v>20</v>
      </c>
      <c r="I2113" s="14">
        <f>VENTAS[[#This Row],[Cantidad]]*VENTAS[[#This Row],[Precio Venta]]</f>
        <v>20</v>
      </c>
      <c r="J2113" s="14">
        <f>IF(VENTAS[[#This Row],[Nombre del Gestor]]&gt;1,VENTAS[[#This Row],[Total]]*10%,0)</f>
        <v>2</v>
      </c>
      <c r="K2113" s="14">
        <f>IFERROR(VLOOKUP(VENTAS[[#This Row],[Código del producto Vendido]],STOCK[],16,FALSE)*VENTAS[[#This Row],[Cantidad]]+VLOOKUP(VENTAS[[#This Row],[Código del producto Vendido]],STOCK[],19,FALSE)*VENTAS[[#This Row],[Cantidad]],VENTAS[[#This Row],[Total]])</f>
        <v>11.56</v>
      </c>
      <c r="L2113" s="14">
        <f>VENTAS[[#This Row],[Total]]-VENTAS[[#This Row],[Comisión 10%]]-VENTAS[[#This Row],[Costo SIN Comision]]</f>
        <v>6.44</v>
      </c>
      <c r="M2113" s="50"/>
      <c r="N2113" s="50" t="s">
        <v>5009</v>
      </c>
    </row>
    <row r="2114" ht="12" spans="1:14">
      <c r="A2114" s="46">
        <v>45607</v>
      </c>
      <c r="B2114" s="50"/>
      <c r="C2114" s="50"/>
      <c r="D2114" s="50" t="s">
        <v>4463</v>
      </c>
      <c r="E2114" s="50" t="s">
        <v>2933</v>
      </c>
      <c r="F2114" s="11" t="s">
        <v>2930</v>
      </c>
      <c r="G2114" s="50">
        <v>1</v>
      </c>
      <c r="H2114" s="48">
        <v>30</v>
      </c>
      <c r="I2114" s="14">
        <f>VENTAS[[#This Row],[Cantidad]]*VENTAS[[#This Row],[Precio Venta]]</f>
        <v>30</v>
      </c>
      <c r="J2114" s="14">
        <f>IF(VENTAS[[#This Row],[Nombre del Gestor]]&gt;1,VENTAS[[#This Row],[Total]]*10%,0)</f>
        <v>3</v>
      </c>
      <c r="K2114" s="14">
        <f>IFERROR(VLOOKUP(VENTAS[[#This Row],[Código del producto Vendido]],STOCK[],16,FALSE)*VENTAS[[#This Row],[Cantidad]]+VLOOKUP(VENTAS[[#This Row],[Código del producto Vendido]],STOCK[],19,FALSE)*VENTAS[[#This Row],[Cantidad]],VENTAS[[#This Row],[Total]])</f>
        <v>12.46</v>
      </c>
      <c r="L2114" s="14">
        <f>VENTAS[[#This Row],[Total]]-VENTAS[[#This Row],[Comisión 10%]]-VENTAS[[#This Row],[Costo SIN Comision]]</f>
        <v>14.54</v>
      </c>
      <c r="M2114" s="50"/>
      <c r="N2114" s="50" t="s">
        <v>5010</v>
      </c>
    </row>
    <row r="2115" ht="12" spans="1:14">
      <c r="A2115" s="46">
        <v>45608</v>
      </c>
      <c r="B2115" s="50"/>
      <c r="C2115" s="50"/>
      <c r="D2115" s="50" t="s">
        <v>4272</v>
      </c>
      <c r="E2115" s="50" t="s">
        <v>2934</v>
      </c>
      <c r="F2115" s="11" t="s">
        <v>2930</v>
      </c>
      <c r="G2115" s="50">
        <v>1</v>
      </c>
      <c r="H2115" s="48">
        <v>30</v>
      </c>
      <c r="I2115" s="14">
        <f>VENTAS[[#This Row],[Cantidad]]*VENTAS[[#This Row],[Precio Venta]]</f>
        <v>30</v>
      </c>
      <c r="J2115" s="14">
        <f>IF(VENTAS[[#This Row],[Nombre del Gestor]]&gt;1,VENTAS[[#This Row],[Total]]*10%,0)</f>
        <v>3</v>
      </c>
      <c r="K2115" s="14">
        <f>IFERROR(VLOOKUP(VENTAS[[#This Row],[Código del producto Vendido]],STOCK[],16,FALSE)*VENTAS[[#This Row],[Cantidad]]+VLOOKUP(VENTAS[[#This Row],[Código del producto Vendido]],STOCK[],19,FALSE)*VENTAS[[#This Row],[Cantidad]],VENTAS[[#This Row],[Total]])</f>
        <v>12.46</v>
      </c>
      <c r="L2115" s="14">
        <f>VENTAS[[#This Row],[Total]]-VENTAS[[#This Row],[Comisión 10%]]-VENTAS[[#This Row],[Costo SIN Comision]]</f>
        <v>14.54</v>
      </c>
      <c r="M2115" s="50"/>
      <c r="N2115" s="50" t="s">
        <v>5011</v>
      </c>
    </row>
    <row r="2116" ht="12" spans="1:14">
      <c r="A2116" s="46">
        <v>45609</v>
      </c>
      <c r="B2116" s="50"/>
      <c r="C2116" s="50"/>
      <c r="D2116" s="50" t="s">
        <v>4266</v>
      </c>
      <c r="E2116" s="50" t="s">
        <v>2733</v>
      </c>
      <c r="F2116" s="11" t="s">
        <v>2734</v>
      </c>
      <c r="G2116" s="50">
        <v>1</v>
      </c>
      <c r="H2116" s="48">
        <v>20</v>
      </c>
      <c r="I2116" s="14">
        <f>VENTAS[[#This Row],[Cantidad]]*VENTAS[[#This Row],[Precio Venta]]</f>
        <v>20</v>
      </c>
      <c r="J2116" s="14">
        <f>IF(VENTAS[[#This Row],[Nombre del Gestor]]&gt;1,VENTAS[[#This Row],[Total]]*10%,0)</f>
        <v>2</v>
      </c>
      <c r="K2116" s="14">
        <f>IFERROR(VLOOKUP(VENTAS[[#This Row],[Código del producto Vendido]],STOCK[],16,FALSE)*VENTAS[[#This Row],[Cantidad]]+VLOOKUP(VENTAS[[#This Row],[Código del producto Vendido]],STOCK[],19,FALSE)*VENTAS[[#This Row],[Cantidad]],VENTAS[[#This Row],[Total]])</f>
        <v>11.06</v>
      </c>
      <c r="L2116" s="14">
        <f>VENTAS[[#This Row],[Total]]-VENTAS[[#This Row],[Comisión 10%]]-VENTAS[[#This Row],[Costo SIN Comision]]</f>
        <v>6.94</v>
      </c>
      <c r="M2116" s="50"/>
      <c r="N2116" s="50" t="s">
        <v>5012</v>
      </c>
    </row>
    <row r="2117" ht="12" spans="1:14">
      <c r="A2117" s="46">
        <v>45609</v>
      </c>
      <c r="B2117" s="50"/>
      <c r="C2117" s="50"/>
      <c r="D2117" s="50" t="s">
        <v>4241</v>
      </c>
      <c r="E2117" s="50" t="s">
        <v>3008</v>
      </c>
      <c r="F2117" s="11" t="s">
        <v>3009</v>
      </c>
      <c r="G2117" s="50">
        <v>1</v>
      </c>
      <c r="H2117" s="48">
        <v>40</v>
      </c>
      <c r="I2117" s="14">
        <f>VENTAS[[#This Row],[Cantidad]]*VENTAS[[#This Row],[Precio Venta]]</f>
        <v>40</v>
      </c>
      <c r="J2117" s="14">
        <f>IF(VENTAS[[#This Row],[Nombre del Gestor]]&gt;1,VENTAS[[#This Row],[Total]]*10%,0)</f>
        <v>4</v>
      </c>
      <c r="K2117" s="14">
        <f>IFERROR(VLOOKUP(VENTAS[[#This Row],[Código del producto Vendido]],STOCK[],16,FALSE)*VENTAS[[#This Row],[Cantidad]]+VLOOKUP(VENTAS[[#This Row],[Código del producto Vendido]],STOCK[],19,FALSE)*VENTAS[[#This Row],[Cantidad]],VENTAS[[#This Row],[Total]])</f>
        <v>13.47</v>
      </c>
      <c r="L2117" s="14">
        <f>VENTAS[[#This Row],[Total]]-VENTAS[[#This Row],[Comisión 10%]]-VENTAS[[#This Row],[Costo SIN Comision]]</f>
        <v>22.53</v>
      </c>
      <c r="M2117" s="50"/>
      <c r="N2117" s="50" t="s">
        <v>5013</v>
      </c>
    </row>
    <row r="2118" ht="12" spans="1:14">
      <c r="A2118" s="46">
        <v>45609</v>
      </c>
      <c r="B2118" s="50"/>
      <c r="C2118" s="50"/>
      <c r="D2118" s="50" t="s">
        <v>4463</v>
      </c>
      <c r="E2118" s="50" t="s">
        <v>902</v>
      </c>
      <c r="F2118" s="11" t="s">
        <v>903</v>
      </c>
      <c r="G2118" s="50">
        <v>1</v>
      </c>
      <c r="H2118" s="48">
        <v>30</v>
      </c>
      <c r="I2118" s="14">
        <f>VENTAS[[#This Row],[Cantidad]]*VENTAS[[#This Row],[Precio Venta]]</f>
        <v>30</v>
      </c>
      <c r="J2118" s="14">
        <f>IF(VENTAS[[#This Row],[Nombre del Gestor]]&gt;1,VENTAS[[#This Row],[Total]]*10%,0)</f>
        <v>3</v>
      </c>
      <c r="K2118" s="14">
        <f>IFERROR(VLOOKUP(VENTAS[[#This Row],[Código del producto Vendido]],STOCK[],16,FALSE)*VENTAS[[#This Row],[Cantidad]]+VLOOKUP(VENTAS[[#This Row],[Código del producto Vendido]],STOCK[],19,FALSE)*VENTAS[[#This Row],[Cantidad]],VENTAS[[#This Row],[Total]])</f>
        <v>21.4563636363636</v>
      </c>
      <c r="L2118" s="14">
        <f>VENTAS[[#This Row],[Total]]-VENTAS[[#This Row],[Comisión 10%]]-VENTAS[[#This Row],[Costo SIN Comision]]</f>
        <v>5.5436363636364</v>
      </c>
      <c r="M2118" s="50"/>
      <c r="N2118" s="50" t="s">
        <v>5014</v>
      </c>
    </row>
    <row r="2119" ht="12" spans="1:14">
      <c r="A2119" s="46">
        <v>45609</v>
      </c>
      <c r="B2119" s="50"/>
      <c r="C2119" s="50" t="s">
        <v>4298</v>
      </c>
      <c r="D2119" s="50"/>
      <c r="E2119" s="50" t="s">
        <v>3211</v>
      </c>
      <c r="F2119" s="11" t="s">
        <v>3212</v>
      </c>
      <c r="G2119" s="50">
        <v>1</v>
      </c>
      <c r="H2119" s="48">
        <v>22</v>
      </c>
      <c r="I2119" s="14">
        <f>VENTAS[[#This Row],[Cantidad]]*VENTAS[[#This Row],[Precio Venta]]</f>
        <v>22</v>
      </c>
      <c r="J2119" s="14">
        <f>IF(VENTAS[[#This Row],[Nombre del Gestor]]&gt;1,VENTAS[[#This Row],[Total]]*10%,0)</f>
        <v>0</v>
      </c>
      <c r="K2119" s="14">
        <f>IFERROR(VLOOKUP(VENTAS[[#This Row],[Código del producto Vendido]],STOCK[],16,FALSE)*VENTAS[[#This Row],[Cantidad]]+VLOOKUP(VENTAS[[#This Row],[Código del producto Vendido]],STOCK[],19,FALSE)*VENTAS[[#This Row],[Cantidad]],VENTAS[[#This Row],[Total]])</f>
        <v>10</v>
      </c>
      <c r="L2119" s="14">
        <f>VENTAS[[#This Row],[Total]]-VENTAS[[#This Row],[Comisión 10%]]-VENTAS[[#This Row],[Costo SIN Comision]]</f>
        <v>12</v>
      </c>
      <c r="M2119" s="50"/>
      <c r="N2119" s="50" t="s">
        <v>5015</v>
      </c>
    </row>
    <row r="2120" ht="12" spans="1:14">
      <c r="A2120" s="46">
        <v>45609</v>
      </c>
      <c r="B2120" s="50"/>
      <c r="C2120" s="50" t="s">
        <v>4298</v>
      </c>
      <c r="D2120" s="50"/>
      <c r="E2120" s="50" t="s">
        <v>1459</v>
      </c>
      <c r="F2120" s="11" t="s">
        <v>1460</v>
      </c>
      <c r="G2120" s="50">
        <v>1</v>
      </c>
      <c r="H2120" s="48">
        <v>32</v>
      </c>
      <c r="I2120" s="14">
        <f>VENTAS[[#This Row],[Cantidad]]*VENTAS[[#This Row],[Precio Venta]]</f>
        <v>32</v>
      </c>
      <c r="J2120" s="14">
        <f>IF(VENTAS[[#This Row],[Nombre del Gestor]]&gt;1,VENTAS[[#This Row],[Total]]*10%,0)</f>
        <v>0</v>
      </c>
      <c r="K2120" s="14">
        <f>IFERROR(VLOOKUP(VENTAS[[#This Row],[Código del producto Vendido]],STOCK[],16,FALSE)*VENTAS[[#This Row],[Cantidad]]+VLOOKUP(VENTAS[[#This Row],[Código del producto Vendido]],STOCK[],19,FALSE)*VENTAS[[#This Row],[Cantidad]],VENTAS[[#This Row],[Total]])</f>
        <v>16.19</v>
      </c>
      <c r="L2120" s="14">
        <f>VENTAS[[#This Row],[Total]]-VENTAS[[#This Row],[Comisión 10%]]-VENTAS[[#This Row],[Costo SIN Comision]]</f>
        <v>15.81</v>
      </c>
      <c r="M2120" s="50"/>
      <c r="N2120" s="50" t="s">
        <v>5016</v>
      </c>
    </row>
    <row r="2121" ht="12" spans="1:14">
      <c r="A2121" s="46">
        <v>45610</v>
      </c>
      <c r="B2121" s="50"/>
      <c r="C2121" s="50"/>
      <c r="D2121" s="50" t="s">
        <v>4463</v>
      </c>
      <c r="E2121" s="50" t="s">
        <v>3151</v>
      </c>
      <c r="F2121" s="11" t="s">
        <v>3152</v>
      </c>
      <c r="G2121" s="50">
        <v>1</v>
      </c>
      <c r="H2121" s="48">
        <v>20</v>
      </c>
      <c r="I2121" s="14">
        <f>VENTAS[[#This Row],[Cantidad]]*VENTAS[[#This Row],[Precio Venta]]</f>
        <v>20</v>
      </c>
      <c r="J2121" s="14">
        <f>IF(VENTAS[[#This Row],[Nombre del Gestor]]&gt;1,VENTAS[[#This Row],[Total]]*10%,0)</f>
        <v>2</v>
      </c>
      <c r="K2121" s="14">
        <f>IFERROR(VLOOKUP(VENTAS[[#This Row],[Código del producto Vendido]],STOCK[],16,FALSE)*VENTAS[[#This Row],[Cantidad]]+VLOOKUP(VENTAS[[#This Row],[Código del producto Vendido]],STOCK[],19,FALSE)*VENTAS[[#This Row],[Cantidad]],VENTAS[[#This Row],[Total]])</f>
        <v>12</v>
      </c>
      <c r="L2121" s="14">
        <f>VENTAS[[#This Row],[Total]]-VENTAS[[#This Row],[Comisión 10%]]-VENTAS[[#This Row],[Costo SIN Comision]]</f>
        <v>6</v>
      </c>
      <c r="M2121" s="50"/>
      <c r="N2121" s="50" t="s">
        <v>5017</v>
      </c>
    </row>
    <row r="2122" ht="12" spans="1:14">
      <c r="A2122" s="46">
        <v>45610</v>
      </c>
      <c r="B2122" s="50"/>
      <c r="C2122" s="50"/>
      <c r="D2122" s="50" t="s">
        <v>4463</v>
      </c>
      <c r="E2122" s="50" t="s">
        <v>2619</v>
      </c>
      <c r="F2122" s="11" t="s">
        <v>2620</v>
      </c>
      <c r="G2122" s="50">
        <v>1</v>
      </c>
      <c r="H2122" s="48">
        <v>35</v>
      </c>
      <c r="I2122" s="14">
        <f>VENTAS[[#This Row],[Cantidad]]*VENTAS[[#This Row],[Precio Venta]]</f>
        <v>35</v>
      </c>
      <c r="J2122" s="14">
        <f>IF(VENTAS[[#This Row],[Nombre del Gestor]]&gt;1,VENTAS[[#This Row],[Total]]*10%,0)</f>
        <v>3.5</v>
      </c>
      <c r="K2122" s="14">
        <f>IFERROR(VLOOKUP(VENTAS[[#This Row],[Código del producto Vendido]],STOCK[],16,FALSE)*VENTAS[[#This Row],[Cantidad]]+VLOOKUP(VENTAS[[#This Row],[Código del producto Vendido]],STOCK[],19,FALSE)*VENTAS[[#This Row],[Cantidad]],VENTAS[[#This Row],[Total]])</f>
        <v>15.46</v>
      </c>
      <c r="L2122" s="14">
        <f>VENTAS[[#This Row],[Total]]-VENTAS[[#This Row],[Comisión 10%]]-VENTAS[[#This Row],[Costo SIN Comision]]</f>
        <v>16.04</v>
      </c>
      <c r="M2122" s="50"/>
      <c r="N2122" s="50" t="s">
        <v>5018</v>
      </c>
    </row>
    <row r="2123" ht="12" spans="1:14">
      <c r="A2123" s="46">
        <v>45611</v>
      </c>
      <c r="B2123" s="50"/>
      <c r="C2123" s="50" t="s">
        <v>5019</v>
      </c>
      <c r="D2123" s="50"/>
      <c r="E2123" s="50" t="s">
        <v>2959</v>
      </c>
      <c r="F2123" s="11" t="s">
        <v>2958</v>
      </c>
      <c r="G2123" s="50">
        <v>1</v>
      </c>
      <c r="H2123" s="48">
        <v>30</v>
      </c>
      <c r="I2123" s="14">
        <f>VENTAS[[#This Row],[Cantidad]]*VENTAS[[#This Row],[Precio Venta]]</f>
        <v>30</v>
      </c>
      <c r="J2123" s="14">
        <f>IF(VENTAS[[#This Row],[Nombre del Gestor]]&gt;1,VENTAS[[#This Row],[Total]]*10%,0)</f>
        <v>0</v>
      </c>
      <c r="K2123" s="14">
        <f>IFERROR(VLOOKUP(VENTAS[[#This Row],[Código del producto Vendido]],STOCK[],16,FALSE)*VENTAS[[#This Row],[Cantidad]]+VLOOKUP(VENTAS[[#This Row],[Código del producto Vendido]],STOCK[],19,FALSE)*VENTAS[[#This Row],[Cantidad]],VENTAS[[#This Row],[Total]])</f>
        <v>15.13</v>
      </c>
      <c r="L2123" s="14">
        <f>VENTAS[[#This Row],[Total]]-VENTAS[[#This Row],[Comisión 10%]]-VENTAS[[#This Row],[Costo SIN Comision]]</f>
        <v>14.87</v>
      </c>
      <c r="M2123" s="50"/>
      <c r="N2123" s="50" t="s">
        <v>5020</v>
      </c>
    </row>
    <row r="2124" ht="12" spans="1:14">
      <c r="A2124" s="46">
        <v>45611</v>
      </c>
      <c r="B2124" s="50"/>
      <c r="C2124" s="50" t="s">
        <v>5019</v>
      </c>
      <c r="D2124" s="50"/>
      <c r="E2124" s="50" t="s">
        <v>2960</v>
      </c>
      <c r="F2124" s="11" t="s">
        <v>2958</v>
      </c>
      <c r="G2124" s="50">
        <v>1</v>
      </c>
      <c r="H2124" s="48">
        <v>30</v>
      </c>
      <c r="I2124" s="14">
        <f>VENTAS[[#This Row],[Cantidad]]*VENTAS[[#This Row],[Precio Venta]]</f>
        <v>30</v>
      </c>
      <c r="J2124" s="14">
        <f>IF(VENTAS[[#This Row],[Nombre del Gestor]]&gt;1,VENTAS[[#This Row],[Total]]*10%,0)</f>
        <v>0</v>
      </c>
      <c r="K2124" s="14">
        <f>IFERROR(VLOOKUP(VENTAS[[#This Row],[Código del producto Vendido]],STOCK[],16,FALSE)*VENTAS[[#This Row],[Cantidad]]+VLOOKUP(VENTAS[[#This Row],[Código del producto Vendido]],STOCK[],19,FALSE)*VENTAS[[#This Row],[Cantidad]],VENTAS[[#This Row],[Total]])</f>
        <v>15.13</v>
      </c>
      <c r="L2124" s="14">
        <f>VENTAS[[#This Row],[Total]]-VENTAS[[#This Row],[Comisión 10%]]-VENTAS[[#This Row],[Costo SIN Comision]]</f>
        <v>14.87</v>
      </c>
      <c r="M2124" s="50"/>
      <c r="N2124" s="50" t="s">
        <v>5021</v>
      </c>
    </row>
    <row r="2125" ht="12" spans="1:14">
      <c r="A2125" s="46">
        <v>45611</v>
      </c>
      <c r="B2125" s="50"/>
      <c r="C2125" s="50" t="s">
        <v>5019</v>
      </c>
      <c r="D2125" s="50"/>
      <c r="E2125" s="50" t="s">
        <v>2960</v>
      </c>
      <c r="F2125" s="11" t="s">
        <v>2958</v>
      </c>
      <c r="G2125" s="50">
        <v>1</v>
      </c>
      <c r="H2125" s="48">
        <v>30</v>
      </c>
      <c r="I2125" s="14">
        <f>VENTAS[[#This Row],[Cantidad]]*VENTAS[[#This Row],[Precio Venta]]</f>
        <v>30</v>
      </c>
      <c r="J2125" s="14">
        <f>IF(VENTAS[[#This Row],[Nombre del Gestor]]&gt;1,VENTAS[[#This Row],[Total]]*10%,0)</f>
        <v>0</v>
      </c>
      <c r="K2125" s="14">
        <f>IFERROR(VLOOKUP(VENTAS[[#This Row],[Código del producto Vendido]],STOCK[],16,FALSE)*VENTAS[[#This Row],[Cantidad]]+VLOOKUP(VENTAS[[#This Row],[Código del producto Vendido]],STOCK[],19,FALSE)*VENTAS[[#This Row],[Cantidad]],VENTAS[[#This Row],[Total]])</f>
        <v>15.13</v>
      </c>
      <c r="L2125" s="14">
        <f>VENTAS[[#This Row],[Total]]-VENTAS[[#This Row],[Comisión 10%]]-VENTAS[[#This Row],[Costo SIN Comision]]</f>
        <v>14.87</v>
      </c>
      <c r="M2125" s="50"/>
      <c r="N2125" s="50" t="s">
        <v>5022</v>
      </c>
    </row>
    <row r="2126" ht="12" spans="1:14">
      <c r="A2126" s="46">
        <v>45612</v>
      </c>
      <c r="B2126" s="50"/>
      <c r="C2126" s="50"/>
      <c r="D2126" s="50" t="s">
        <v>4222</v>
      </c>
      <c r="E2126" s="50" t="s">
        <v>3194</v>
      </c>
      <c r="F2126" s="11" t="s">
        <v>3195</v>
      </c>
      <c r="G2126" s="50">
        <v>1</v>
      </c>
      <c r="H2126" s="48">
        <v>18</v>
      </c>
      <c r="I2126" s="14">
        <f>VENTAS[[#This Row],[Cantidad]]*VENTAS[[#This Row],[Precio Venta]]</f>
        <v>18</v>
      </c>
      <c r="J2126" s="14">
        <f>IF(VENTAS[[#This Row],[Nombre del Gestor]]&gt;1,VENTAS[[#This Row],[Total]]*10%,0)</f>
        <v>1.8</v>
      </c>
      <c r="K2126" s="14">
        <f>IFERROR(VLOOKUP(VENTAS[[#This Row],[Código del producto Vendido]],STOCK[],16,FALSE)*VENTAS[[#This Row],[Cantidad]]+VLOOKUP(VENTAS[[#This Row],[Código del producto Vendido]],STOCK[],19,FALSE)*VENTAS[[#This Row],[Cantidad]],VENTAS[[#This Row],[Total]])</f>
        <v>10</v>
      </c>
      <c r="L2126" s="14">
        <f>VENTAS[[#This Row],[Total]]-VENTAS[[#This Row],[Comisión 10%]]-VENTAS[[#This Row],[Costo SIN Comision]]</f>
        <v>6.2</v>
      </c>
      <c r="M2126" s="50"/>
      <c r="N2126" s="50" t="s">
        <v>5023</v>
      </c>
    </row>
    <row r="2127" ht="12" spans="1:14">
      <c r="A2127" s="46">
        <v>45612</v>
      </c>
      <c r="B2127" s="50"/>
      <c r="C2127" s="50"/>
      <c r="D2127" s="50" t="s">
        <v>4241</v>
      </c>
      <c r="E2127" s="50" t="s">
        <v>2739</v>
      </c>
      <c r="F2127" s="11" t="s">
        <v>2740</v>
      </c>
      <c r="G2127" s="50">
        <v>1</v>
      </c>
      <c r="H2127" s="48">
        <v>12</v>
      </c>
      <c r="I2127" s="14">
        <f>VENTAS[[#This Row],[Cantidad]]*VENTAS[[#This Row],[Precio Venta]]</f>
        <v>12</v>
      </c>
      <c r="J2127" s="14">
        <f>IF(VENTAS[[#This Row],[Nombre del Gestor]]&gt;1,VENTAS[[#This Row],[Total]]*10%,0)</f>
        <v>1.2</v>
      </c>
      <c r="K2127" s="14">
        <f>IFERROR(VLOOKUP(VENTAS[[#This Row],[Código del producto Vendido]],STOCK[],16,FALSE)*VENTAS[[#This Row],[Cantidad]]+VLOOKUP(VENTAS[[#This Row],[Código del producto Vendido]],STOCK[],19,FALSE)*VENTAS[[#This Row],[Cantidad]],VENTAS[[#This Row],[Total]])</f>
        <v>8.34</v>
      </c>
      <c r="L2127" s="14">
        <f>VENTAS[[#This Row],[Total]]-VENTAS[[#This Row],[Comisión 10%]]-VENTAS[[#This Row],[Costo SIN Comision]]</f>
        <v>2.46</v>
      </c>
      <c r="M2127" s="50"/>
      <c r="N2127" s="50" t="s">
        <v>5024</v>
      </c>
    </row>
    <row r="2128" ht="12" spans="1:14">
      <c r="A2128" s="46">
        <v>45612</v>
      </c>
      <c r="B2128" s="50"/>
      <c r="C2128" s="50"/>
      <c r="D2128" s="50" t="s">
        <v>4241</v>
      </c>
      <c r="E2128" s="50" t="s">
        <v>2865</v>
      </c>
      <c r="F2128" s="11" t="s">
        <v>2864</v>
      </c>
      <c r="G2128" s="50">
        <v>1</v>
      </c>
      <c r="H2128" s="48">
        <v>25</v>
      </c>
      <c r="I2128" s="14">
        <f>VENTAS[[#This Row],[Cantidad]]*VENTAS[[#This Row],[Precio Venta]]</f>
        <v>25</v>
      </c>
      <c r="J2128" s="14">
        <f>IF(VENTAS[[#This Row],[Nombre del Gestor]]&gt;1,VENTAS[[#This Row],[Total]]*10%,0)</f>
        <v>2.5</v>
      </c>
      <c r="K2128" s="14">
        <f>IFERROR(VLOOKUP(VENTAS[[#This Row],[Código del producto Vendido]],STOCK[],16,FALSE)*VENTAS[[#This Row],[Cantidad]]+VLOOKUP(VENTAS[[#This Row],[Código del producto Vendido]],STOCK[],19,FALSE)*VENTAS[[#This Row],[Cantidad]],VENTAS[[#This Row],[Total]])</f>
        <v>11.98</v>
      </c>
      <c r="L2128" s="14">
        <f>VENTAS[[#This Row],[Total]]-VENTAS[[#This Row],[Comisión 10%]]-VENTAS[[#This Row],[Costo SIN Comision]]</f>
        <v>10.52</v>
      </c>
      <c r="M2128" s="50"/>
      <c r="N2128" s="50" t="s">
        <v>5025</v>
      </c>
    </row>
    <row r="2129" ht="12" spans="1:14">
      <c r="A2129" s="46">
        <v>45612</v>
      </c>
      <c r="B2129" s="50"/>
      <c r="C2129" s="50"/>
      <c r="D2129" s="50" t="s">
        <v>4272</v>
      </c>
      <c r="E2129" s="50" t="s">
        <v>2805</v>
      </c>
      <c r="F2129" s="11" t="s">
        <v>2803</v>
      </c>
      <c r="G2129" s="50">
        <v>1</v>
      </c>
      <c r="H2129" s="48">
        <v>40</v>
      </c>
      <c r="I2129" s="14">
        <f>VENTAS[[#This Row],[Cantidad]]*VENTAS[[#This Row],[Precio Venta]]</f>
        <v>40</v>
      </c>
      <c r="J2129" s="14">
        <f>IF(VENTAS[[#This Row],[Nombre del Gestor]]&gt;1,VENTAS[[#This Row],[Total]]*10%,0)</f>
        <v>4</v>
      </c>
      <c r="K2129" s="14">
        <f>IFERROR(VLOOKUP(VENTAS[[#This Row],[Código del producto Vendido]],STOCK[],16,FALSE)*VENTAS[[#This Row],[Cantidad]]+VLOOKUP(VENTAS[[#This Row],[Código del producto Vendido]],STOCK[],19,FALSE)*VENTAS[[#This Row],[Cantidad]],VENTAS[[#This Row],[Total]])</f>
        <v>13.01</v>
      </c>
      <c r="L2129" s="14">
        <f>VENTAS[[#This Row],[Total]]-VENTAS[[#This Row],[Comisión 10%]]-VENTAS[[#This Row],[Costo SIN Comision]]</f>
        <v>22.99</v>
      </c>
      <c r="M2129" s="50"/>
      <c r="N2129" s="50" t="s">
        <v>5026</v>
      </c>
    </row>
    <row r="2130" ht="12" spans="1:14">
      <c r="A2130" s="46">
        <v>45614</v>
      </c>
      <c r="B2130" s="50"/>
      <c r="C2130" s="50"/>
      <c r="D2130" s="50" t="s">
        <v>4427</v>
      </c>
      <c r="E2130" s="50" t="s">
        <v>2861</v>
      </c>
      <c r="F2130" s="11" t="s">
        <v>2860</v>
      </c>
      <c r="G2130" s="50">
        <v>1</v>
      </c>
      <c r="H2130" s="48">
        <v>30</v>
      </c>
      <c r="I2130" s="14">
        <f>VENTAS[[#This Row],[Cantidad]]*VENTAS[[#This Row],[Precio Venta]]</f>
        <v>30</v>
      </c>
      <c r="J2130" s="14">
        <f>IF(VENTAS[[#This Row],[Nombre del Gestor]]&gt;1,VENTAS[[#This Row],[Total]]*10%,0)</f>
        <v>3</v>
      </c>
      <c r="K2130" s="14">
        <f>IFERROR(VLOOKUP(VENTAS[[#This Row],[Código del producto Vendido]],STOCK[],16,FALSE)*VENTAS[[#This Row],[Cantidad]]+VLOOKUP(VENTAS[[#This Row],[Código del producto Vendido]],STOCK[],19,FALSE)*VENTAS[[#This Row],[Cantidad]],VENTAS[[#This Row],[Total]])</f>
        <v>13.49</v>
      </c>
      <c r="L2130" s="14">
        <f>VENTAS[[#This Row],[Total]]-VENTAS[[#This Row],[Comisión 10%]]-VENTAS[[#This Row],[Costo SIN Comision]]</f>
        <v>13.51</v>
      </c>
      <c r="M2130" s="50"/>
      <c r="N2130" s="50" t="s">
        <v>5027</v>
      </c>
    </row>
    <row r="2131" ht="12" spans="1:14">
      <c r="A2131" s="46">
        <v>45614</v>
      </c>
      <c r="B2131" s="50"/>
      <c r="C2131" s="50"/>
      <c r="D2131" s="50" t="s">
        <v>4241</v>
      </c>
      <c r="E2131" s="50" t="s">
        <v>2088</v>
      </c>
      <c r="F2131" s="11" t="s">
        <v>1903</v>
      </c>
      <c r="G2131" s="50">
        <v>1</v>
      </c>
      <c r="H2131" s="48">
        <v>14</v>
      </c>
      <c r="I2131" s="14">
        <f>VENTAS[[#This Row],[Cantidad]]*VENTAS[[#This Row],[Precio Venta]]</f>
        <v>14</v>
      </c>
      <c r="J2131" s="14">
        <f>IF(VENTAS[[#This Row],[Nombre del Gestor]]&gt;1,VENTAS[[#This Row],[Total]]*10%,0)</f>
        <v>1.4</v>
      </c>
      <c r="K2131" s="14">
        <f>IFERROR(VLOOKUP(VENTAS[[#This Row],[Código del producto Vendido]],STOCK[],16,FALSE)*VENTAS[[#This Row],[Cantidad]]+VLOOKUP(VENTAS[[#This Row],[Código del producto Vendido]],STOCK[],19,FALSE)*VENTAS[[#This Row],[Cantidad]],VENTAS[[#This Row],[Total]])</f>
        <v>9.2</v>
      </c>
      <c r="L2131" s="14">
        <f>VENTAS[[#This Row],[Total]]-VENTAS[[#This Row],[Comisión 10%]]-VENTAS[[#This Row],[Costo SIN Comision]]</f>
        <v>3.4</v>
      </c>
      <c r="M2131" s="50"/>
      <c r="N2131" s="50" t="s">
        <v>5028</v>
      </c>
    </row>
    <row r="2132" ht="12" spans="1:14">
      <c r="A2132" s="46">
        <v>45614</v>
      </c>
      <c r="B2132" s="50"/>
      <c r="C2132" s="50"/>
      <c r="D2132" s="50" t="s">
        <v>4241</v>
      </c>
      <c r="E2132" s="50" t="s">
        <v>2951</v>
      </c>
      <c r="F2132" s="11" t="s">
        <v>2949</v>
      </c>
      <c r="G2132" s="50">
        <v>1</v>
      </c>
      <c r="H2132" s="48">
        <v>30</v>
      </c>
      <c r="I2132" s="14">
        <f>VENTAS[[#This Row],[Cantidad]]*VENTAS[[#This Row],[Precio Venta]]</f>
        <v>30</v>
      </c>
      <c r="J2132" s="14">
        <f>IF(VENTAS[[#This Row],[Nombre del Gestor]]&gt;1,VENTAS[[#This Row],[Total]]*10%,0)</f>
        <v>3</v>
      </c>
      <c r="K2132" s="14">
        <f>IFERROR(VLOOKUP(VENTAS[[#This Row],[Código del producto Vendido]],STOCK[],16,FALSE)*VENTAS[[#This Row],[Cantidad]]+VLOOKUP(VENTAS[[#This Row],[Código del producto Vendido]],STOCK[],19,FALSE)*VENTAS[[#This Row],[Cantidad]],VENTAS[[#This Row],[Total]])</f>
        <v>8.6</v>
      </c>
      <c r="L2132" s="14">
        <f>VENTAS[[#This Row],[Total]]-VENTAS[[#This Row],[Comisión 10%]]-VENTAS[[#This Row],[Costo SIN Comision]]</f>
        <v>18.4</v>
      </c>
      <c r="M2132" s="50"/>
      <c r="N2132" s="50" t="s">
        <v>5029</v>
      </c>
    </row>
    <row r="2133" ht="12" spans="1:14">
      <c r="A2133" s="46">
        <v>45614</v>
      </c>
      <c r="B2133" s="50"/>
      <c r="C2133" s="50"/>
      <c r="D2133" s="50" t="s">
        <v>4365</v>
      </c>
      <c r="E2133" s="50" t="s">
        <v>1643</v>
      </c>
      <c r="F2133" s="11" t="s">
        <v>1644</v>
      </c>
      <c r="G2133" s="50">
        <v>1</v>
      </c>
      <c r="H2133" s="48">
        <v>15</v>
      </c>
      <c r="I2133" s="14">
        <f>VENTAS[[#This Row],[Cantidad]]*VENTAS[[#This Row],[Precio Venta]]</f>
        <v>15</v>
      </c>
      <c r="J2133" s="14">
        <f>IF(VENTAS[[#This Row],[Nombre del Gestor]]&gt;1,VENTAS[[#This Row],[Total]]*10%,0)</f>
        <v>1.5</v>
      </c>
      <c r="K2133" s="14">
        <f>IFERROR(VLOOKUP(VENTAS[[#This Row],[Código del producto Vendido]],STOCK[],16,FALSE)*VENTAS[[#This Row],[Cantidad]]+VLOOKUP(VENTAS[[#This Row],[Código del producto Vendido]],STOCK[],19,FALSE)*VENTAS[[#This Row],[Cantidad]],VENTAS[[#This Row],[Total]])</f>
        <v>8.66</v>
      </c>
      <c r="L2133" s="14">
        <f>VENTAS[[#This Row],[Total]]-VENTAS[[#This Row],[Comisión 10%]]-VENTAS[[#This Row],[Costo SIN Comision]]</f>
        <v>4.84</v>
      </c>
      <c r="M2133" s="50"/>
      <c r="N2133" s="50" t="s">
        <v>5030</v>
      </c>
    </row>
    <row r="2134" ht="12" spans="1:14">
      <c r="A2134" s="46">
        <v>45614</v>
      </c>
      <c r="B2134" s="50"/>
      <c r="C2134" s="50"/>
      <c r="D2134" s="50" t="s">
        <v>4463</v>
      </c>
      <c r="E2134" s="50" t="s">
        <v>2088</v>
      </c>
      <c r="F2134" s="11" t="s">
        <v>1903</v>
      </c>
      <c r="G2134" s="50">
        <v>1</v>
      </c>
      <c r="H2134" s="48">
        <v>14</v>
      </c>
      <c r="I2134" s="14">
        <f>VENTAS[[#This Row],[Cantidad]]*VENTAS[[#This Row],[Precio Venta]]</f>
        <v>14</v>
      </c>
      <c r="J2134" s="14">
        <f>IF(VENTAS[[#This Row],[Nombre del Gestor]]&gt;1,VENTAS[[#This Row],[Total]]*10%,0)</f>
        <v>1.4</v>
      </c>
      <c r="K2134" s="14">
        <f>IFERROR(VLOOKUP(VENTAS[[#This Row],[Código del producto Vendido]],STOCK[],16,FALSE)*VENTAS[[#This Row],[Cantidad]]+VLOOKUP(VENTAS[[#This Row],[Código del producto Vendido]],STOCK[],19,FALSE)*VENTAS[[#This Row],[Cantidad]],VENTAS[[#This Row],[Total]])</f>
        <v>9.2</v>
      </c>
      <c r="L2134" s="14">
        <f>VENTAS[[#This Row],[Total]]-VENTAS[[#This Row],[Comisión 10%]]-VENTAS[[#This Row],[Costo SIN Comision]]</f>
        <v>3.4</v>
      </c>
      <c r="M2134" s="50"/>
      <c r="N2134" s="50" t="s">
        <v>5031</v>
      </c>
    </row>
    <row r="2135" ht="12" spans="1:14">
      <c r="A2135" s="46">
        <v>45614</v>
      </c>
      <c r="B2135" s="50"/>
      <c r="C2135" s="50"/>
      <c r="D2135" s="50" t="s">
        <v>4222</v>
      </c>
      <c r="E2135" s="50" t="s">
        <v>2610</v>
      </c>
      <c r="F2135" s="11" t="s">
        <v>2611</v>
      </c>
      <c r="G2135" s="50">
        <v>1</v>
      </c>
      <c r="H2135" s="48">
        <v>25</v>
      </c>
      <c r="I2135" s="14">
        <f>VENTAS[[#This Row],[Cantidad]]*VENTAS[[#This Row],[Precio Venta]]</f>
        <v>25</v>
      </c>
      <c r="J2135" s="14">
        <f>IF(VENTAS[[#This Row],[Nombre del Gestor]]&gt;1,VENTAS[[#This Row],[Total]]*10%,0)</f>
        <v>2.5</v>
      </c>
      <c r="K2135" s="14">
        <f>IFERROR(VLOOKUP(VENTAS[[#This Row],[Código del producto Vendido]],STOCK[],16,FALSE)*VENTAS[[#This Row],[Cantidad]]+VLOOKUP(VENTAS[[#This Row],[Código del producto Vendido]],STOCK[],19,FALSE)*VENTAS[[#This Row],[Cantidad]],VENTAS[[#This Row],[Total]])</f>
        <v>15.71</v>
      </c>
      <c r="L2135" s="14">
        <f>VENTAS[[#This Row],[Total]]-VENTAS[[#This Row],[Comisión 10%]]-VENTAS[[#This Row],[Costo SIN Comision]]</f>
        <v>6.79</v>
      </c>
      <c r="M2135" s="50"/>
      <c r="N2135" s="50" t="s">
        <v>5032</v>
      </c>
    </row>
    <row r="2136" ht="12" spans="1:14">
      <c r="A2136" s="46">
        <v>45614</v>
      </c>
      <c r="B2136" s="50"/>
      <c r="C2136" s="50"/>
      <c r="D2136" s="50" t="s">
        <v>4272</v>
      </c>
      <c r="E2136" s="50" t="s">
        <v>2717</v>
      </c>
      <c r="F2136" s="11" t="s">
        <v>2461</v>
      </c>
      <c r="G2136" s="50">
        <v>1</v>
      </c>
      <c r="H2136" s="48">
        <v>45</v>
      </c>
      <c r="I2136" s="14">
        <f>VENTAS[[#This Row],[Cantidad]]*VENTAS[[#This Row],[Precio Venta]]</f>
        <v>45</v>
      </c>
      <c r="J2136" s="14">
        <f>IF(VENTAS[[#This Row],[Nombre del Gestor]]&gt;1,VENTAS[[#This Row],[Total]]*10%,0)</f>
        <v>4.5</v>
      </c>
      <c r="K2136" s="14">
        <f>IFERROR(VLOOKUP(VENTAS[[#This Row],[Código del producto Vendido]],STOCK[],16,FALSE)*VENTAS[[#This Row],[Cantidad]]+VLOOKUP(VENTAS[[#This Row],[Código del producto Vendido]],STOCK[],19,FALSE)*VENTAS[[#This Row],[Cantidad]],VENTAS[[#This Row],[Total]])</f>
        <v>24.47</v>
      </c>
      <c r="L2136" s="14">
        <f>VENTAS[[#This Row],[Total]]-VENTAS[[#This Row],[Comisión 10%]]-VENTAS[[#This Row],[Costo SIN Comision]]</f>
        <v>16.03</v>
      </c>
      <c r="M2136" s="50"/>
      <c r="N2136" s="50" t="s">
        <v>5033</v>
      </c>
    </row>
    <row r="2137" ht="12" spans="1:14">
      <c r="A2137" s="46">
        <v>45614</v>
      </c>
      <c r="B2137" s="50"/>
      <c r="C2137" s="50"/>
      <c r="D2137" s="50" t="s">
        <v>4272</v>
      </c>
      <c r="E2137" s="50" t="s">
        <v>2717</v>
      </c>
      <c r="F2137" s="11" t="s">
        <v>2461</v>
      </c>
      <c r="G2137" s="50">
        <v>1</v>
      </c>
      <c r="H2137" s="48">
        <v>45</v>
      </c>
      <c r="I2137" s="14">
        <f>VENTAS[[#This Row],[Cantidad]]*VENTAS[[#This Row],[Precio Venta]]</f>
        <v>45</v>
      </c>
      <c r="J2137" s="14">
        <f>IF(VENTAS[[#This Row],[Nombre del Gestor]]&gt;1,VENTAS[[#This Row],[Total]]*10%,0)</f>
        <v>4.5</v>
      </c>
      <c r="K2137" s="14">
        <f>IFERROR(VLOOKUP(VENTAS[[#This Row],[Código del producto Vendido]],STOCK[],16,FALSE)*VENTAS[[#This Row],[Cantidad]]+VLOOKUP(VENTAS[[#This Row],[Código del producto Vendido]],STOCK[],19,FALSE)*VENTAS[[#This Row],[Cantidad]],VENTAS[[#This Row],[Total]])</f>
        <v>24.47</v>
      </c>
      <c r="L2137" s="14">
        <f>VENTAS[[#This Row],[Total]]-VENTAS[[#This Row],[Comisión 10%]]-VENTAS[[#This Row],[Costo SIN Comision]]</f>
        <v>16.03</v>
      </c>
      <c r="M2137" s="50"/>
      <c r="N2137" s="50" t="s">
        <v>5034</v>
      </c>
    </row>
    <row r="2138" ht="12" spans="1:14">
      <c r="A2138" s="46">
        <v>45616</v>
      </c>
      <c r="B2138" s="50"/>
      <c r="C2138" s="50"/>
      <c r="D2138" s="50" t="s">
        <v>4076</v>
      </c>
      <c r="E2138" s="50" t="s">
        <v>2630</v>
      </c>
      <c r="F2138" s="11" t="s">
        <v>2632</v>
      </c>
      <c r="G2138" s="50">
        <v>1</v>
      </c>
      <c r="H2138" s="48">
        <v>30</v>
      </c>
      <c r="I2138" s="14">
        <f>VENTAS[[#This Row],[Cantidad]]*VENTAS[[#This Row],[Precio Venta]]</f>
        <v>30</v>
      </c>
      <c r="J2138" s="14">
        <f>IF(VENTAS[[#This Row],[Nombre del Gestor]]&gt;1,VENTAS[[#This Row],[Total]]*10%,0)</f>
        <v>3</v>
      </c>
      <c r="K2138" s="14">
        <f>IFERROR(VLOOKUP(VENTAS[[#This Row],[Código del producto Vendido]],STOCK[],16,FALSE)*VENTAS[[#This Row],[Cantidad]]+VLOOKUP(VENTAS[[#This Row],[Código del producto Vendido]],STOCK[],19,FALSE)*VENTAS[[#This Row],[Cantidad]],VENTAS[[#This Row],[Total]])</f>
        <v>12.96</v>
      </c>
      <c r="L2138" s="14">
        <f>VENTAS[[#This Row],[Total]]-VENTAS[[#This Row],[Comisión 10%]]-VENTAS[[#This Row],[Costo SIN Comision]]</f>
        <v>14.04</v>
      </c>
      <c r="M2138" s="50"/>
      <c r="N2138" s="50" t="s">
        <v>5035</v>
      </c>
    </row>
    <row r="2139" ht="12" spans="1:14">
      <c r="A2139" s="46">
        <v>45617</v>
      </c>
      <c r="B2139" s="50"/>
      <c r="C2139" s="50"/>
      <c r="D2139" s="50" t="s">
        <v>4212</v>
      </c>
      <c r="E2139" s="50" t="s">
        <v>2920</v>
      </c>
      <c r="F2139" s="11" t="s">
        <v>2919</v>
      </c>
      <c r="G2139" s="50">
        <v>1</v>
      </c>
      <c r="H2139" s="48">
        <v>25</v>
      </c>
      <c r="I2139" s="14">
        <f>VENTAS[[#This Row],[Cantidad]]*VENTAS[[#This Row],[Precio Venta]]</f>
        <v>25</v>
      </c>
      <c r="J2139" s="14">
        <f>IF(VENTAS[[#This Row],[Nombre del Gestor]]&gt;1,VENTAS[[#This Row],[Total]]*10%,0)</f>
        <v>2.5</v>
      </c>
      <c r="K2139" s="14">
        <f>IFERROR(VLOOKUP(VENTAS[[#This Row],[Código del producto Vendido]],STOCK[],16,FALSE)*VENTAS[[#This Row],[Cantidad]]+VLOOKUP(VENTAS[[#This Row],[Código del producto Vendido]],STOCK[],19,FALSE)*VENTAS[[#This Row],[Cantidad]],VENTAS[[#This Row],[Total]])</f>
        <v>12.04</v>
      </c>
      <c r="L2139" s="14">
        <f>VENTAS[[#This Row],[Total]]-VENTAS[[#This Row],[Comisión 10%]]-VENTAS[[#This Row],[Costo SIN Comision]]</f>
        <v>10.46</v>
      </c>
      <c r="M2139" s="50"/>
      <c r="N2139" s="50" t="s">
        <v>5036</v>
      </c>
    </row>
    <row r="2140" ht="12" spans="1:14">
      <c r="A2140" s="46">
        <v>45617</v>
      </c>
      <c r="B2140" s="50"/>
      <c r="C2140" s="50"/>
      <c r="D2140" s="50" t="s">
        <v>4266</v>
      </c>
      <c r="E2140" s="50" t="s">
        <v>3274</v>
      </c>
      <c r="F2140" s="11" t="s">
        <v>3276</v>
      </c>
      <c r="G2140" s="50">
        <v>1</v>
      </c>
      <c r="H2140" s="48">
        <v>18</v>
      </c>
      <c r="I2140" s="14">
        <f>VENTAS[[#This Row],[Cantidad]]*VENTAS[[#This Row],[Precio Venta]]</f>
        <v>18</v>
      </c>
      <c r="J2140" s="14">
        <f>IF(VENTAS[[#This Row],[Nombre del Gestor]]&gt;1,VENTAS[[#This Row],[Total]]*10%,0)</f>
        <v>1.8</v>
      </c>
      <c r="K2140" s="14">
        <f>IFERROR(VLOOKUP(VENTAS[[#This Row],[Código del producto Vendido]],STOCK[],16,FALSE)*VENTAS[[#This Row],[Cantidad]]+VLOOKUP(VENTAS[[#This Row],[Código del producto Vendido]],STOCK[],19,FALSE)*VENTAS[[#This Row],[Cantidad]],VENTAS[[#This Row],[Total]])</f>
        <v>8</v>
      </c>
      <c r="L2140" s="14">
        <f>VENTAS[[#This Row],[Total]]-VENTAS[[#This Row],[Comisión 10%]]-VENTAS[[#This Row],[Costo SIN Comision]]</f>
        <v>8.2</v>
      </c>
      <c r="M2140" s="50"/>
      <c r="N2140" s="50" t="s">
        <v>5037</v>
      </c>
    </row>
    <row r="2141" ht="12" spans="1:14">
      <c r="A2141" s="46">
        <v>45617</v>
      </c>
      <c r="B2141" s="50"/>
      <c r="C2141" s="50"/>
      <c r="D2141" s="50" t="s">
        <v>4272</v>
      </c>
      <c r="E2141" s="50" t="s">
        <v>1761</v>
      </c>
      <c r="F2141" s="11" t="s">
        <v>1757</v>
      </c>
      <c r="G2141" s="50">
        <v>1</v>
      </c>
      <c r="H2141" s="48">
        <v>32</v>
      </c>
      <c r="I2141" s="14">
        <f>VENTAS[[#This Row],[Cantidad]]*VENTAS[[#This Row],[Precio Venta]]</f>
        <v>32</v>
      </c>
      <c r="J2141" s="14">
        <f>IF(VENTAS[[#This Row],[Nombre del Gestor]]&gt;1,VENTAS[[#This Row],[Total]]*10%,0)</f>
        <v>3.2</v>
      </c>
      <c r="K2141" s="14">
        <f>IFERROR(VLOOKUP(VENTAS[[#This Row],[Código del producto Vendido]],STOCK[],16,FALSE)*VENTAS[[#This Row],[Cantidad]]+VLOOKUP(VENTAS[[#This Row],[Código del producto Vendido]],STOCK[],19,FALSE)*VENTAS[[#This Row],[Cantidad]],VENTAS[[#This Row],[Total]])</f>
        <v>25.4705882352941</v>
      </c>
      <c r="L2141" s="14">
        <f>VENTAS[[#This Row],[Total]]-VENTAS[[#This Row],[Comisión 10%]]-VENTAS[[#This Row],[Costo SIN Comision]]</f>
        <v>3.3294117647059</v>
      </c>
      <c r="M2141" s="50"/>
      <c r="N2141" s="50" t="s">
        <v>5038</v>
      </c>
    </row>
    <row r="2142" ht="12" spans="1:14">
      <c r="A2142" s="46">
        <v>45617</v>
      </c>
      <c r="B2142" s="50"/>
      <c r="C2142" s="50"/>
      <c r="D2142" s="50" t="s">
        <v>4420</v>
      </c>
      <c r="E2142" s="50" t="s">
        <v>3254</v>
      </c>
      <c r="F2142" s="11" t="s">
        <v>3255</v>
      </c>
      <c r="G2142" s="50">
        <v>3</v>
      </c>
      <c r="H2142" s="48">
        <v>4</v>
      </c>
      <c r="I2142" s="14">
        <f>VENTAS[[#This Row],[Cantidad]]*VENTAS[[#This Row],[Precio Venta]]</f>
        <v>12</v>
      </c>
      <c r="J2142" s="14">
        <f>IF(VENTAS[[#This Row],[Nombre del Gestor]]&gt;1,VENTAS[[#This Row],[Total]]*10%,0)</f>
        <v>1.2</v>
      </c>
      <c r="K2142" s="14">
        <f>IFERROR(VLOOKUP(VENTAS[[#This Row],[Código del producto Vendido]],STOCK[],16,FALSE)*VENTAS[[#This Row],[Cantidad]]+VLOOKUP(VENTAS[[#This Row],[Código del producto Vendido]],STOCK[],19,FALSE)*VENTAS[[#This Row],[Cantidad]],VENTAS[[#This Row],[Total]])</f>
        <v>6</v>
      </c>
      <c r="L2142" s="14">
        <f>VENTAS[[#This Row],[Total]]-VENTAS[[#This Row],[Comisión 10%]]-VENTAS[[#This Row],[Costo SIN Comision]]</f>
        <v>4.8</v>
      </c>
      <c r="M2142" s="50"/>
      <c r="N2142" s="50" t="s">
        <v>5039</v>
      </c>
    </row>
    <row r="2143" ht="12" spans="1:14">
      <c r="A2143" s="46">
        <v>45617</v>
      </c>
      <c r="B2143" s="50"/>
      <c r="C2143" s="50"/>
      <c r="D2143" s="50" t="s">
        <v>4649</v>
      </c>
      <c r="E2143" s="50" t="s">
        <v>3184</v>
      </c>
      <c r="F2143" s="11" t="s">
        <v>3185</v>
      </c>
      <c r="G2143" s="50">
        <v>1</v>
      </c>
      <c r="H2143" s="48">
        <v>18</v>
      </c>
      <c r="I2143" s="14">
        <f>VENTAS[[#This Row],[Cantidad]]*VENTAS[[#This Row],[Precio Venta]]</f>
        <v>18</v>
      </c>
      <c r="J2143" s="14">
        <f>IF(VENTAS[[#This Row],[Nombre del Gestor]]&gt;1,VENTAS[[#This Row],[Total]]*10%,0)</f>
        <v>1.8</v>
      </c>
      <c r="K2143" s="14">
        <f>IFERROR(VLOOKUP(VENTAS[[#This Row],[Código del producto Vendido]],STOCK[],16,FALSE)*VENTAS[[#This Row],[Cantidad]]+VLOOKUP(VENTAS[[#This Row],[Código del producto Vendido]],STOCK[],19,FALSE)*VENTAS[[#This Row],[Cantidad]],VENTAS[[#This Row],[Total]])</f>
        <v>10</v>
      </c>
      <c r="L2143" s="14">
        <f>VENTAS[[#This Row],[Total]]-VENTAS[[#This Row],[Comisión 10%]]-VENTAS[[#This Row],[Costo SIN Comision]]</f>
        <v>6.2</v>
      </c>
      <c r="M2143" s="50"/>
      <c r="N2143" s="50" t="s">
        <v>5040</v>
      </c>
    </row>
    <row r="2144" ht="12" spans="1:14">
      <c r="A2144" s="46">
        <v>45617</v>
      </c>
      <c r="B2144" s="50"/>
      <c r="C2144" s="50"/>
      <c r="D2144" s="50" t="s">
        <v>4649</v>
      </c>
      <c r="E2144" s="50" t="s">
        <v>3192</v>
      </c>
      <c r="F2144" s="11" t="s">
        <v>3193</v>
      </c>
      <c r="G2144" s="50">
        <v>1</v>
      </c>
      <c r="H2144" s="48">
        <v>18</v>
      </c>
      <c r="I2144" s="14">
        <f>VENTAS[[#This Row],[Cantidad]]*VENTAS[[#This Row],[Precio Venta]]</f>
        <v>18</v>
      </c>
      <c r="J2144" s="14">
        <f>IF(VENTAS[[#This Row],[Nombre del Gestor]]&gt;1,VENTAS[[#This Row],[Total]]*10%,0)</f>
        <v>1.8</v>
      </c>
      <c r="K2144" s="14">
        <f>IFERROR(VLOOKUP(VENTAS[[#This Row],[Código del producto Vendido]],STOCK[],16,FALSE)*VENTAS[[#This Row],[Cantidad]]+VLOOKUP(VENTAS[[#This Row],[Código del producto Vendido]],STOCK[],19,FALSE)*VENTAS[[#This Row],[Cantidad]],VENTAS[[#This Row],[Total]])</f>
        <v>10</v>
      </c>
      <c r="L2144" s="14">
        <f>VENTAS[[#This Row],[Total]]-VENTAS[[#This Row],[Comisión 10%]]-VENTAS[[#This Row],[Costo SIN Comision]]</f>
        <v>6.2</v>
      </c>
      <c r="M2144" s="50"/>
      <c r="N2144" s="50" t="s">
        <v>5041</v>
      </c>
    </row>
    <row r="2145" ht="12" spans="1:14">
      <c r="A2145" s="46">
        <v>45617</v>
      </c>
      <c r="B2145" s="50"/>
      <c r="C2145" s="50"/>
      <c r="D2145" s="50" t="s">
        <v>4649</v>
      </c>
      <c r="E2145" s="50" t="s">
        <v>3145</v>
      </c>
      <c r="F2145" s="11" t="s">
        <v>3146</v>
      </c>
      <c r="G2145" s="50">
        <v>1</v>
      </c>
      <c r="H2145" s="48">
        <v>25</v>
      </c>
      <c r="I2145" s="14">
        <f>VENTAS[[#This Row],[Cantidad]]*VENTAS[[#This Row],[Precio Venta]]</f>
        <v>25</v>
      </c>
      <c r="J2145" s="14">
        <f>IF(VENTAS[[#This Row],[Nombre del Gestor]]&gt;1,VENTAS[[#This Row],[Total]]*10%,0)</f>
        <v>2.5</v>
      </c>
      <c r="K2145" s="14">
        <f>IFERROR(VLOOKUP(VENTAS[[#This Row],[Código del producto Vendido]],STOCK[],16,FALSE)*VENTAS[[#This Row],[Cantidad]]+VLOOKUP(VENTAS[[#This Row],[Código del producto Vendido]],STOCK[],19,FALSE)*VENTAS[[#This Row],[Cantidad]],VENTAS[[#This Row],[Total]])</f>
        <v>12</v>
      </c>
      <c r="L2145" s="14">
        <f>VENTAS[[#This Row],[Total]]-VENTAS[[#This Row],[Comisión 10%]]-VENTAS[[#This Row],[Costo SIN Comision]]</f>
        <v>10.5</v>
      </c>
      <c r="M2145" s="50"/>
      <c r="N2145" s="50" t="s">
        <v>5042</v>
      </c>
    </row>
    <row r="2146" ht="12" spans="1:14">
      <c r="A2146" s="46">
        <v>45617</v>
      </c>
      <c r="B2146" s="50"/>
      <c r="C2146" s="50" t="s">
        <v>4298</v>
      </c>
      <c r="D2146" s="50"/>
      <c r="E2146" s="50" t="s">
        <v>3059</v>
      </c>
      <c r="F2146" s="11" t="s">
        <v>3060</v>
      </c>
      <c r="G2146" s="50">
        <v>1</v>
      </c>
      <c r="H2146" s="48">
        <v>30</v>
      </c>
      <c r="I2146" s="14">
        <f>VENTAS[[#This Row],[Cantidad]]*VENTAS[[#This Row],[Precio Venta]]</f>
        <v>30</v>
      </c>
      <c r="J2146" s="14">
        <f>IF(VENTAS[[#This Row],[Nombre del Gestor]]&gt;1,VENTAS[[#This Row],[Total]]*10%,0)</f>
        <v>0</v>
      </c>
      <c r="K2146" s="14">
        <f>IFERROR(VLOOKUP(VENTAS[[#This Row],[Código del producto Vendido]],STOCK[],16,FALSE)*VENTAS[[#This Row],[Cantidad]]+VLOOKUP(VENTAS[[#This Row],[Código del producto Vendido]],STOCK[],19,FALSE)*VENTAS[[#This Row],[Cantidad]],VENTAS[[#This Row],[Total]])</f>
        <v>10</v>
      </c>
      <c r="L2146" s="14">
        <f>VENTAS[[#This Row],[Total]]-VENTAS[[#This Row],[Comisión 10%]]-VENTAS[[#This Row],[Costo SIN Comision]]</f>
        <v>20</v>
      </c>
      <c r="M2146" s="50"/>
      <c r="N2146" s="50" t="s">
        <v>5043</v>
      </c>
    </row>
    <row r="2147" ht="12" spans="1:14">
      <c r="A2147" s="46">
        <v>45617</v>
      </c>
      <c r="B2147" s="50"/>
      <c r="C2147" s="50" t="s">
        <v>4298</v>
      </c>
      <c r="D2147" s="50"/>
      <c r="E2147" s="50" t="s">
        <v>2434</v>
      </c>
      <c r="F2147" s="11" t="s">
        <v>2426</v>
      </c>
      <c r="G2147" s="50">
        <v>1</v>
      </c>
      <c r="H2147" s="48">
        <v>23</v>
      </c>
      <c r="I2147" s="14">
        <f>VENTAS[[#This Row],[Cantidad]]*VENTAS[[#This Row],[Precio Venta]]</f>
        <v>23</v>
      </c>
      <c r="J2147" s="14">
        <f>IF(VENTAS[[#This Row],[Nombre del Gestor]]&gt;1,VENTAS[[#This Row],[Total]]*10%,0)</f>
        <v>0</v>
      </c>
      <c r="K2147" s="14">
        <f>IFERROR(VLOOKUP(VENTAS[[#This Row],[Código del producto Vendido]],STOCK[],16,FALSE)*VENTAS[[#This Row],[Cantidad]]+VLOOKUP(VENTAS[[#This Row],[Código del producto Vendido]],STOCK[],19,FALSE)*VENTAS[[#This Row],[Cantidad]],VENTAS[[#This Row],[Total]])</f>
        <v>11.4353349001175</v>
      </c>
      <c r="L2147" s="14">
        <f>VENTAS[[#This Row],[Total]]-VENTAS[[#This Row],[Comisión 10%]]-VENTAS[[#This Row],[Costo SIN Comision]]</f>
        <v>11.5646650998825</v>
      </c>
      <c r="M2147" s="50"/>
      <c r="N2147" s="50" t="s">
        <v>5044</v>
      </c>
    </row>
    <row r="2148" ht="12" spans="1:14">
      <c r="A2148" s="46">
        <v>45617</v>
      </c>
      <c r="B2148" s="50"/>
      <c r="C2148" s="50" t="s">
        <v>4298</v>
      </c>
      <c r="D2148" s="50"/>
      <c r="E2148" s="50" t="s">
        <v>3105</v>
      </c>
      <c r="F2148" s="11" t="s">
        <v>3106</v>
      </c>
      <c r="G2148" s="50">
        <v>1</v>
      </c>
      <c r="H2148" s="48">
        <v>15</v>
      </c>
      <c r="I2148" s="14">
        <f>VENTAS[[#This Row],[Cantidad]]*VENTAS[[#This Row],[Precio Venta]]</f>
        <v>15</v>
      </c>
      <c r="J2148" s="14">
        <f>IF(VENTAS[[#This Row],[Nombre del Gestor]]&gt;1,VENTAS[[#This Row],[Total]]*10%,0)</f>
        <v>0</v>
      </c>
      <c r="K2148" s="14">
        <f>IFERROR(VLOOKUP(VENTAS[[#This Row],[Código del producto Vendido]],STOCK[],16,FALSE)*VENTAS[[#This Row],[Cantidad]]+VLOOKUP(VENTAS[[#This Row],[Código del producto Vendido]],STOCK[],19,FALSE)*VENTAS[[#This Row],[Cantidad]],VENTAS[[#This Row],[Total]])</f>
        <v>8</v>
      </c>
      <c r="L2148" s="14">
        <f>VENTAS[[#This Row],[Total]]-VENTAS[[#This Row],[Comisión 10%]]-VENTAS[[#This Row],[Costo SIN Comision]]</f>
        <v>7</v>
      </c>
      <c r="M2148" s="50"/>
      <c r="N2148" s="50" t="s">
        <v>5045</v>
      </c>
    </row>
    <row r="2149" ht="12" spans="1:14">
      <c r="A2149" s="46">
        <v>45617</v>
      </c>
      <c r="B2149" s="50"/>
      <c r="C2149" s="50" t="s">
        <v>4298</v>
      </c>
      <c r="D2149" s="50"/>
      <c r="E2149" s="50" t="s">
        <v>3117</v>
      </c>
      <c r="F2149" s="11" t="s">
        <v>3116</v>
      </c>
      <c r="G2149" s="50">
        <v>1</v>
      </c>
      <c r="H2149" s="48">
        <v>15</v>
      </c>
      <c r="I2149" s="14">
        <f>VENTAS[[#This Row],[Cantidad]]*VENTAS[[#This Row],[Precio Venta]]</f>
        <v>15</v>
      </c>
      <c r="J2149" s="14">
        <f>IF(VENTAS[[#This Row],[Nombre del Gestor]]&gt;1,VENTAS[[#This Row],[Total]]*10%,0)</f>
        <v>0</v>
      </c>
      <c r="K2149" s="14">
        <f>IFERROR(VLOOKUP(VENTAS[[#This Row],[Código del producto Vendido]],STOCK[],16,FALSE)*VENTAS[[#This Row],[Cantidad]]+VLOOKUP(VENTAS[[#This Row],[Código del producto Vendido]],STOCK[],19,FALSE)*VENTAS[[#This Row],[Cantidad]],VENTAS[[#This Row],[Total]])</f>
        <v>8</v>
      </c>
      <c r="L2149" s="14">
        <f>VENTAS[[#This Row],[Total]]-VENTAS[[#This Row],[Comisión 10%]]-VENTAS[[#This Row],[Costo SIN Comision]]</f>
        <v>7</v>
      </c>
      <c r="M2149" s="50"/>
      <c r="N2149" s="50" t="s">
        <v>5046</v>
      </c>
    </row>
    <row r="2150" ht="12" spans="1:14">
      <c r="A2150" s="46">
        <v>45618</v>
      </c>
      <c r="B2150" s="50"/>
      <c r="C2150" s="50"/>
      <c r="D2150" s="50" t="s">
        <v>4222</v>
      </c>
      <c r="E2150" s="50" t="s">
        <v>1000</v>
      </c>
      <c r="F2150" s="11" t="s">
        <v>999</v>
      </c>
      <c r="G2150" s="50">
        <v>1</v>
      </c>
      <c r="H2150" s="48">
        <v>14</v>
      </c>
      <c r="I2150" s="14">
        <f>VENTAS[[#This Row],[Cantidad]]*VENTAS[[#This Row],[Precio Venta]]</f>
        <v>14</v>
      </c>
      <c r="J2150" s="14">
        <f>IF(VENTAS[[#This Row],[Nombre del Gestor]]&gt;1,VENTAS[[#This Row],[Total]]*10%,0)</f>
        <v>1.4</v>
      </c>
      <c r="K2150" s="14">
        <f>IFERROR(VLOOKUP(VENTAS[[#This Row],[Código del producto Vendido]],STOCK[],16,FALSE)*VENTAS[[#This Row],[Cantidad]]+VLOOKUP(VENTAS[[#This Row],[Código del producto Vendido]],STOCK[],19,FALSE)*VENTAS[[#This Row],[Cantidad]],VENTAS[[#This Row],[Total]])</f>
        <v>9.28</v>
      </c>
      <c r="L2150" s="14">
        <f>VENTAS[[#This Row],[Total]]-VENTAS[[#This Row],[Comisión 10%]]-VENTAS[[#This Row],[Costo SIN Comision]]</f>
        <v>3.32</v>
      </c>
      <c r="M2150" s="50"/>
      <c r="N2150" s="50" t="s">
        <v>5047</v>
      </c>
    </row>
    <row r="2151" ht="12" spans="1:14">
      <c r="A2151" s="46">
        <v>45618</v>
      </c>
      <c r="B2151" s="50"/>
      <c r="C2151" s="50"/>
      <c r="D2151" s="50" t="s">
        <v>4272</v>
      </c>
      <c r="E2151" s="50" t="s">
        <v>2934</v>
      </c>
      <c r="F2151" s="11" t="s">
        <v>2930</v>
      </c>
      <c r="G2151" s="50">
        <v>2</v>
      </c>
      <c r="H2151" s="48">
        <v>30</v>
      </c>
      <c r="I2151" s="14">
        <f>VENTAS[[#This Row],[Cantidad]]*VENTAS[[#This Row],[Precio Venta]]</f>
        <v>60</v>
      </c>
      <c r="J2151" s="14">
        <f>IF(VENTAS[[#This Row],[Nombre del Gestor]]&gt;1,VENTAS[[#This Row],[Total]]*10%,0)</f>
        <v>6</v>
      </c>
      <c r="K2151" s="14">
        <f>IFERROR(VLOOKUP(VENTAS[[#This Row],[Código del producto Vendido]],STOCK[],16,FALSE)*VENTAS[[#This Row],[Cantidad]]+VLOOKUP(VENTAS[[#This Row],[Código del producto Vendido]],STOCK[],19,FALSE)*VENTAS[[#This Row],[Cantidad]],VENTAS[[#This Row],[Total]])</f>
        <v>24.92</v>
      </c>
      <c r="L2151" s="14">
        <f>VENTAS[[#This Row],[Total]]-VENTAS[[#This Row],[Comisión 10%]]-VENTAS[[#This Row],[Costo SIN Comision]]</f>
        <v>29.08</v>
      </c>
      <c r="M2151" s="50"/>
      <c r="N2151" s="50" t="s">
        <v>5048</v>
      </c>
    </row>
    <row r="2152" ht="12" spans="1:14">
      <c r="A2152" s="46">
        <v>45618</v>
      </c>
      <c r="B2152" s="50"/>
      <c r="C2152" s="50"/>
      <c r="D2152" s="50" t="s">
        <v>4463</v>
      </c>
      <c r="E2152" s="50" t="s">
        <v>1707</v>
      </c>
      <c r="F2152" s="11" t="s">
        <v>1706</v>
      </c>
      <c r="G2152" s="50">
        <v>1</v>
      </c>
      <c r="H2152" s="48">
        <v>20</v>
      </c>
      <c r="I2152" s="14">
        <f>VENTAS[[#This Row],[Cantidad]]*VENTAS[[#This Row],[Precio Venta]]</f>
        <v>20</v>
      </c>
      <c r="J2152" s="14">
        <f>IF(VENTAS[[#This Row],[Nombre del Gestor]]&gt;1,VENTAS[[#This Row],[Total]]*10%,0)</f>
        <v>2</v>
      </c>
      <c r="K2152" s="14">
        <f>IFERROR(VLOOKUP(VENTAS[[#This Row],[Código del producto Vendido]],STOCK[],16,FALSE)*VENTAS[[#This Row],[Cantidad]]+VLOOKUP(VENTAS[[#This Row],[Código del producto Vendido]],STOCK[],19,FALSE)*VENTAS[[#This Row],[Cantidad]],VENTAS[[#This Row],[Total]])</f>
        <v>9.97</v>
      </c>
      <c r="L2152" s="14">
        <f>VENTAS[[#This Row],[Total]]-VENTAS[[#This Row],[Comisión 10%]]-VENTAS[[#This Row],[Costo SIN Comision]]</f>
        <v>8.03</v>
      </c>
      <c r="M2152" s="50"/>
      <c r="N2152" s="50" t="s">
        <v>5049</v>
      </c>
    </row>
    <row r="2153" ht="12" spans="1:14">
      <c r="A2153" s="46">
        <v>45619</v>
      </c>
      <c r="B2153" s="50"/>
      <c r="C2153" s="50"/>
      <c r="D2153" s="50" t="s">
        <v>4463</v>
      </c>
      <c r="E2153" s="50" t="s">
        <v>1858</v>
      </c>
      <c r="F2153" s="11" t="s">
        <v>1859</v>
      </c>
      <c r="G2153" s="50">
        <v>1</v>
      </c>
      <c r="H2153" s="48">
        <v>20</v>
      </c>
      <c r="I2153" s="14">
        <f>VENTAS[[#This Row],[Cantidad]]*VENTAS[[#This Row],[Precio Venta]]</f>
        <v>20</v>
      </c>
      <c r="J2153" s="14">
        <f>IF(VENTAS[[#This Row],[Nombre del Gestor]]&gt;1,VENTAS[[#This Row],[Total]]*10%,0)</f>
        <v>2</v>
      </c>
      <c r="K2153" s="14">
        <f>IFERROR(VLOOKUP(VENTAS[[#This Row],[Código del producto Vendido]],STOCK[],16,FALSE)*VENTAS[[#This Row],[Cantidad]]+VLOOKUP(VENTAS[[#This Row],[Código del producto Vendido]],STOCK[],19,FALSE)*VENTAS[[#This Row],[Cantidad]],VENTAS[[#This Row],[Total]])</f>
        <v>11.79</v>
      </c>
      <c r="L2153" s="14">
        <f>VENTAS[[#This Row],[Total]]-VENTAS[[#This Row],[Comisión 10%]]-VENTAS[[#This Row],[Costo SIN Comision]]</f>
        <v>6.21</v>
      </c>
      <c r="M2153" s="50"/>
      <c r="N2153" s="50" t="s">
        <v>5050</v>
      </c>
    </row>
    <row r="2154" ht="12" spans="1:14">
      <c r="A2154" s="46">
        <v>45621</v>
      </c>
      <c r="B2154" s="50"/>
      <c r="C2154" s="50"/>
      <c r="D2154" s="50" t="s">
        <v>4463</v>
      </c>
      <c r="E2154" s="50" t="s">
        <v>1705</v>
      </c>
      <c r="F2154" s="11" t="s">
        <v>1706</v>
      </c>
      <c r="G2154" s="50">
        <v>1</v>
      </c>
      <c r="H2154" s="48">
        <v>20</v>
      </c>
      <c r="I2154" s="14">
        <f>VENTAS[[#This Row],[Cantidad]]*VENTAS[[#This Row],[Precio Venta]]</f>
        <v>20</v>
      </c>
      <c r="J2154" s="14">
        <f>IF(VENTAS[[#This Row],[Nombre del Gestor]]&gt;1,VENTAS[[#This Row],[Total]]*10%,0)</f>
        <v>2</v>
      </c>
      <c r="K2154" s="14">
        <f>IFERROR(VLOOKUP(VENTAS[[#This Row],[Código del producto Vendido]],STOCK[],16,FALSE)*VENTAS[[#This Row],[Cantidad]]+VLOOKUP(VENTAS[[#This Row],[Código del producto Vendido]],STOCK[],19,FALSE)*VENTAS[[#This Row],[Cantidad]],VENTAS[[#This Row],[Total]])</f>
        <v>9.97</v>
      </c>
      <c r="L2154" s="14">
        <f>VENTAS[[#This Row],[Total]]-VENTAS[[#This Row],[Comisión 10%]]-VENTAS[[#This Row],[Costo SIN Comision]]</f>
        <v>8.03</v>
      </c>
      <c r="M2154" s="50"/>
      <c r="N2154" s="50" t="s">
        <v>5051</v>
      </c>
    </row>
    <row r="2155" ht="12" spans="1:14">
      <c r="A2155" s="46">
        <v>45621</v>
      </c>
      <c r="B2155" s="50"/>
      <c r="C2155" s="50"/>
      <c r="D2155" s="50" t="s">
        <v>4266</v>
      </c>
      <c r="E2155" s="50" t="s">
        <v>2470</v>
      </c>
      <c r="F2155" s="11" t="s">
        <v>2471</v>
      </c>
      <c r="G2155" s="50">
        <v>1</v>
      </c>
      <c r="H2155" s="48">
        <v>35</v>
      </c>
      <c r="I2155" s="14">
        <f>VENTAS[[#This Row],[Cantidad]]*VENTAS[[#This Row],[Precio Venta]]</f>
        <v>35</v>
      </c>
      <c r="J2155" s="14">
        <f>IF(VENTAS[[#This Row],[Nombre del Gestor]]&gt;1,VENTAS[[#This Row],[Total]]*10%,0)</f>
        <v>3.5</v>
      </c>
      <c r="K2155" s="14">
        <f>IFERROR(VLOOKUP(VENTAS[[#This Row],[Código del producto Vendido]],STOCK[],16,FALSE)*VENTAS[[#This Row],[Cantidad]]+VLOOKUP(VENTAS[[#This Row],[Código del producto Vendido]],STOCK[],19,FALSE)*VENTAS[[#This Row],[Cantidad]],VENTAS[[#This Row],[Total]])</f>
        <v>21.13165</v>
      </c>
      <c r="L2155" s="14">
        <f>VENTAS[[#This Row],[Total]]-VENTAS[[#This Row],[Comisión 10%]]-VENTAS[[#This Row],[Costo SIN Comision]]</f>
        <v>10.36835</v>
      </c>
      <c r="M2155" s="50"/>
      <c r="N2155" s="50" t="s">
        <v>5052</v>
      </c>
    </row>
    <row r="2156" ht="12" spans="1:14">
      <c r="A2156" s="46">
        <v>45621</v>
      </c>
      <c r="B2156" s="50"/>
      <c r="C2156" s="50"/>
      <c r="D2156" s="50" t="s">
        <v>4076</v>
      </c>
      <c r="E2156" s="50" t="s">
        <v>597</v>
      </c>
      <c r="F2156" s="11" t="s">
        <v>595</v>
      </c>
      <c r="G2156" s="50">
        <v>1</v>
      </c>
      <c r="H2156" s="48">
        <v>9</v>
      </c>
      <c r="I2156" s="14">
        <f>VENTAS[[#This Row],[Cantidad]]*VENTAS[[#This Row],[Precio Venta]]</f>
        <v>9</v>
      </c>
      <c r="J2156" s="14">
        <f>IF(VENTAS[[#This Row],[Nombre del Gestor]]&gt;1,VENTAS[[#This Row],[Total]]*10%,0)</f>
        <v>0.9</v>
      </c>
      <c r="K2156" s="14">
        <f>IFERROR(VLOOKUP(VENTAS[[#This Row],[Código del producto Vendido]],STOCK[],16,FALSE)*VENTAS[[#This Row],[Cantidad]]+VLOOKUP(VENTAS[[#This Row],[Código del producto Vendido]],STOCK[],19,FALSE)*VENTAS[[#This Row],[Cantidad]],VENTAS[[#This Row],[Total]])</f>
        <v>5.06833333333333</v>
      </c>
      <c r="L2156" s="14">
        <f>VENTAS[[#This Row],[Total]]-VENTAS[[#This Row],[Comisión 10%]]-VENTAS[[#This Row],[Costo SIN Comision]]</f>
        <v>3.03166666666667</v>
      </c>
      <c r="M2156" s="50"/>
      <c r="N2156" s="50" t="s">
        <v>5053</v>
      </c>
    </row>
    <row r="2157" ht="12" spans="1:14">
      <c r="A2157" s="46">
        <v>45621</v>
      </c>
      <c r="B2157" s="50"/>
      <c r="C2157" s="50"/>
      <c r="D2157" s="50" t="s">
        <v>4076</v>
      </c>
      <c r="E2157" s="50" t="s">
        <v>998</v>
      </c>
      <c r="F2157" s="11" t="s">
        <v>999</v>
      </c>
      <c r="G2157" s="50">
        <v>1</v>
      </c>
      <c r="H2157" s="48">
        <v>14</v>
      </c>
      <c r="I2157" s="14">
        <f>VENTAS[[#This Row],[Cantidad]]*VENTAS[[#This Row],[Precio Venta]]</f>
        <v>14</v>
      </c>
      <c r="J2157" s="14">
        <f>IF(VENTAS[[#This Row],[Nombre del Gestor]]&gt;1,VENTAS[[#This Row],[Total]]*10%,0)</f>
        <v>1.4</v>
      </c>
      <c r="K2157" s="14">
        <f>IFERROR(VLOOKUP(VENTAS[[#This Row],[Código del producto Vendido]],STOCK[],16,FALSE)*VENTAS[[#This Row],[Cantidad]]+VLOOKUP(VENTAS[[#This Row],[Código del producto Vendido]],STOCK[],19,FALSE)*VENTAS[[#This Row],[Cantidad]],VENTAS[[#This Row],[Total]])</f>
        <v>9.28</v>
      </c>
      <c r="L2157" s="14">
        <f>VENTAS[[#This Row],[Total]]-VENTAS[[#This Row],[Comisión 10%]]-VENTAS[[#This Row],[Costo SIN Comision]]</f>
        <v>3.32</v>
      </c>
      <c r="M2157" s="50"/>
      <c r="N2157" s="50" t="s">
        <v>5054</v>
      </c>
    </row>
    <row r="2158" ht="12" spans="1:14">
      <c r="A2158" s="46">
        <v>45621</v>
      </c>
      <c r="B2158" s="50"/>
      <c r="C2158" s="50"/>
      <c r="D2158" s="50" t="s">
        <v>4076</v>
      </c>
      <c r="E2158" s="50" t="s">
        <v>1907</v>
      </c>
      <c r="F2158" s="11" t="s">
        <v>1908</v>
      </c>
      <c r="G2158" s="50">
        <v>1</v>
      </c>
      <c r="H2158" s="48">
        <v>35</v>
      </c>
      <c r="I2158" s="14">
        <f>VENTAS[[#This Row],[Cantidad]]*VENTAS[[#This Row],[Precio Venta]]</f>
        <v>35</v>
      </c>
      <c r="J2158" s="14">
        <f>IF(VENTAS[[#This Row],[Nombre del Gestor]]&gt;1,VENTAS[[#This Row],[Total]]*10%,0)</f>
        <v>3.5</v>
      </c>
      <c r="K2158" s="14">
        <f>IFERROR(VLOOKUP(VENTAS[[#This Row],[Código del producto Vendido]],STOCK[],16,FALSE)*VENTAS[[#This Row],[Cantidad]]+VLOOKUP(VENTAS[[#This Row],[Código del producto Vendido]],STOCK[],19,FALSE)*VENTAS[[#This Row],[Cantidad]],VENTAS[[#This Row],[Total]])</f>
        <v>21.48</v>
      </c>
      <c r="L2158" s="14">
        <f>VENTAS[[#This Row],[Total]]-VENTAS[[#This Row],[Comisión 10%]]-VENTAS[[#This Row],[Costo SIN Comision]]</f>
        <v>10.02</v>
      </c>
      <c r="M2158" s="50"/>
      <c r="N2158" s="50" t="s">
        <v>5055</v>
      </c>
    </row>
    <row r="2159" ht="12" spans="1:14">
      <c r="A2159" s="46">
        <v>45622</v>
      </c>
      <c r="B2159" s="50"/>
      <c r="C2159" s="50"/>
      <c r="D2159" s="50" t="s">
        <v>4463</v>
      </c>
      <c r="E2159" s="50" t="s">
        <v>2752</v>
      </c>
      <c r="F2159" s="11" t="s">
        <v>2751</v>
      </c>
      <c r="G2159" s="50">
        <v>1</v>
      </c>
      <c r="H2159" s="48">
        <v>20</v>
      </c>
      <c r="I2159" s="14">
        <f>VENTAS[[#This Row],[Cantidad]]*VENTAS[[#This Row],[Precio Venta]]</f>
        <v>20</v>
      </c>
      <c r="J2159" s="14">
        <f>IF(VENTAS[[#This Row],[Nombre del Gestor]]&gt;1,VENTAS[[#This Row],[Total]]*10%,0)</f>
        <v>2</v>
      </c>
      <c r="K2159" s="14">
        <f>IFERROR(VLOOKUP(VENTAS[[#This Row],[Código del producto Vendido]],STOCK[],16,FALSE)*VENTAS[[#This Row],[Cantidad]]+VLOOKUP(VENTAS[[#This Row],[Código del producto Vendido]],STOCK[],19,FALSE)*VENTAS[[#This Row],[Cantidad]],VENTAS[[#This Row],[Total]])</f>
        <v>6.12</v>
      </c>
      <c r="L2159" s="14">
        <f>VENTAS[[#This Row],[Total]]-VENTAS[[#This Row],[Comisión 10%]]-VENTAS[[#This Row],[Costo SIN Comision]]</f>
        <v>11.88</v>
      </c>
      <c r="M2159" s="50"/>
      <c r="N2159" s="50" t="s">
        <v>5056</v>
      </c>
    </row>
    <row r="2160" ht="12" spans="1:14">
      <c r="A2160" s="46">
        <v>45622</v>
      </c>
      <c r="B2160" s="50"/>
      <c r="C2160" s="50"/>
      <c r="D2160" s="50" t="s">
        <v>4241</v>
      </c>
      <c r="E2160" s="50" t="s">
        <v>1003</v>
      </c>
      <c r="F2160" s="11" t="s">
        <v>1004</v>
      </c>
      <c r="G2160" s="50">
        <v>1</v>
      </c>
      <c r="H2160" s="48">
        <v>22</v>
      </c>
      <c r="I2160" s="14">
        <f>VENTAS[[#This Row],[Cantidad]]*VENTAS[[#This Row],[Precio Venta]]</f>
        <v>22</v>
      </c>
      <c r="J2160" s="14">
        <f>IF(VENTAS[[#This Row],[Nombre del Gestor]]&gt;1,VENTAS[[#This Row],[Total]]*10%,0)</f>
        <v>2.2</v>
      </c>
      <c r="K2160" s="14">
        <f>IFERROR(VLOOKUP(VENTAS[[#This Row],[Código del producto Vendido]],STOCK[],16,FALSE)*VENTAS[[#This Row],[Cantidad]]+VLOOKUP(VENTAS[[#This Row],[Código del producto Vendido]],STOCK[],19,FALSE)*VENTAS[[#This Row],[Cantidad]],VENTAS[[#This Row],[Total]])</f>
        <v>15.3272727272727</v>
      </c>
      <c r="L2160" s="14">
        <f>VENTAS[[#This Row],[Total]]-VENTAS[[#This Row],[Comisión 10%]]-VENTAS[[#This Row],[Costo SIN Comision]]</f>
        <v>4.4727272727273</v>
      </c>
      <c r="M2160" s="50"/>
      <c r="N2160" s="50" t="s">
        <v>5057</v>
      </c>
    </row>
    <row r="2161" ht="12" spans="1:14">
      <c r="A2161" s="46">
        <v>45622</v>
      </c>
      <c r="B2161" s="50"/>
      <c r="C2161" s="50"/>
      <c r="D2161" s="50" t="s">
        <v>4241</v>
      </c>
      <c r="E2161" s="50" t="s">
        <v>604</v>
      </c>
      <c r="F2161" s="11" t="s">
        <v>603</v>
      </c>
      <c r="G2161" s="50">
        <v>1</v>
      </c>
      <c r="H2161" s="48">
        <v>18</v>
      </c>
      <c r="I2161" s="14">
        <f>VENTAS[[#This Row],[Cantidad]]*VENTAS[[#This Row],[Precio Venta]]</f>
        <v>18</v>
      </c>
      <c r="J2161" s="14">
        <f>IF(VENTAS[[#This Row],[Nombre del Gestor]]&gt;1,VENTAS[[#This Row],[Total]]*10%,0)</f>
        <v>1.8</v>
      </c>
      <c r="K2161" s="14">
        <f>IFERROR(VLOOKUP(VENTAS[[#This Row],[Código del producto Vendido]],STOCK[],16,FALSE)*VENTAS[[#This Row],[Cantidad]]+VLOOKUP(VENTAS[[#This Row],[Código del producto Vendido]],STOCK[],19,FALSE)*VENTAS[[#This Row],[Cantidad]],VENTAS[[#This Row],[Total]])</f>
        <v>10.7222222222222</v>
      </c>
      <c r="L2161" s="14">
        <f>VENTAS[[#This Row],[Total]]-VENTAS[[#This Row],[Comisión 10%]]-VENTAS[[#This Row],[Costo SIN Comision]]</f>
        <v>5.47777777777778</v>
      </c>
      <c r="M2161" s="50"/>
      <c r="N2161" s="50" t="s">
        <v>5058</v>
      </c>
    </row>
    <row r="2162" ht="12" spans="1:14">
      <c r="A2162" s="46">
        <v>45622</v>
      </c>
      <c r="B2162" s="50"/>
      <c r="C2162" s="50"/>
      <c r="D2162" s="50" t="s">
        <v>4241</v>
      </c>
      <c r="E2162" s="50" t="s">
        <v>1768</v>
      </c>
      <c r="F2162" s="11" t="s">
        <v>1770</v>
      </c>
      <c r="G2162" s="50">
        <v>4</v>
      </c>
      <c r="H2162" s="48">
        <v>1</v>
      </c>
      <c r="I2162" s="14">
        <f>VENTAS[[#This Row],[Cantidad]]*VENTAS[[#This Row],[Precio Venta]]</f>
        <v>4</v>
      </c>
      <c r="J2162" s="14">
        <f>IF(VENTAS[[#This Row],[Nombre del Gestor]]&gt;1,VENTAS[[#This Row],[Total]]*10%,0)</f>
        <v>0.4</v>
      </c>
      <c r="K2162" s="14">
        <f>IFERROR(VLOOKUP(VENTAS[[#This Row],[Código del producto Vendido]],STOCK[],16,FALSE)*VENTAS[[#This Row],[Cantidad]]+VLOOKUP(VENTAS[[#This Row],[Código del producto Vendido]],STOCK[],19,FALSE)*VENTAS[[#This Row],[Cantidad]],VENTAS[[#This Row],[Total]])</f>
        <v>1.71764705882353</v>
      </c>
      <c r="L2162" s="14">
        <f>VENTAS[[#This Row],[Total]]-VENTAS[[#This Row],[Comisión 10%]]-VENTAS[[#This Row],[Costo SIN Comision]]</f>
        <v>1.88235294117647</v>
      </c>
      <c r="M2162" s="50"/>
      <c r="N2162" s="50" t="s">
        <v>5059</v>
      </c>
    </row>
    <row r="2163" ht="12" spans="1:14">
      <c r="A2163" s="46">
        <v>45622</v>
      </c>
      <c r="B2163" s="50"/>
      <c r="C2163" s="50"/>
      <c r="D2163" s="50" t="s">
        <v>4376</v>
      </c>
      <c r="E2163" s="50" t="s">
        <v>1553</v>
      </c>
      <c r="F2163" s="11" t="s">
        <v>1555</v>
      </c>
      <c r="G2163" s="50">
        <v>1</v>
      </c>
      <c r="H2163" s="48">
        <v>55</v>
      </c>
      <c r="I2163" s="14">
        <f>VENTAS[[#This Row],[Cantidad]]*VENTAS[[#This Row],[Precio Venta]]</f>
        <v>55</v>
      </c>
      <c r="J2163" s="14">
        <f>IF(VENTAS[[#This Row],[Nombre del Gestor]]&gt;1,VENTAS[[#This Row],[Total]]*10%,0)</f>
        <v>5.5</v>
      </c>
      <c r="K2163" s="14">
        <f>IFERROR(VLOOKUP(VENTAS[[#This Row],[Código del producto Vendido]],STOCK[],16,FALSE)*VENTAS[[#This Row],[Cantidad]]+VLOOKUP(VENTAS[[#This Row],[Código del producto Vendido]],STOCK[],19,FALSE)*VENTAS[[#This Row],[Cantidad]],VENTAS[[#This Row],[Total]])</f>
        <v>40</v>
      </c>
      <c r="L2163" s="14">
        <f>VENTAS[[#This Row],[Total]]-VENTAS[[#This Row],[Comisión 10%]]-VENTAS[[#This Row],[Costo SIN Comision]]</f>
        <v>9.5</v>
      </c>
      <c r="M2163" s="50"/>
      <c r="N2163" s="50" t="s">
        <v>5060</v>
      </c>
    </row>
    <row r="2164" ht="12" spans="1:14">
      <c r="A2164" s="46">
        <v>45623</v>
      </c>
      <c r="B2164" s="50"/>
      <c r="C2164" s="50"/>
      <c r="D2164" s="50" t="s">
        <v>4241</v>
      </c>
      <c r="E2164" s="50" t="s">
        <v>1866</v>
      </c>
      <c r="F2164" s="11" t="s">
        <v>1868</v>
      </c>
      <c r="G2164" s="50">
        <v>1</v>
      </c>
      <c r="H2164" s="48">
        <v>40</v>
      </c>
      <c r="I2164" s="14">
        <f>VENTAS[[#This Row],[Cantidad]]*VENTAS[[#This Row],[Precio Venta]]</f>
        <v>40</v>
      </c>
      <c r="J2164" s="14">
        <f>IF(VENTAS[[#This Row],[Nombre del Gestor]]&gt;1,VENTAS[[#This Row],[Total]]*10%,0)</f>
        <v>4</v>
      </c>
      <c r="K2164" s="14">
        <f>IFERROR(VLOOKUP(VENTAS[[#This Row],[Código del producto Vendido]],STOCK[],16,FALSE)*VENTAS[[#This Row],[Cantidad]]+VLOOKUP(VENTAS[[#This Row],[Código del producto Vendido]],STOCK[],19,FALSE)*VENTAS[[#This Row],[Cantidad]],VENTAS[[#This Row],[Total]])</f>
        <v>24.29</v>
      </c>
      <c r="L2164" s="14">
        <f>VENTAS[[#This Row],[Total]]-VENTAS[[#This Row],[Comisión 10%]]-VENTAS[[#This Row],[Costo SIN Comision]]</f>
        <v>11.71</v>
      </c>
      <c r="M2164" s="50"/>
      <c r="N2164" s="50" t="s">
        <v>5061</v>
      </c>
    </row>
    <row r="2165" ht="12" spans="1:14">
      <c r="A2165" s="46">
        <v>45623</v>
      </c>
      <c r="B2165" s="50"/>
      <c r="C2165" s="50"/>
      <c r="D2165" s="50" t="s">
        <v>4270</v>
      </c>
      <c r="E2165" s="50" t="s">
        <v>691</v>
      </c>
      <c r="F2165" s="11" t="s">
        <v>690</v>
      </c>
      <c r="G2165" s="50">
        <v>1</v>
      </c>
      <c r="H2165" s="48">
        <v>12</v>
      </c>
      <c r="I2165" s="14">
        <f>VENTAS[[#This Row],[Cantidad]]*VENTAS[[#This Row],[Precio Venta]]</f>
        <v>12</v>
      </c>
      <c r="J2165" s="14">
        <f>IF(VENTAS[[#This Row],[Nombre del Gestor]]&gt;1,VENTAS[[#This Row],[Total]]*10%,0)</f>
        <v>1.2</v>
      </c>
      <c r="K2165" s="14">
        <f>IFERROR(VLOOKUP(VENTAS[[#This Row],[Código del producto Vendido]],STOCK[],16,FALSE)*VENTAS[[#This Row],[Cantidad]]+VLOOKUP(VENTAS[[#This Row],[Código del producto Vendido]],STOCK[],19,FALSE)*VENTAS[[#This Row],[Cantidad]],VENTAS[[#This Row],[Total]])</f>
        <v>7.05</v>
      </c>
      <c r="L2165" s="14">
        <f>VENTAS[[#This Row],[Total]]-VENTAS[[#This Row],[Comisión 10%]]-VENTAS[[#This Row],[Costo SIN Comision]]</f>
        <v>3.75</v>
      </c>
      <c r="M2165" s="50"/>
      <c r="N2165" s="50" t="s">
        <v>5062</v>
      </c>
    </row>
    <row r="2166" ht="12" spans="1:14">
      <c r="A2166" s="46">
        <v>45623</v>
      </c>
      <c r="B2166" s="50"/>
      <c r="C2166" s="50"/>
      <c r="D2166" s="50" t="s">
        <v>4222</v>
      </c>
      <c r="E2166" s="50" t="s">
        <v>3240</v>
      </c>
      <c r="F2166" s="11" t="s">
        <v>3241</v>
      </c>
      <c r="G2166" s="50">
        <v>1</v>
      </c>
      <c r="H2166" s="48">
        <v>30</v>
      </c>
      <c r="I2166" s="14">
        <f>VENTAS[[#This Row],[Cantidad]]*VENTAS[[#This Row],[Precio Venta]]</f>
        <v>30</v>
      </c>
      <c r="J2166" s="14">
        <f>IF(VENTAS[[#This Row],[Nombre del Gestor]]&gt;1,VENTAS[[#This Row],[Total]]*10%,0)</f>
        <v>3</v>
      </c>
      <c r="K2166" s="14">
        <f>IFERROR(VLOOKUP(VENTAS[[#This Row],[Código del producto Vendido]],STOCK[],16,FALSE)*VENTAS[[#This Row],[Cantidad]]+VLOOKUP(VENTAS[[#This Row],[Código del producto Vendido]],STOCK[],19,FALSE)*VENTAS[[#This Row],[Cantidad]],VENTAS[[#This Row],[Total]])</f>
        <v>12</v>
      </c>
      <c r="L2166" s="14">
        <f>VENTAS[[#This Row],[Total]]-VENTAS[[#This Row],[Comisión 10%]]-VENTAS[[#This Row],[Costo SIN Comision]]</f>
        <v>15</v>
      </c>
      <c r="M2166" s="50"/>
      <c r="N2166" s="50" t="s">
        <v>5063</v>
      </c>
    </row>
    <row r="2167" ht="12" spans="1:14">
      <c r="A2167" s="46">
        <v>45624</v>
      </c>
      <c r="B2167" s="50"/>
      <c r="C2167" s="50"/>
      <c r="D2167" s="50" t="s">
        <v>4463</v>
      </c>
      <c r="E2167" s="50" t="s">
        <v>2870</v>
      </c>
      <c r="F2167" s="11" t="s">
        <v>2871</v>
      </c>
      <c r="G2167" s="50">
        <v>1</v>
      </c>
      <c r="H2167" s="48">
        <v>30</v>
      </c>
      <c r="I2167" s="14">
        <f>VENTAS[[#This Row],[Cantidad]]*VENTAS[[#This Row],[Precio Venta]]</f>
        <v>30</v>
      </c>
      <c r="J2167" s="14">
        <f>IF(VENTAS[[#This Row],[Nombre del Gestor]]&gt;1,VENTAS[[#This Row],[Total]]*10%,0)</f>
        <v>3</v>
      </c>
      <c r="K2167" s="14">
        <f>IFERROR(VLOOKUP(VENTAS[[#This Row],[Código del producto Vendido]],STOCK[],16,FALSE)*VENTAS[[#This Row],[Cantidad]]+VLOOKUP(VENTAS[[#This Row],[Código del producto Vendido]],STOCK[],19,FALSE)*VENTAS[[#This Row],[Cantidad]],VENTAS[[#This Row],[Total]])</f>
        <v>15.67</v>
      </c>
      <c r="L2167" s="14">
        <f>VENTAS[[#This Row],[Total]]-VENTAS[[#This Row],[Comisión 10%]]-VENTAS[[#This Row],[Costo SIN Comision]]</f>
        <v>11.33</v>
      </c>
      <c r="M2167" s="50"/>
      <c r="N2167" s="50" t="s">
        <v>5064</v>
      </c>
    </row>
    <row r="2168" ht="12" spans="1:14">
      <c r="A2168" s="46">
        <v>45624</v>
      </c>
      <c r="B2168" s="50"/>
      <c r="C2168" s="50"/>
      <c r="D2168" s="50" t="s">
        <v>4463</v>
      </c>
      <c r="E2168" s="50" t="s">
        <v>3089</v>
      </c>
      <c r="F2168" s="11" t="s">
        <v>3090</v>
      </c>
      <c r="G2168" s="50">
        <v>1</v>
      </c>
      <c r="H2168" s="48">
        <v>22</v>
      </c>
      <c r="I2168" s="14">
        <f>VENTAS[[#This Row],[Cantidad]]*VENTAS[[#This Row],[Precio Venta]]</f>
        <v>22</v>
      </c>
      <c r="J2168" s="14">
        <f>IF(VENTAS[[#This Row],[Nombre del Gestor]]&gt;1,VENTAS[[#This Row],[Total]]*10%,0)</f>
        <v>2.2</v>
      </c>
      <c r="K2168" s="14">
        <f>IFERROR(VLOOKUP(VENTAS[[#This Row],[Código del producto Vendido]],STOCK[],16,FALSE)*VENTAS[[#This Row],[Cantidad]]+VLOOKUP(VENTAS[[#This Row],[Código del producto Vendido]],STOCK[],19,FALSE)*VENTAS[[#This Row],[Cantidad]],VENTAS[[#This Row],[Total]])</f>
        <v>8</v>
      </c>
      <c r="L2168" s="14">
        <f>VENTAS[[#This Row],[Total]]-VENTAS[[#This Row],[Comisión 10%]]-VENTAS[[#This Row],[Costo SIN Comision]]</f>
        <v>11.8</v>
      </c>
      <c r="M2168" s="50"/>
      <c r="N2168" s="50" t="s">
        <v>5065</v>
      </c>
    </row>
    <row r="2169" ht="12" spans="1:14">
      <c r="A2169" s="46">
        <v>45624</v>
      </c>
      <c r="B2169" s="50"/>
      <c r="C2169" s="50"/>
      <c r="D2169" s="50" t="s">
        <v>4266</v>
      </c>
      <c r="E2169" s="50" t="s">
        <v>3067</v>
      </c>
      <c r="F2169" s="11" t="s">
        <v>3068</v>
      </c>
      <c r="G2169" s="50">
        <v>1</v>
      </c>
      <c r="H2169" s="48">
        <v>30</v>
      </c>
      <c r="I2169" s="14">
        <f>VENTAS[[#This Row],[Cantidad]]*VENTAS[[#This Row],[Precio Venta]]</f>
        <v>30</v>
      </c>
      <c r="J2169" s="14">
        <f>IF(VENTAS[[#This Row],[Nombre del Gestor]]&gt;1,VENTAS[[#This Row],[Total]]*10%,0)</f>
        <v>3</v>
      </c>
      <c r="K2169" s="14">
        <f>IFERROR(VLOOKUP(VENTAS[[#This Row],[Código del producto Vendido]],STOCK[],16,FALSE)*VENTAS[[#This Row],[Cantidad]]+VLOOKUP(VENTAS[[#This Row],[Código del producto Vendido]],STOCK[],19,FALSE)*VENTAS[[#This Row],[Cantidad]],VENTAS[[#This Row],[Total]])</f>
        <v>12</v>
      </c>
      <c r="L2169" s="14">
        <f>VENTAS[[#This Row],[Total]]-VENTAS[[#This Row],[Comisión 10%]]-VENTAS[[#This Row],[Costo SIN Comision]]</f>
        <v>15</v>
      </c>
      <c r="M2169" s="50"/>
      <c r="N2169" s="50" t="s">
        <v>5066</v>
      </c>
    </row>
    <row r="2170" ht="12" spans="1:14">
      <c r="A2170" s="46">
        <v>45624</v>
      </c>
      <c r="B2170" s="50"/>
      <c r="C2170" s="50"/>
      <c r="D2170" s="50" t="s">
        <v>4266</v>
      </c>
      <c r="E2170" s="50" t="s">
        <v>3075</v>
      </c>
      <c r="F2170" s="11" t="s">
        <v>3076</v>
      </c>
      <c r="G2170" s="50">
        <v>1</v>
      </c>
      <c r="H2170" s="48">
        <v>30</v>
      </c>
      <c r="I2170" s="14">
        <f>VENTAS[[#This Row],[Cantidad]]*VENTAS[[#This Row],[Precio Venta]]</f>
        <v>30</v>
      </c>
      <c r="J2170" s="14">
        <f>IF(VENTAS[[#This Row],[Nombre del Gestor]]&gt;1,VENTAS[[#This Row],[Total]]*10%,0)</f>
        <v>3</v>
      </c>
      <c r="K2170" s="14">
        <f>IFERROR(VLOOKUP(VENTAS[[#This Row],[Código del producto Vendido]],STOCK[],16,FALSE)*VENTAS[[#This Row],[Cantidad]]+VLOOKUP(VENTAS[[#This Row],[Código del producto Vendido]],STOCK[],19,FALSE)*VENTAS[[#This Row],[Cantidad]],VENTAS[[#This Row],[Total]])</f>
        <v>8</v>
      </c>
      <c r="L2170" s="14">
        <f>VENTAS[[#This Row],[Total]]-VENTAS[[#This Row],[Comisión 10%]]-VENTAS[[#This Row],[Costo SIN Comision]]</f>
        <v>19</v>
      </c>
      <c r="M2170" s="50"/>
      <c r="N2170" s="50" t="s">
        <v>5067</v>
      </c>
    </row>
    <row r="2171" ht="12" spans="1:14">
      <c r="A2171" s="46">
        <v>45624</v>
      </c>
      <c r="B2171" s="50"/>
      <c r="C2171" s="50"/>
      <c r="D2171" s="50" t="s">
        <v>4272</v>
      </c>
      <c r="E2171" s="50" t="s">
        <v>2780</v>
      </c>
      <c r="F2171" s="11" t="s">
        <v>2781</v>
      </c>
      <c r="G2171" s="50">
        <v>1</v>
      </c>
      <c r="H2171" s="48">
        <v>35</v>
      </c>
      <c r="I2171" s="14">
        <f>VENTAS[[#This Row],[Cantidad]]*VENTAS[[#This Row],[Precio Venta]]</f>
        <v>35</v>
      </c>
      <c r="J2171" s="14">
        <f>IF(VENTAS[[#This Row],[Nombre del Gestor]]&gt;1,VENTAS[[#This Row],[Total]]*10%,0)</f>
        <v>3.5</v>
      </c>
      <c r="K2171" s="14">
        <f>IFERROR(VLOOKUP(VENTAS[[#This Row],[Código del producto Vendido]],STOCK[],16,FALSE)*VENTAS[[#This Row],[Cantidad]]+VLOOKUP(VENTAS[[#This Row],[Código del producto Vendido]],STOCK[],19,FALSE)*VENTAS[[#This Row],[Cantidad]],VENTAS[[#This Row],[Total]])</f>
        <v>10.4</v>
      </c>
      <c r="L2171" s="14">
        <f>VENTAS[[#This Row],[Total]]-VENTAS[[#This Row],[Comisión 10%]]-VENTAS[[#This Row],[Costo SIN Comision]]</f>
        <v>21.1</v>
      </c>
      <c r="M2171" s="50"/>
      <c r="N2171" s="50" t="s">
        <v>5068</v>
      </c>
    </row>
    <row r="2172" ht="12" spans="1:14">
      <c r="A2172" s="46">
        <v>45625</v>
      </c>
      <c r="B2172" s="50"/>
      <c r="C2172" s="50"/>
      <c r="D2172" s="50" t="s">
        <v>4300</v>
      </c>
      <c r="E2172" s="50" t="s">
        <v>2899</v>
      </c>
      <c r="F2172" s="11" t="s">
        <v>2898</v>
      </c>
      <c r="G2172" s="50">
        <v>1</v>
      </c>
      <c r="H2172" s="48">
        <v>15</v>
      </c>
      <c r="I2172" s="14">
        <f>VENTAS[[#This Row],[Cantidad]]*VENTAS[[#This Row],[Precio Venta]]</f>
        <v>15</v>
      </c>
      <c r="J2172" s="14">
        <f>IF(VENTAS[[#This Row],[Nombre del Gestor]]&gt;1,VENTAS[[#This Row],[Total]]*10%,0)</f>
        <v>1.5</v>
      </c>
      <c r="K2172" s="14">
        <f>IFERROR(VLOOKUP(VENTAS[[#This Row],[Código del producto Vendido]],STOCK[],16,FALSE)*VENTAS[[#This Row],[Cantidad]]+VLOOKUP(VENTAS[[#This Row],[Código del producto Vendido]],STOCK[],19,FALSE)*VENTAS[[#This Row],[Cantidad]],VENTAS[[#This Row],[Total]])</f>
        <v>6.38</v>
      </c>
      <c r="L2172" s="14">
        <f>VENTAS[[#This Row],[Total]]-VENTAS[[#This Row],[Comisión 10%]]-VENTAS[[#This Row],[Costo SIN Comision]]</f>
        <v>7.12</v>
      </c>
      <c r="M2172" s="50"/>
      <c r="N2172" s="50" t="s">
        <v>5069</v>
      </c>
    </row>
    <row r="2173" ht="12" spans="1:14">
      <c r="A2173" s="46">
        <v>45625</v>
      </c>
      <c r="B2173" s="50"/>
      <c r="C2173" s="50" t="s">
        <v>5019</v>
      </c>
      <c r="D2173" s="50"/>
      <c r="E2173" s="50" t="s">
        <v>1802</v>
      </c>
      <c r="F2173" s="11" t="s">
        <v>1803</v>
      </c>
      <c r="G2173" s="50">
        <v>1</v>
      </c>
      <c r="H2173" s="48">
        <v>25</v>
      </c>
      <c r="I2173" s="14">
        <f>VENTAS[[#This Row],[Cantidad]]*VENTAS[[#This Row],[Precio Venta]]</f>
        <v>25</v>
      </c>
      <c r="J2173" s="14">
        <f>IF(VENTAS[[#This Row],[Nombre del Gestor]]&gt;1,VENTAS[[#This Row],[Total]]*10%,0)</f>
        <v>0</v>
      </c>
      <c r="K2173" s="14">
        <f>IFERROR(VLOOKUP(VENTAS[[#This Row],[Código del producto Vendido]],STOCK[],16,FALSE)*VENTAS[[#This Row],[Cantidad]]+VLOOKUP(VENTAS[[#This Row],[Código del producto Vendido]],STOCK[],19,FALSE)*VENTAS[[#This Row],[Cantidad]],VENTAS[[#This Row],[Total]])</f>
        <v>12.9411764705882</v>
      </c>
      <c r="L2173" s="14">
        <f>VENTAS[[#This Row],[Total]]-VENTAS[[#This Row],[Comisión 10%]]-VENTAS[[#This Row],[Costo SIN Comision]]</f>
        <v>12.0588235294118</v>
      </c>
      <c r="M2173" s="50"/>
      <c r="N2173" s="50" t="s">
        <v>5070</v>
      </c>
    </row>
    <row r="2174" ht="12" spans="1:14">
      <c r="A2174" s="46">
        <v>45625</v>
      </c>
      <c r="B2174" s="50"/>
      <c r="C2174" s="50"/>
      <c r="D2174" s="50" t="s">
        <v>4266</v>
      </c>
      <c r="E2174" s="50" t="s">
        <v>3005</v>
      </c>
      <c r="F2174" s="11" t="s">
        <v>5071</v>
      </c>
      <c r="G2174" s="50">
        <v>1</v>
      </c>
      <c r="H2174" s="48">
        <v>25</v>
      </c>
      <c r="I2174" s="14">
        <f>VENTAS[[#This Row],[Cantidad]]*VENTAS[[#This Row],[Precio Venta]]</f>
        <v>25</v>
      </c>
      <c r="J2174" s="14">
        <f>IF(VENTAS[[#This Row],[Nombre del Gestor]]&gt;1,VENTAS[[#This Row],[Total]]*10%,0)</f>
        <v>2.5</v>
      </c>
      <c r="K2174" s="14">
        <f>IFERROR(VLOOKUP(VENTAS[[#This Row],[Código del producto Vendido]],STOCK[],16,FALSE)*VENTAS[[#This Row],[Cantidad]]+VLOOKUP(VENTAS[[#This Row],[Código del producto Vendido]],STOCK[],19,FALSE)*VENTAS[[#This Row],[Cantidad]],VENTAS[[#This Row],[Total]])</f>
        <v>13.13</v>
      </c>
      <c r="L2174" s="14">
        <f>VENTAS[[#This Row],[Total]]-VENTAS[[#This Row],[Comisión 10%]]-VENTAS[[#This Row],[Costo SIN Comision]]</f>
        <v>9.37</v>
      </c>
      <c r="M2174" s="50"/>
      <c r="N2174" s="50" t="s">
        <v>5072</v>
      </c>
    </row>
    <row r="2175" ht="12" spans="1:14">
      <c r="A2175" s="46">
        <v>45625</v>
      </c>
      <c r="B2175" s="50"/>
      <c r="C2175" s="50"/>
      <c r="D2175" s="50" t="s">
        <v>4463</v>
      </c>
      <c r="E2175" s="50" t="s">
        <v>2900</v>
      </c>
      <c r="F2175" s="11" t="s">
        <v>2898</v>
      </c>
      <c r="G2175" s="50">
        <v>1</v>
      </c>
      <c r="H2175" s="48">
        <v>15</v>
      </c>
      <c r="I2175" s="14">
        <f>VENTAS[[#This Row],[Cantidad]]*VENTAS[[#This Row],[Precio Venta]]</f>
        <v>15</v>
      </c>
      <c r="J2175" s="14">
        <f>IF(VENTAS[[#This Row],[Nombre del Gestor]]&gt;1,VENTAS[[#This Row],[Total]]*10%,0)</f>
        <v>1.5</v>
      </c>
      <c r="K2175" s="14">
        <f>IFERROR(VLOOKUP(VENTAS[[#This Row],[Código del producto Vendido]],STOCK[],16,FALSE)*VENTAS[[#This Row],[Cantidad]]+VLOOKUP(VENTAS[[#This Row],[Código del producto Vendido]],STOCK[],19,FALSE)*VENTAS[[#This Row],[Cantidad]],VENTAS[[#This Row],[Total]])</f>
        <v>6.38</v>
      </c>
      <c r="L2175" s="14">
        <f>VENTAS[[#This Row],[Total]]-VENTAS[[#This Row],[Comisión 10%]]-VENTAS[[#This Row],[Costo SIN Comision]]</f>
        <v>7.12</v>
      </c>
      <c r="M2175" s="50"/>
      <c r="N2175" s="50" t="s">
        <v>5073</v>
      </c>
    </row>
    <row r="2176" hidden="1"/>
  </sheetData>
  <mergeCells count="2">
    <mergeCell ref="A1:E1"/>
    <mergeCell ref="G1:H1"/>
  </mergeCells>
  <conditionalFormatting sqref="E359">
    <cfRule type="expression" dxfId="30" priority="2433">
      <formula>#REF!=0</formula>
    </cfRule>
    <cfRule type="duplicateValues" dxfId="31" priority="2434"/>
  </conditionalFormatting>
  <conditionalFormatting sqref="E368">
    <cfRule type="expression" dxfId="30" priority="2435">
      <formula>#REF!=0</formula>
    </cfRule>
    <cfRule type="duplicateValues" dxfId="31" priority="2436"/>
  </conditionalFormatting>
  <conditionalFormatting sqref="E445">
    <cfRule type="duplicateValues" dxfId="31" priority="4"/>
  </conditionalFormatting>
  <conditionalFormatting sqref="E520:E531">
    <cfRule type="duplicateValues" dxfId="31" priority="2"/>
  </conditionalFormatting>
  <conditionalFormatting sqref="E445 E520:E531">
    <cfRule type="expression" dxfId="30" priority="2437">
      <formula>#REF!=0</formula>
    </cfRule>
  </conditionalFormatting>
  <pageMargins left="0.7" right="0.7" top="0.75" bottom="0.75" header="0.3" footer="0.3"/>
  <headerFooter/>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2</vt:i4>
      </vt:variant>
    </vt:vector>
  </HeadingPairs>
  <TitlesOfParts>
    <vt:vector size="2" baseType="lpstr">
      <vt:lpstr>STOCK</vt:lpstr>
      <vt:lpstr>VENTAS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leticiaaragon</cp:lastModifiedBy>
  <dcterms:created xsi:type="dcterms:W3CDTF">2023-09-27T05:59:00Z</dcterms:created>
  <dcterms:modified xsi:type="dcterms:W3CDTF">2024-12-22T11:18:20Z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1033-5.7.3.8096</vt:lpwstr>
  </property>
</Properties>
</file>